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fc28a966bfdd84f/Plocha/"/>
    </mc:Choice>
  </mc:AlternateContent>
  <xr:revisionPtr revIDLastSave="2796" documentId="8_{7CC6144C-9CB8-45C4-A38B-2F6DA9D33D07}" xr6:coauthVersionLast="47" xr6:coauthVersionMax="47" xr10:uidLastSave="{C0A778E4-73A1-425E-8B05-3D3FCC52180E}"/>
  <bookViews>
    <workbookView xWindow="-98" yWindow="-98" windowWidth="20715" windowHeight="13276" activeTab="1" xr2:uid="{B82E23A8-23AD-41A1-883B-F865BA434568}"/>
  </bookViews>
  <sheets>
    <sheet name="gretl" sheetId="17" r:id="rId1"/>
    <sheet name="Big model OLSM" sheetId="16" r:id="rId2"/>
    <sheet name="Big model corr final" sheetId="15" r:id="rId3"/>
    <sheet name="Big model" sheetId="14" r:id="rId4"/>
    <sheet name="Kz Net export" sheetId="2" r:id="rId5"/>
    <sheet name="Kz Export" sheetId="3" r:id="rId6"/>
    <sheet name="Correlation Exchange rate" sheetId="13" r:id="rId7"/>
    <sheet name="Correlation GDP" sheetId="1" r:id="rId8"/>
    <sheet name="Time series analysis" sheetId="10" r:id="rId9"/>
    <sheet name=" Forecastin Exch" sheetId="11" r:id="rId10"/>
    <sheet name="Structure of practical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2" l="1"/>
  <c r="R6" i="12"/>
  <c r="R7" i="12"/>
  <c r="N3" i="12"/>
  <c r="L10" i="12"/>
  <c r="L14" i="12"/>
  <c r="Q9" i="12" l="1"/>
  <c r="AD26" i="15"/>
  <c r="J17" i="16"/>
  <c r="J16" i="16"/>
  <c r="J15" i="16"/>
  <c r="J14" i="16"/>
  <c r="J13" i="16"/>
  <c r="J12" i="16"/>
  <c r="J11" i="16"/>
  <c r="J10" i="16"/>
  <c r="J9" i="16"/>
  <c r="J8" i="16"/>
  <c r="J7" i="16"/>
  <c r="J6" i="16"/>
  <c r="J5" i="16"/>
  <c r="J4" i="16"/>
  <c r="J3" i="16"/>
  <c r="X18" i="15"/>
  <c r="X17" i="15"/>
  <c r="X24" i="15" s="1"/>
  <c r="X16" i="15"/>
  <c r="X15" i="15"/>
  <c r="X14" i="15"/>
  <c r="X13" i="15"/>
  <c r="X12" i="15"/>
  <c r="X11" i="15"/>
  <c r="X10" i="15"/>
  <c r="X9" i="15"/>
  <c r="X8" i="15"/>
  <c r="X7" i="15"/>
  <c r="X6" i="15"/>
  <c r="X5" i="15"/>
  <c r="X4" i="15"/>
  <c r="AD24" i="15"/>
  <c r="Y29" i="15"/>
  <c r="Z29" i="15"/>
  <c r="Y28" i="15"/>
  <c r="Z28" i="15"/>
  <c r="W27" i="15"/>
  <c r="Y27" i="15"/>
  <c r="Z27" i="15"/>
  <c r="V26" i="15"/>
  <c r="W26" i="15"/>
  <c r="Y26" i="15"/>
  <c r="Z26" i="15"/>
  <c r="U25" i="15"/>
  <c r="V25" i="15"/>
  <c r="W25" i="15"/>
  <c r="Y25" i="15"/>
  <c r="Z25" i="15"/>
  <c r="T24" i="15"/>
  <c r="U24" i="15"/>
  <c r="V24" i="15"/>
  <c r="W24" i="15"/>
  <c r="Y24" i="15"/>
  <c r="Z24" i="15"/>
  <c r="S24" i="15"/>
  <c r="Z31" i="15"/>
  <c r="W28" i="15"/>
  <c r="V27" i="15"/>
  <c r="U26" i="15"/>
  <c r="T25" i="15"/>
  <c r="S23" i="15"/>
  <c r="T23" i="15"/>
  <c r="U23" i="15"/>
  <c r="V23" i="15"/>
  <c r="W23" i="15"/>
  <c r="Y23" i="15"/>
  <c r="Z23" i="15"/>
  <c r="R23" i="15"/>
  <c r="R4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Q23" i="15"/>
  <c r="D28" i="16"/>
  <c r="E28" i="16"/>
  <c r="F28" i="16"/>
  <c r="G28" i="16"/>
  <c r="H28" i="16"/>
  <c r="I28" i="16"/>
  <c r="J28" i="16"/>
  <c r="K28" i="16"/>
  <c r="L28" i="16"/>
  <c r="C28" i="16"/>
  <c r="E55" i="16" a="1"/>
  <c r="E55" i="16" s="1"/>
  <c r="B51" i="2"/>
  <c r="B49" i="2"/>
  <c r="M6" i="12"/>
  <c r="Q30" i="12" s="1"/>
  <c r="J23" i="15"/>
  <c r="G23" i="15"/>
  <c r="D23" i="15"/>
  <c r="L32" i="15"/>
  <c r="L31" i="15"/>
  <c r="K31" i="15"/>
  <c r="K30" i="15"/>
  <c r="L30" i="15"/>
  <c r="J30" i="15"/>
  <c r="J29" i="15"/>
  <c r="K29" i="15"/>
  <c r="L29" i="15"/>
  <c r="I29" i="15"/>
  <c r="I28" i="15"/>
  <c r="J28" i="15"/>
  <c r="K28" i="15"/>
  <c r="L28" i="15"/>
  <c r="H28" i="15"/>
  <c r="H27" i="15"/>
  <c r="I27" i="15"/>
  <c r="J27" i="15"/>
  <c r="K27" i="15"/>
  <c r="L27" i="15"/>
  <c r="G27" i="15"/>
  <c r="G26" i="15"/>
  <c r="H26" i="15"/>
  <c r="I26" i="15"/>
  <c r="J26" i="15"/>
  <c r="K26" i="15"/>
  <c r="L26" i="15"/>
  <c r="F26" i="15"/>
  <c r="G25" i="15"/>
  <c r="F25" i="15"/>
  <c r="H25" i="15"/>
  <c r="I25" i="15"/>
  <c r="J25" i="15"/>
  <c r="K25" i="15"/>
  <c r="L25" i="15"/>
  <c r="E25" i="15"/>
  <c r="E24" i="15"/>
  <c r="F24" i="15"/>
  <c r="G24" i="15"/>
  <c r="H24" i="15"/>
  <c r="I24" i="15"/>
  <c r="J24" i="15"/>
  <c r="K24" i="15"/>
  <c r="L24" i="15"/>
  <c r="D24" i="15"/>
  <c r="E23" i="15"/>
  <c r="F23" i="15"/>
  <c r="H23" i="15"/>
  <c r="I23" i="15"/>
  <c r="K23" i="15"/>
  <c r="L23" i="15"/>
  <c r="C23" i="15"/>
  <c r="N34" i="12" l="1"/>
  <c r="P4" i="16" a="1"/>
  <c r="P4" i="16" s="1"/>
  <c r="P16" i="16" s="1" a="1"/>
  <c r="P16" i="16" s="1"/>
  <c r="P28" i="16" s="1" a="1"/>
  <c r="P28" i="16" s="1"/>
  <c r="X26" i="15"/>
  <c r="X27" i="15"/>
  <c r="X23" i="15"/>
  <c r="Z30" i="15"/>
  <c r="X29" i="15"/>
  <c r="X28" i="15"/>
  <c r="Y30" i="15"/>
  <c r="AE24" i="15"/>
  <c r="X25" i="15"/>
  <c r="L24" i="12"/>
  <c r="C64" i="2"/>
  <c r="E64" i="2"/>
  <c r="D64" i="2"/>
  <c r="D24" i="10"/>
  <c r="T28" i="12"/>
  <c r="O41" i="14"/>
  <c r="O40" i="14"/>
  <c r="N40" i="14"/>
  <c r="N39" i="14"/>
  <c r="O39" i="14"/>
  <c r="M39" i="14"/>
  <c r="N38" i="14"/>
  <c r="M38" i="14"/>
  <c r="O38" i="14"/>
  <c r="L38" i="14"/>
  <c r="L37" i="14"/>
  <c r="M37" i="14"/>
  <c r="N37" i="14"/>
  <c r="O37" i="14"/>
  <c r="K37" i="14"/>
  <c r="L36" i="14"/>
  <c r="K36" i="14"/>
  <c r="M36" i="14"/>
  <c r="N36" i="14"/>
  <c r="O36" i="14"/>
  <c r="J36" i="14"/>
  <c r="J35" i="14"/>
  <c r="K35" i="14"/>
  <c r="L35" i="14"/>
  <c r="M35" i="14"/>
  <c r="N35" i="14"/>
  <c r="O35" i="14"/>
  <c r="I35" i="14"/>
  <c r="O34" i="14"/>
  <c r="I34" i="14"/>
  <c r="J34" i="14"/>
  <c r="K34" i="14"/>
  <c r="L34" i="14"/>
  <c r="M34" i="14"/>
  <c r="N34" i="14"/>
  <c r="H34" i="14"/>
  <c r="H33" i="14"/>
  <c r="I33" i="14"/>
  <c r="J33" i="14"/>
  <c r="K33" i="14"/>
  <c r="L33" i="14"/>
  <c r="M33" i="14"/>
  <c r="N33" i="14"/>
  <c r="O33" i="14"/>
  <c r="G33" i="14"/>
  <c r="I32" i="14"/>
  <c r="H32" i="14"/>
  <c r="G32" i="14"/>
  <c r="J32" i="14"/>
  <c r="K32" i="14"/>
  <c r="L32" i="14"/>
  <c r="M32" i="14"/>
  <c r="N32" i="14"/>
  <c r="O32" i="14"/>
  <c r="E31" i="14"/>
  <c r="F32" i="14"/>
  <c r="G31" i="14"/>
  <c r="F31" i="14"/>
  <c r="H31" i="14"/>
  <c r="I31" i="14"/>
  <c r="J31" i="14"/>
  <c r="K31" i="14"/>
  <c r="L31" i="14"/>
  <c r="M31" i="14"/>
  <c r="N31" i="14"/>
  <c r="O31" i="14"/>
  <c r="G30" i="14"/>
  <c r="F30" i="14"/>
  <c r="E30" i="14"/>
  <c r="H30" i="14"/>
  <c r="I30" i="14"/>
  <c r="J30" i="14"/>
  <c r="K30" i="14"/>
  <c r="L30" i="14"/>
  <c r="M30" i="14"/>
  <c r="N30" i="14"/>
  <c r="O30" i="14"/>
  <c r="D30" i="14"/>
  <c r="M29" i="14"/>
  <c r="I29" i="14"/>
  <c r="H29" i="14"/>
  <c r="G29" i="14"/>
  <c r="F29" i="14"/>
  <c r="E29" i="14"/>
  <c r="D29" i="14"/>
  <c r="J29" i="14"/>
  <c r="K29" i="14"/>
  <c r="L29" i="14"/>
  <c r="N29" i="14"/>
  <c r="O29" i="14"/>
  <c r="C29" i="14"/>
  <c r="A29" i="14" a="1"/>
  <c r="A29" i="14" s="1"/>
  <c r="B29" i="14"/>
  <c r="U69" i="14" a="1"/>
  <c r="U69" i="14" s="1"/>
  <c r="T69" i="14" a="1"/>
  <c r="T69" i="14" s="1"/>
  <c r="T53" i="14" a="1"/>
  <c r="T53" i="14" s="1"/>
  <c r="K22" i="2" a="1"/>
  <c r="K22" i="2" s="1"/>
  <c r="T37" i="14" a="1"/>
  <c r="T37" i="14" s="1"/>
  <c r="T21" i="14" a="1"/>
  <c r="T21" i="14" s="1"/>
  <c r="K10" i="2" a="1"/>
  <c r="K10" i="2" s="1"/>
  <c r="K16" i="2" s="1" a="1"/>
  <c r="K16" i="2" s="1"/>
  <c r="T4" i="14" a="1"/>
  <c r="T4" i="14" s="1"/>
  <c r="N56" i="2"/>
  <c r="M57" i="2" s="1"/>
  <c r="N55" i="2"/>
  <c r="L57" i="2" s="1"/>
  <c r="M55" i="2"/>
  <c r="L56" i="2" s="1"/>
  <c r="N54" i="2"/>
  <c r="K57" i="2" s="1"/>
  <c r="M54" i="2"/>
  <c r="K56" i="2" s="1"/>
  <c r="L54" i="2"/>
  <c r="K55" i="2" s="1"/>
  <c r="K54" i="2"/>
  <c r="K4" i="2" a="1"/>
  <c r="K4" i="2" s="1"/>
  <c r="F3" i="2"/>
  <c r="N48" i="2" s="1"/>
  <c r="M49" i="2" s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L48" i="2"/>
  <c r="K48" i="2"/>
  <c r="K47" i="2"/>
  <c r="M47" i="2"/>
  <c r="E25" i="16" l="1"/>
  <c r="E26" i="16" s="1"/>
  <c r="E27" i="16" s="1"/>
  <c r="E29" i="16" s="1"/>
  <c r="K25" i="16"/>
  <c r="K26" i="16" s="1"/>
  <c r="K27" i="16" s="1"/>
  <c r="K29" i="16" s="1"/>
  <c r="D25" i="16"/>
  <c r="D26" i="16" s="1"/>
  <c r="D27" i="16" s="1"/>
  <c r="D29" i="16" s="1"/>
  <c r="L25" i="16"/>
  <c r="L26" i="16" s="1"/>
  <c r="L27" i="16" s="1"/>
  <c r="L29" i="16" s="1"/>
  <c r="J25" i="16"/>
  <c r="J26" i="16" s="1"/>
  <c r="J27" i="16" s="1"/>
  <c r="J29" i="16" s="1"/>
  <c r="F25" i="16"/>
  <c r="F26" i="16" s="1"/>
  <c r="F27" i="16" s="1"/>
  <c r="F29" i="16" s="1"/>
  <c r="G25" i="16"/>
  <c r="G26" i="16" s="1"/>
  <c r="G27" i="16" s="1"/>
  <c r="G29" i="16" s="1"/>
  <c r="H25" i="16"/>
  <c r="H26" i="16" s="1"/>
  <c r="H27" i="16" s="1"/>
  <c r="H29" i="16" s="1"/>
  <c r="I25" i="16"/>
  <c r="I26" i="16" s="1"/>
  <c r="I27" i="16" s="1"/>
  <c r="I29" i="16" s="1"/>
  <c r="P40" i="16" a="1"/>
  <c r="P40" i="16" s="1"/>
  <c r="P52" i="16" s="1" a="1"/>
  <c r="P52" i="16" s="1"/>
  <c r="C25" i="16"/>
  <c r="C26" i="16" s="1"/>
  <c r="C27" i="16" s="1"/>
  <c r="C29" i="16" s="1"/>
  <c r="E65" i="2"/>
  <c r="C65" i="2"/>
  <c r="D65" i="2"/>
  <c r="K28" i="2" a="1"/>
  <c r="K28" i="2" s="1"/>
  <c r="N47" i="2"/>
  <c r="L49" i="2" s="1"/>
  <c r="D47" i="2"/>
  <c r="D48" i="2" s="1"/>
  <c r="D49" i="2" s="1"/>
  <c r="C47" i="2"/>
  <c r="C48" i="2" s="1"/>
  <c r="C49" i="2" s="1"/>
  <c r="E47" i="2"/>
  <c r="E48" i="2" s="1"/>
  <c r="E49" i="2" s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3" i="2"/>
  <c r="J19" i="11"/>
  <c r="J18" i="11"/>
  <c r="I19" i="11"/>
  <c r="I18" i="11"/>
  <c r="B19" i="11"/>
  <c r="B18" i="11"/>
  <c r="B46" i="11"/>
  <c r="B45" i="11"/>
  <c r="B37" i="11"/>
  <c r="B41" i="11" s="1"/>
  <c r="B36" i="11"/>
  <c r="B40" i="11" s="1"/>
  <c r="B47" i="2" l="1"/>
  <c r="B48" i="2" s="1"/>
  <c r="M46" i="2"/>
  <c r="L46" i="2"/>
  <c r="K46" i="2"/>
  <c r="N46" i="2"/>
  <c r="K49" i="2" s="1"/>
  <c r="D11" i="10"/>
  <c r="B50" i="2" l="1"/>
  <c r="D50" i="2"/>
  <c r="D51" i="2" s="1"/>
  <c r="C50" i="2"/>
  <c r="C51" i="2" s="1"/>
  <c r="E50" i="2"/>
  <c r="E51" i="2" s="1"/>
  <c r="E31" i="10"/>
  <c r="D31" i="10"/>
  <c r="D28" i="10"/>
  <c r="F47" i="10"/>
  <c r="E24" i="10"/>
  <c r="E7" i="10"/>
  <c r="D7" i="10"/>
  <c r="F7" i="10"/>
  <c r="F3" i="10"/>
  <c r="E34" i="1"/>
  <c r="E33" i="1"/>
  <c r="D33" i="1"/>
  <c r="E32" i="1"/>
  <c r="D32" i="1"/>
  <c r="C32" i="1"/>
  <c r="J42" i="10"/>
  <c r="K42" i="10"/>
  <c r="L42" i="10"/>
  <c r="I42" i="10"/>
  <c r="G38" i="10"/>
  <c r="H38" i="10"/>
  <c r="I38" i="10"/>
  <c r="F38" i="10"/>
  <c r="G37" i="10"/>
  <c r="H37" i="10"/>
  <c r="I37" i="10"/>
  <c r="F37" i="10"/>
  <c r="J24" i="10"/>
  <c r="K24" i="10"/>
  <c r="L24" i="10"/>
  <c r="I24" i="10"/>
  <c r="I23" i="10"/>
  <c r="J23" i="10"/>
  <c r="G3" i="10"/>
  <c r="H3" i="10"/>
  <c r="I3" i="10"/>
  <c r="T38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<sst xmlns="http://schemas.openxmlformats.org/spreadsheetml/2006/main" count="539" uniqueCount="213">
  <si>
    <t>year</t>
  </si>
  <si>
    <t>KZ exchange rate</t>
  </si>
  <si>
    <t>Turk exch</t>
  </si>
  <si>
    <t>Russ exch</t>
  </si>
  <si>
    <t>China exch</t>
  </si>
  <si>
    <t>y</t>
  </si>
  <si>
    <t>x1</t>
  </si>
  <si>
    <t>x2</t>
  </si>
  <si>
    <t>x3</t>
  </si>
  <si>
    <t>x4</t>
  </si>
  <si>
    <t>constant</t>
  </si>
  <si>
    <t>exch r kzt</t>
  </si>
  <si>
    <t>GDP of kz</t>
  </si>
  <si>
    <t>top exported item 1</t>
  </si>
  <si>
    <t>top exported item 2</t>
  </si>
  <si>
    <t>x5</t>
  </si>
  <si>
    <t>x6</t>
  </si>
  <si>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Correlation table of GDPs ……2p</t>
    </r>
  </si>
  <si>
    <t>Correlation table of Exch rates…….1p</t>
  </si>
  <si>
    <t>Foreign trade explanations…….3p</t>
  </si>
  <si>
    <t>Time series for al countries ….3p</t>
  </si>
  <si>
    <t>Forecasting for all countries with confidence interval…..4p</t>
  </si>
  <si>
    <t>KZ NX with exp………..3p</t>
  </si>
  <si>
    <t>Stat verification…….1p</t>
  </si>
  <si>
    <t>Econ verification……0.5p</t>
  </si>
  <si>
    <t>discussions for each coutnry in comparson to KZ and research expl</t>
  </si>
  <si>
    <t>concl</t>
  </si>
  <si>
    <t>Pages from prac estimated</t>
  </si>
  <si>
    <t>Kazakhstan</t>
  </si>
  <si>
    <t>Turkey</t>
  </si>
  <si>
    <t>Russia</t>
  </si>
  <si>
    <t xml:space="preserve">China  </t>
  </si>
  <si>
    <t>chain base index</t>
  </si>
  <si>
    <t>Fixed base index</t>
  </si>
  <si>
    <t>average growth rate index</t>
  </si>
  <si>
    <t>GDP</t>
  </si>
  <si>
    <t>KZ and Turkey GDP, TUR 2009, KZ 2009</t>
  </si>
  <si>
    <t>Relative minimum</t>
  </si>
  <si>
    <t>Latest period</t>
  </si>
  <si>
    <t>GDP div</t>
  </si>
  <si>
    <t>mult by 1/16</t>
  </si>
  <si>
    <t>Average growth rate index</t>
  </si>
  <si>
    <t>AVG rate KZT/USD</t>
  </si>
  <si>
    <t>https://www.poundsterlinglive.com/bank-of-england-spot/historical-spot-exchange-rates/usd/USD-to-TRY-2007</t>
  </si>
  <si>
    <t>TURK non avg</t>
  </si>
  <si>
    <t>https://www.cbr.ru/eng/currency_base/daily/?UniDbQuery.Posted=True&amp;UniDbQuery.To=01.01.2007</t>
  </si>
  <si>
    <t>https://nationalbank.kz/en/exchangerates/ezhednevnye-oficialnye-rynochnye-kursy-valyut/report?beginDate=01.01.2010&amp;endDate=31.12.2010&amp;rates%5B%5D=5</t>
  </si>
  <si>
    <t>https://www.imf.org/external/np/fin/data/rms_mth.aspx?SelectDate=2007-01-31&amp;reportType=REP</t>
  </si>
  <si>
    <t>in bil USD</t>
  </si>
  <si>
    <t>China</t>
  </si>
  <si>
    <t xml:space="preserve">Turkey </t>
  </si>
  <si>
    <t xml:space="preserve">Russia </t>
  </si>
  <si>
    <t>Kazakh Tenge to USD</t>
  </si>
  <si>
    <t>Chain base index</t>
  </si>
  <si>
    <t>trk exch</t>
  </si>
  <si>
    <t>Year</t>
  </si>
  <si>
    <t>CH exch</t>
  </si>
  <si>
    <t>Fixed base index of Chinese Yuan</t>
  </si>
  <si>
    <t>Correlation Coefficients testing of selected countries with Kazakh Tenge</t>
  </si>
  <si>
    <t>Currency</t>
  </si>
  <si>
    <t>Turkish Lira</t>
  </si>
  <si>
    <t>Russian Ruble</t>
  </si>
  <si>
    <t>Chinese Yuan</t>
  </si>
  <si>
    <t>Kazakh Tenge</t>
  </si>
  <si>
    <t>Data corr and prep and pred page amount</t>
  </si>
  <si>
    <t>Econometrics equations for all plus expl</t>
  </si>
  <si>
    <t>Disscussion</t>
  </si>
  <si>
    <t>theoretical</t>
  </si>
  <si>
    <t>Full thesis size</t>
  </si>
  <si>
    <t>Percentage complete</t>
  </si>
  <si>
    <t>pages fin prac</t>
  </si>
  <si>
    <t xml:space="preserve">Pages finished </t>
  </si>
  <si>
    <t>T val</t>
  </si>
  <si>
    <t>testing</t>
  </si>
  <si>
    <t>KZ eq</t>
  </si>
  <si>
    <t>a</t>
  </si>
  <si>
    <t>b</t>
  </si>
  <si>
    <t>REF</t>
  </si>
  <si>
    <t xml:space="preserve">Estimated predicitions </t>
  </si>
  <si>
    <t>confide</t>
  </si>
  <si>
    <t>std error</t>
  </si>
  <si>
    <t>lower</t>
  </si>
  <si>
    <t>upper</t>
  </si>
  <si>
    <t>https://wits.worldbank.org/CountryProfile/en/Country/KAZ/Year/2011/Summarytext</t>
  </si>
  <si>
    <t>KZ import</t>
  </si>
  <si>
    <t>https://www.statista.com/statistics/436206/import-of-goods-to-kazakhstan/#:~:text=The%20statistic%20shows%20the%20value,dollars%20were%20imported%20to%20Kazakhstan.</t>
  </si>
  <si>
    <t>KZ Export bil USD</t>
  </si>
  <si>
    <t>KZ NX bil USD</t>
  </si>
  <si>
    <t>(XT*X)^-1*XT*Y</t>
  </si>
  <si>
    <t>OLSM</t>
  </si>
  <si>
    <t>XT</t>
  </si>
  <si>
    <t>XT*X</t>
  </si>
  <si>
    <t>(XT*X)^-1</t>
  </si>
  <si>
    <t>(XT*X)^-1*XT</t>
  </si>
  <si>
    <t>Matrix (XTX)-1</t>
  </si>
  <si>
    <t>sii</t>
  </si>
  <si>
    <t>sbi</t>
  </si>
  <si>
    <t>abs par val</t>
  </si>
  <si>
    <t>t value</t>
  </si>
  <si>
    <t>crit t value</t>
  </si>
  <si>
    <t>comparison</t>
  </si>
  <si>
    <t>SS or SI</t>
  </si>
  <si>
    <t>SS</t>
  </si>
  <si>
    <t>GDP of main trading p. China bil USD</t>
  </si>
  <si>
    <t>exch r KZT</t>
  </si>
  <si>
    <t>GDP of KZ</t>
  </si>
  <si>
    <t>GDP of China</t>
  </si>
  <si>
    <t>Statistical Significance testing of KZ NX</t>
  </si>
  <si>
    <t>Variables</t>
  </si>
  <si>
    <t>x4 1st diff</t>
  </si>
  <si>
    <t>Correlation testing 1</t>
  </si>
  <si>
    <t>Correlation testing 2</t>
  </si>
  <si>
    <t>1.96&lt;2.145</t>
  </si>
  <si>
    <t>19.76&gt;2.145</t>
  </si>
  <si>
    <t>18.36&gt;2.145</t>
  </si>
  <si>
    <t>3.614&gt;2.145</t>
  </si>
  <si>
    <t>SI</t>
  </si>
  <si>
    <t>GDP kz</t>
  </si>
  <si>
    <t>theo estim</t>
  </si>
  <si>
    <t xml:space="preserve">KZ Export with all variable big model data prep </t>
  </si>
  <si>
    <t>Constant</t>
  </si>
  <si>
    <t>KZ exchange rat</t>
  </si>
  <si>
    <t>GDP of main trading partner China</t>
  </si>
  <si>
    <t>CH exchange</t>
  </si>
  <si>
    <t>GDP of Turkey</t>
  </si>
  <si>
    <t>TUR exch</t>
  </si>
  <si>
    <t>GDP of RU</t>
  </si>
  <si>
    <t>RU exch</t>
  </si>
  <si>
    <t>y1</t>
  </si>
  <si>
    <t>x7</t>
  </si>
  <si>
    <t>x8</t>
  </si>
  <si>
    <t>x9</t>
  </si>
  <si>
    <t>x10</t>
  </si>
  <si>
    <t>x11</t>
  </si>
  <si>
    <t>x12</t>
  </si>
  <si>
    <t>x14</t>
  </si>
  <si>
    <t>x13</t>
  </si>
  <si>
    <t>Export bil USD</t>
  </si>
  <si>
    <t>KZ inflation %</t>
  </si>
  <si>
    <t>https://www.macrotrends.net/countries/KAZ/kazakhstan/inflation-rate-cpi</t>
  </si>
  <si>
    <t>KZ raw material export bil USD</t>
  </si>
  <si>
    <t>https://wits.worldbank.org//CountryProfile/en/Country/KAZ/StartYear/2007/EndYear/2021/TradeFlow/Export/Indicator/XPRT-TRD-VL/Partner/WLD/Product/UNCTAD-SoP1</t>
  </si>
  <si>
    <t>inlfation</t>
  </si>
  <si>
    <t>raw material</t>
  </si>
  <si>
    <t>CH inlfation %</t>
  </si>
  <si>
    <t>TUR inlfation %</t>
  </si>
  <si>
    <t>RU inlfation %</t>
  </si>
  <si>
    <t>Intro</t>
  </si>
  <si>
    <t>Objective and Metho</t>
  </si>
  <si>
    <t>Research</t>
  </si>
  <si>
    <t>add research</t>
  </si>
  <si>
    <t>word count</t>
  </si>
  <si>
    <t>goal</t>
  </si>
  <si>
    <t>word compl</t>
  </si>
  <si>
    <t>diag var.</t>
  </si>
  <si>
    <t>diag var.*2</t>
  </si>
  <si>
    <t>diag var.*3</t>
  </si>
  <si>
    <t>diag var.*4</t>
  </si>
  <si>
    <t>diag var.*5</t>
  </si>
  <si>
    <t>(diag var. * 2)^0.5</t>
  </si>
  <si>
    <t>Absolute value of param estimate</t>
  </si>
  <si>
    <t>Abs. par. Val/ sbi</t>
  </si>
  <si>
    <t>identify Critical t value based on degrees of freedom and alpha</t>
  </si>
  <si>
    <t>compare t value and crit. T value</t>
  </si>
  <si>
    <t>Identify significance</t>
  </si>
  <si>
    <t>data prep</t>
  </si>
  <si>
    <t>1st corr</t>
  </si>
  <si>
    <t>model data modification</t>
  </si>
  <si>
    <t>2nd corr</t>
  </si>
  <si>
    <t>Export of KZ econometrics model</t>
  </si>
  <si>
    <t>full thesis with format page count</t>
  </si>
  <si>
    <t xml:space="preserve">KZT exchange rate </t>
  </si>
  <si>
    <t>Chinese Yuan exchange rate</t>
  </si>
  <si>
    <t>Turkish Lira exchange rate</t>
  </si>
  <si>
    <t>Russian Ruble exchange rate</t>
  </si>
  <si>
    <t>KZ Export bill. USD</t>
  </si>
  <si>
    <t>GDP of main trading partner China bill. USD</t>
  </si>
  <si>
    <t>GDP of Turkey bill. USD</t>
  </si>
  <si>
    <t>GDP of Russia bill. USD</t>
  </si>
  <si>
    <t>KZ raw material export bill. USD</t>
  </si>
  <si>
    <t>2nd test</t>
  </si>
  <si>
    <t>x2 1st diff.</t>
  </si>
  <si>
    <t>1st corr test</t>
  </si>
  <si>
    <t>x8 1st diff.</t>
  </si>
  <si>
    <t>Final</t>
  </si>
  <si>
    <t>x4 1st diff.</t>
  </si>
  <si>
    <t>0.48&lt;.145</t>
  </si>
  <si>
    <t>1.17&lt;2.145</t>
  </si>
  <si>
    <t>1.86&lt;2.145</t>
  </si>
  <si>
    <t>0.04&lt;2.145</t>
  </si>
  <si>
    <t>0.5&lt;2.145</t>
  </si>
  <si>
    <t>0.09&lt;2.145</t>
  </si>
  <si>
    <t>0.9&lt;2.145</t>
  </si>
  <si>
    <t>0.33&lt;2.145</t>
  </si>
  <si>
    <t>0.88&lt;2.145</t>
  </si>
  <si>
    <t>16.17&gt;2.145</t>
  </si>
  <si>
    <t>stat significance</t>
  </si>
  <si>
    <t>dummy</t>
  </si>
  <si>
    <t>x8 dummy</t>
  </si>
  <si>
    <t>stat verification and hetero</t>
  </si>
  <si>
    <t>intro, obj and meth</t>
  </si>
  <si>
    <t>econ verifiation with foreighn trade</t>
  </si>
  <si>
    <t>exchange rate of KZT/USD</t>
  </si>
  <si>
    <t>GDP of main export destination China in Bil USD</t>
  </si>
  <si>
    <t>GDP of main trading partner China in bil. USD</t>
  </si>
  <si>
    <t>Kazakhstan GDP in bil. USD</t>
  </si>
  <si>
    <t>Turkey GDP in bil. USD</t>
  </si>
  <si>
    <t>Russia GDP in bil. USD</t>
  </si>
  <si>
    <t>China  GDP in bil. USD</t>
  </si>
  <si>
    <t>KZT exchange rate per USD</t>
  </si>
  <si>
    <t>Turkish Lira exchange rate per USD</t>
  </si>
  <si>
    <t>Russian Ruble exchange rate per USD</t>
  </si>
  <si>
    <t>Chinese Yuan exchange rate per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</si>
</sst>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7"/>
      <color theme="1"/>
      <name val="Times New Roman"/>
      <family val="1"/>
    </font>
    <font>
      <sz val="12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horizontal="left" vertical="center" indent="4"/>
    </xf>
    <xf numFmtId="0" fontId="3" fillId="0" borderId="0" xfId="0" applyFont="1" applyAlignment="1">
      <alignment horizontal="left" vertical="center" indent="9"/>
    </xf>
    <xf numFmtId="0" fontId="1" fillId="0" borderId="0" xfId="0" applyFont="1" applyAlignment="1">
      <alignment horizontal="left" vertical="center" indent="9"/>
    </xf>
    <xf numFmtId="0" fontId="0" fillId="0" borderId="1" xfId="0" applyBorder="1"/>
    <xf numFmtId="164" fontId="0" fillId="2" borderId="1" xfId="0" applyNumberFormat="1" applyFill="1" applyBorder="1"/>
    <xf numFmtId="164" fontId="0" fillId="0" borderId="1" xfId="0" applyNumberFormat="1" applyBorder="1"/>
    <xf numFmtId="0" fontId="0" fillId="2" borderId="0" xfId="0" applyFill="1"/>
    <xf numFmtId="0" fontId="4" fillId="0" borderId="0" xfId="1"/>
    <xf numFmtId="0" fontId="0" fillId="4" borderId="1" xfId="0" applyFill="1" applyBorder="1"/>
    <xf numFmtId="0" fontId="0" fillId="5" borderId="1" xfId="0" applyFill="1" applyBorder="1"/>
    <xf numFmtId="0" fontId="5" fillId="3" borderId="0" xfId="0" applyFont="1" applyFill="1" applyAlignment="1">
      <alignment horizontal="right" vertical="center" wrapText="1"/>
    </xf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6" borderId="1" xfId="0" applyFill="1" applyBorder="1"/>
    <xf numFmtId="0" fontId="0" fillId="7" borderId="1" xfId="0" applyFill="1" applyBorder="1"/>
    <xf numFmtId="0" fontId="1" fillId="4" borderId="0" xfId="0" applyFont="1" applyFill="1" applyAlignment="1">
      <alignment horizontal="left" vertical="center" indent="4"/>
    </xf>
    <xf numFmtId="0" fontId="0" fillId="4" borderId="0" xfId="0" applyFill="1"/>
    <xf numFmtId="0" fontId="1" fillId="4" borderId="0" xfId="0" applyFont="1" applyFill="1" applyAlignment="1">
      <alignment horizontal="left" vertical="center" indent="9"/>
    </xf>
    <xf numFmtId="0" fontId="0" fillId="0" borderId="5" xfId="0" applyBorder="1"/>
    <xf numFmtId="10" fontId="0" fillId="0" borderId="6" xfId="0" applyNumberFormat="1" applyBorder="1"/>
    <xf numFmtId="10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8" borderId="0" xfId="0" applyFill="1"/>
    <xf numFmtId="0" fontId="0" fillId="6" borderId="0" xfId="0" applyFill="1"/>
    <xf numFmtId="0" fontId="0" fillId="10" borderId="1" xfId="0" applyFill="1" applyBorder="1"/>
    <xf numFmtId="0" fontId="0" fillId="9" borderId="1" xfId="0" applyFill="1" applyBorder="1"/>
    <xf numFmtId="0" fontId="0" fillId="11" borderId="0" xfId="0" applyFill="1"/>
    <xf numFmtId="0" fontId="0" fillId="12" borderId="1" xfId="0" applyFill="1" applyBorder="1"/>
    <xf numFmtId="0" fontId="0" fillId="9" borderId="4" xfId="0" applyFill="1" applyBorder="1"/>
    <xf numFmtId="0" fontId="0" fillId="13" borderId="1" xfId="0" applyFill="1" applyBorder="1"/>
    <xf numFmtId="10" fontId="0" fillId="0" borderId="2" xfId="0" applyNumberFormat="1" applyBorder="1"/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right" vertical="center" wrapText="1"/>
    </xf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2" fontId="0" fillId="0" borderId="6" xfId="0" applyNumberFormat="1" applyBorder="1"/>
    <xf numFmtId="2" fontId="0" fillId="0" borderId="12" xfId="0" applyNumberFormat="1" applyBorder="1"/>
    <xf numFmtId="2" fontId="0" fillId="6" borderId="12" xfId="0" applyNumberFormat="1" applyFill="1" applyBorder="1"/>
    <xf numFmtId="2" fontId="0" fillId="0" borderId="7" xfId="0" applyNumberFormat="1" applyBorder="1"/>
    <xf numFmtId="2" fontId="0" fillId="0" borderId="1" xfId="0" applyNumberFormat="1" applyBorder="1"/>
    <xf numFmtId="2" fontId="0" fillId="10" borderId="1" xfId="0" applyNumberFormat="1" applyFill="1" applyBorder="1"/>
    <xf numFmtId="0" fontId="0" fillId="0" borderId="0" xfId="0" applyAlignment="1">
      <alignment wrapText="1"/>
    </xf>
    <xf numFmtId="0" fontId="0" fillId="14" borderId="11" xfId="0" applyFill="1" applyBorder="1"/>
    <xf numFmtId="0" fontId="0" fillId="14" borderId="7" xfId="0" applyFill="1" applyBorder="1"/>
    <xf numFmtId="0" fontId="0" fillId="14" borderId="1" xfId="0" applyFill="1" applyBorder="1"/>
    <xf numFmtId="0" fontId="0" fillId="14" borderId="12" xfId="0" applyFill="1" applyBorder="1"/>
    <xf numFmtId="0" fontId="0" fillId="15" borderId="12" xfId="0" applyFill="1" applyBorder="1"/>
    <xf numFmtId="0" fontId="0" fillId="15" borderId="1" xfId="0" applyFill="1" applyBorder="1"/>
    <xf numFmtId="0" fontId="0" fillId="15" borderId="14" xfId="0" applyFill="1" applyBorder="1" applyAlignment="1">
      <alignment wrapText="1"/>
    </xf>
    <xf numFmtId="165" fontId="0" fillId="0" borderId="0" xfId="0" applyNumberFormat="1"/>
    <xf numFmtId="0" fontId="0" fillId="16" borderId="14" xfId="0" applyFill="1" applyBorder="1"/>
    <xf numFmtId="0" fontId="0" fillId="16" borderId="11" xfId="0" applyFill="1" applyBorder="1"/>
    <xf numFmtId="0" fontId="0" fillId="17" borderId="1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KZ Tenge</a:t>
            </a:r>
            <a:r>
              <a:rPr lang="en-US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'Correlation Exchange rate'!$B$1</c:f>
              <c:strCache>
                <c:ptCount val="1"/>
                <c:pt idx="0">
                  <c:v>KZT exchange rate per 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Exchange rate'!$A$2:$A$17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Exchange rate'!$B$2:$B$17</c:f>
              <c:numCache>
                <c:formatCode>General</c:formatCode>
                <c:ptCount val="16"/>
                <c:pt idx="0">
                  <c:v>127</c:v>
                </c:pt>
                <c:pt idx="1">
                  <c:v>120.3</c:v>
                </c:pt>
                <c:pt idx="2">
                  <c:v>120.79</c:v>
                </c:pt>
                <c:pt idx="3">
                  <c:v>148.46</c:v>
                </c:pt>
                <c:pt idx="4">
                  <c:v>146.72999999999999</c:v>
                </c:pt>
                <c:pt idx="5">
                  <c:v>149.13</c:v>
                </c:pt>
                <c:pt idx="6">
                  <c:v>152.19999999999999</c:v>
                </c:pt>
                <c:pt idx="7">
                  <c:v>178.81</c:v>
                </c:pt>
                <c:pt idx="8">
                  <c:v>222.19</c:v>
                </c:pt>
                <c:pt idx="9">
                  <c:v>341.9</c:v>
                </c:pt>
                <c:pt idx="10">
                  <c:v>326.17</c:v>
                </c:pt>
                <c:pt idx="11">
                  <c:v>345.09</c:v>
                </c:pt>
                <c:pt idx="12">
                  <c:v>383.04</c:v>
                </c:pt>
                <c:pt idx="13">
                  <c:v>414.08</c:v>
                </c:pt>
                <c:pt idx="14">
                  <c:v>426.7</c:v>
                </c:pt>
                <c:pt idx="15">
                  <c:v>461.71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8-4545-9FF1-F125EDEE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5424303"/>
        <c:axId val="1702320847"/>
      </c:lineChart>
      <c:catAx>
        <c:axId val="10854243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2320847"/>
        <c:crosses val="autoZero"/>
        <c:auto val="1"/>
        <c:lblAlgn val="ctr"/>
        <c:lblOffset val="100"/>
        <c:noMultiLvlLbl val="0"/>
      </c:catAx>
      <c:valAx>
        <c:axId val="1702320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USD</a:t>
                </a:r>
                <a:r>
                  <a:rPr lang="en-US" baseline="0"/>
                  <a:t> to KZT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424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Turkish</a:t>
            </a:r>
            <a:r>
              <a:rPr lang="en-US" baseline="0"/>
              <a:t> Lira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'Correlation Exchange rate'!$C$1</c:f>
              <c:strCache>
                <c:ptCount val="1"/>
                <c:pt idx="0">
                  <c:v>Turkish Lira exchange rate per 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Exchange rate'!$A$2:$A$17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Exchange rate'!$C$2:$C$17</c:f>
              <c:numCache>
                <c:formatCode>General</c:formatCode>
                <c:ptCount val="16"/>
                <c:pt idx="0">
                  <c:v>1.41875</c:v>
                </c:pt>
                <c:pt idx="1">
                  <c:v>1.1686399999999999</c:v>
                </c:pt>
                <c:pt idx="2">
                  <c:v>1.6089199999999999</c:v>
                </c:pt>
                <c:pt idx="3">
                  <c:v>1.4554199999999999</c:v>
                </c:pt>
                <c:pt idx="4">
                  <c:v>1.5657799999999999</c:v>
                </c:pt>
                <c:pt idx="5">
                  <c:v>1.881275</c:v>
                </c:pt>
                <c:pt idx="6">
                  <c:v>1.7762</c:v>
                </c:pt>
                <c:pt idx="7">
                  <c:v>2.17448</c:v>
                </c:pt>
                <c:pt idx="8">
                  <c:v>2.3145389999999999</c:v>
                </c:pt>
                <c:pt idx="9">
                  <c:v>2.99268</c:v>
                </c:pt>
                <c:pt idx="10">
                  <c:v>3.5982500000000002</c:v>
                </c:pt>
                <c:pt idx="11">
                  <c:v>3.75345</c:v>
                </c:pt>
                <c:pt idx="12">
                  <c:v>5.3947399999999996</c:v>
                </c:pt>
                <c:pt idx="13">
                  <c:v>5.9245390000000002</c:v>
                </c:pt>
                <c:pt idx="14">
                  <c:v>7.3650000000000002</c:v>
                </c:pt>
                <c:pt idx="15">
                  <c:v>13.6105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B-4C6E-A490-8DC173003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5399343"/>
        <c:axId val="126734959"/>
      </c:lineChart>
      <c:catAx>
        <c:axId val="10853993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34959"/>
        <c:crosses val="autoZero"/>
        <c:auto val="1"/>
        <c:lblAlgn val="ctr"/>
        <c:lblOffset val="100"/>
        <c:noMultiLvlLbl val="0"/>
      </c:catAx>
      <c:valAx>
        <c:axId val="126734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USD to Lira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39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Russian</a:t>
            </a:r>
            <a:r>
              <a:rPr lang="en-US" baseline="0"/>
              <a:t> Ruble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Exchange rate'!$A$2:$A$17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Exchange rate'!$D$2:$D$17</c:f>
              <c:numCache>
                <c:formatCode>General</c:formatCode>
                <c:ptCount val="16"/>
                <c:pt idx="0">
                  <c:v>26.331099999999999</c:v>
                </c:pt>
                <c:pt idx="1">
                  <c:v>24.546199999999999</c:v>
                </c:pt>
                <c:pt idx="2">
                  <c:v>29.3916</c:v>
                </c:pt>
                <c:pt idx="3">
                  <c:v>30.185099999999998</c:v>
                </c:pt>
                <c:pt idx="4">
                  <c:v>30.3505</c:v>
                </c:pt>
                <c:pt idx="5">
                  <c:v>32.196100000000001</c:v>
                </c:pt>
                <c:pt idx="6">
                  <c:v>30.372699999999998</c:v>
                </c:pt>
                <c:pt idx="7">
                  <c:v>32.658700000000003</c:v>
                </c:pt>
                <c:pt idx="8">
                  <c:v>56.2376</c:v>
                </c:pt>
                <c:pt idx="9">
                  <c:v>72.929900000000004</c:v>
                </c:pt>
                <c:pt idx="10">
                  <c:v>60.6569</c:v>
                </c:pt>
                <c:pt idx="11">
                  <c:v>57.600200000000001</c:v>
                </c:pt>
                <c:pt idx="12">
                  <c:v>69.470600000000005</c:v>
                </c:pt>
                <c:pt idx="13">
                  <c:v>61.905700000000003</c:v>
                </c:pt>
                <c:pt idx="14">
                  <c:v>73.875699999999995</c:v>
                </c:pt>
                <c:pt idx="15">
                  <c:v>74.292599999999993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7-4A67-846A-4D8E3CC95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563215"/>
        <c:axId val="314891551"/>
      </c:lineChart>
      <c:catAx>
        <c:axId val="11865632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891551"/>
        <c:crosses val="autoZero"/>
        <c:auto val="1"/>
        <c:lblAlgn val="ctr"/>
        <c:lblOffset val="100"/>
        <c:noMultiLvlLbl val="0"/>
      </c:catAx>
      <c:valAx>
        <c:axId val="31489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USD</a:t>
                </a:r>
                <a:r>
                  <a:rPr lang="en-US" baseline="0"/>
                  <a:t> to Ruble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563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Chinese</a:t>
            </a:r>
            <a:r>
              <a:rPr lang="en-US" baseline="0"/>
              <a:t> Yuan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Exchange rate'!$A$2:$A$17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Exchange rate'!$E$2:$E$17</c:f>
              <c:numCache>
                <c:formatCode>General</c:formatCode>
                <c:ptCount val="16"/>
                <c:pt idx="0">
                  <c:v>7.8072999999999997</c:v>
                </c:pt>
                <c:pt idx="1">
                  <c:v>7.2995999999999999</c:v>
                </c:pt>
                <c:pt idx="2">
                  <c:v>6.8367000000000004</c:v>
                </c:pt>
                <c:pt idx="3">
                  <c:v>6.8281000000000001</c:v>
                </c:pt>
                <c:pt idx="4">
                  <c:v>6.6215000000000002</c:v>
                </c:pt>
                <c:pt idx="5">
                  <c:v>6.3000999999999996</c:v>
                </c:pt>
                <c:pt idx="6">
                  <c:v>6.2896999999999998</c:v>
                </c:pt>
                <c:pt idx="7">
                  <c:v>6.0990000000000002</c:v>
                </c:pt>
                <c:pt idx="8">
                  <c:v>6.1247999999999996</c:v>
                </c:pt>
                <c:pt idx="9">
                  <c:v>6.5125999999999999</c:v>
                </c:pt>
                <c:pt idx="10">
                  <c:v>6.9551999999999996</c:v>
                </c:pt>
                <c:pt idx="11">
                  <c:v>6.4958999999999998</c:v>
                </c:pt>
                <c:pt idx="12">
                  <c:v>6.8556999999999997</c:v>
                </c:pt>
                <c:pt idx="13">
                  <c:v>6.97</c:v>
                </c:pt>
                <c:pt idx="14">
                  <c:v>6.4682000000000004</c:v>
                </c:pt>
                <c:pt idx="15">
                  <c:v>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4-4C1D-9FEA-BA5DD8FE4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602575"/>
        <c:axId val="126733471"/>
      </c:lineChart>
      <c:catAx>
        <c:axId val="1186602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33471"/>
        <c:crosses val="autoZero"/>
        <c:auto val="1"/>
        <c:lblAlgn val="ctr"/>
        <c:lblOffset val="100"/>
        <c:noMultiLvlLbl val="0"/>
      </c:catAx>
      <c:valAx>
        <c:axId val="126733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USD</a:t>
                </a:r>
                <a:r>
                  <a:rPr lang="en-US" baseline="0"/>
                  <a:t> to Yuan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602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GDP</a:t>
            </a:r>
            <a:r>
              <a:rPr lang="en-US" baseline="0"/>
              <a:t> of Kazakhstan and Turkey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'Correlation GDP'!$B$1</c:f>
              <c:strCache>
                <c:ptCount val="1"/>
                <c:pt idx="0">
                  <c:v>Kazakhstan GDP in bil. 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GDP'!$A$2:$A$17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GDP'!$B$2:$B$17</c:f>
              <c:numCache>
                <c:formatCode>General</c:formatCode>
                <c:ptCount val="16"/>
                <c:pt idx="0">
                  <c:v>104.85</c:v>
                </c:pt>
                <c:pt idx="1">
                  <c:v>133.44</c:v>
                </c:pt>
                <c:pt idx="2">
                  <c:v>115.31</c:v>
                </c:pt>
                <c:pt idx="3">
                  <c:v>148.05000000000001</c:v>
                </c:pt>
                <c:pt idx="4">
                  <c:v>192.63</c:v>
                </c:pt>
                <c:pt idx="5">
                  <c:v>208</c:v>
                </c:pt>
                <c:pt idx="6">
                  <c:v>236.63</c:v>
                </c:pt>
                <c:pt idx="7">
                  <c:v>221.42</c:v>
                </c:pt>
                <c:pt idx="8">
                  <c:v>184.39</c:v>
                </c:pt>
                <c:pt idx="9">
                  <c:v>137.28</c:v>
                </c:pt>
                <c:pt idx="10">
                  <c:v>166.81</c:v>
                </c:pt>
                <c:pt idx="11">
                  <c:v>179.34</c:v>
                </c:pt>
                <c:pt idx="12">
                  <c:v>181.67</c:v>
                </c:pt>
                <c:pt idx="13">
                  <c:v>171.08</c:v>
                </c:pt>
                <c:pt idx="14">
                  <c:v>197.11</c:v>
                </c:pt>
                <c:pt idx="15">
                  <c:v>220.62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4-4B48-945D-872D12A741C7}"/>
            </c:ext>
          </c:extLst>
        </c:ser>
        <c:ser>
          <c:idx val="1"/>
          <c:order val="1"/>
          <c:tx>
            <c:strRef>
              <c:f>'Correlation GDP'!$C$1</c:f>
              <c:strCache>
                <c:ptCount val="1"/>
                <c:pt idx="0">
                  <c:v>Turkey GDP in bil.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'Correlation GDP'!$A$2:$A$17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GDP'!$C$2:$C$17</c:f>
              <c:numCache>
                <c:formatCode>General</c:formatCode>
                <c:ptCount val="16"/>
                <c:pt idx="0">
                  <c:v>681.32</c:v>
                </c:pt>
                <c:pt idx="1">
                  <c:v>770.45</c:v>
                </c:pt>
                <c:pt idx="2">
                  <c:v>649.29</c:v>
                </c:pt>
                <c:pt idx="3">
                  <c:v>776.97</c:v>
                </c:pt>
                <c:pt idx="4">
                  <c:v>838.79</c:v>
                </c:pt>
                <c:pt idx="5">
                  <c:v>880.56</c:v>
                </c:pt>
                <c:pt idx="6">
                  <c:v>957.8</c:v>
                </c:pt>
                <c:pt idx="7">
                  <c:v>938.93</c:v>
                </c:pt>
                <c:pt idx="8">
                  <c:v>864.31</c:v>
                </c:pt>
                <c:pt idx="9">
                  <c:v>869.68</c:v>
                </c:pt>
                <c:pt idx="10">
                  <c:v>858.99</c:v>
                </c:pt>
                <c:pt idx="11">
                  <c:v>778.48</c:v>
                </c:pt>
                <c:pt idx="12">
                  <c:v>759.93</c:v>
                </c:pt>
                <c:pt idx="13">
                  <c:v>720.29</c:v>
                </c:pt>
                <c:pt idx="14">
                  <c:v>819.03</c:v>
                </c:pt>
                <c:pt idx="15">
                  <c:v>905.99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4-4B48-945D-872D12A74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91087"/>
        <c:axId val="1650020575"/>
      </c:lineChart>
      <c:catAx>
        <c:axId val="45791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Years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020575"/>
        <c:crosses val="autoZero"/>
        <c:auto val="1"/>
        <c:lblAlgn val="ctr"/>
        <c:lblOffset val="100"/>
        <c:noMultiLvlLbl val="0"/>
      </c:catAx>
      <c:valAx>
        <c:axId val="165002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GDP in bill.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791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GDP</a:t>
            </a:r>
            <a:r>
              <a:rPr lang="en-US" baseline="0"/>
              <a:t> of Russia and China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'Correlation GDP'!$D$1</c:f>
              <c:strCache>
                <c:ptCount val="1"/>
                <c:pt idx="0">
                  <c:v>Russia GDP in bil. USD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'Correlation GDP'!$A$2:$A$17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GDP'!$D$2:$D$17</c:f>
              <c:numCache>
                <c:formatCode>General</c:formatCode>
                <c:ptCount val="16"/>
                <c:pt idx="0">
                  <c:v>1299.7</c:v>
                </c:pt>
                <c:pt idx="1">
                  <c:v>1660.85</c:v>
                </c:pt>
                <c:pt idx="2">
                  <c:v>1222.6500000000001</c:v>
                </c:pt>
                <c:pt idx="3">
                  <c:v>1524.92</c:v>
                </c:pt>
                <c:pt idx="4">
                  <c:v>2045.92</c:v>
                </c:pt>
                <c:pt idx="5">
                  <c:v>2208.29</c:v>
                </c:pt>
                <c:pt idx="6">
                  <c:v>2292.4699999999998</c:v>
                </c:pt>
                <c:pt idx="7">
                  <c:v>2059.2399999999998</c:v>
                </c:pt>
                <c:pt idx="8">
                  <c:v>1363.48</c:v>
                </c:pt>
                <c:pt idx="9">
                  <c:v>1276.79</c:v>
                </c:pt>
                <c:pt idx="10">
                  <c:v>1574.2</c:v>
                </c:pt>
                <c:pt idx="11">
                  <c:v>1657.33</c:v>
                </c:pt>
                <c:pt idx="12">
                  <c:v>1693.11</c:v>
                </c:pt>
                <c:pt idx="13">
                  <c:v>1493.08</c:v>
                </c:pt>
                <c:pt idx="14">
                  <c:v>1836.89</c:v>
                </c:pt>
                <c:pt idx="15">
                  <c:v>2240.42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D-48C9-9482-B68628DF293B}"/>
            </c:ext>
          </c:extLst>
        </c:ser>
        <c:ser>
          <c:idx val="1"/>
          <c:order val="1"/>
          <c:tx>
            <c:strRef>
              <c:f>'Correlation GDP'!$E$1</c:f>
              <c:strCache>
                <c:ptCount val="1"/>
                <c:pt idx="0">
                  <c:v>China  GDP in bil. USD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'Correlation GDP'!$A$2:$A$17</c:f>
              <c:numCache>
                <c:formatCode>General</c:formatCode>
                <c:ptCount val="1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</c:numCache>
            </c:numRef>
          </c:cat>
          <c:val>
            <c:numRef>
              <c:f>'Correlation GDP'!$E$2:$E$17</c:f>
              <c:numCache>
                <c:formatCode>General</c:formatCode>
                <c:ptCount val="16"/>
                <c:pt idx="0">
                  <c:v>3550.33</c:v>
                </c:pt>
                <c:pt idx="1">
                  <c:v>4594.34</c:v>
                </c:pt>
                <c:pt idx="2">
                  <c:v>5101.6899999999996</c:v>
                </c:pt>
                <c:pt idx="3">
                  <c:v>6087.19</c:v>
                </c:pt>
                <c:pt idx="4">
                  <c:v>7551.55</c:v>
                </c:pt>
                <c:pt idx="5">
                  <c:v>8532.19</c:v>
                </c:pt>
                <c:pt idx="6">
                  <c:v>9570.4699999999993</c:v>
                </c:pt>
                <c:pt idx="7">
                  <c:v>10475.620000000001</c:v>
                </c:pt>
                <c:pt idx="8">
                  <c:v>11061.57</c:v>
                </c:pt>
                <c:pt idx="9">
                  <c:v>11233.31</c:v>
                </c:pt>
                <c:pt idx="10">
                  <c:v>12310.49</c:v>
                </c:pt>
                <c:pt idx="11">
                  <c:v>13894.91</c:v>
                </c:pt>
                <c:pt idx="12">
                  <c:v>14279.97</c:v>
                </c:pt>
                <c:pt idx="13">
                  <c:v>14687.74</c:v>
                </c:pt>
                <c:pt idx="14">
                  <c:v>17820.46</c:v>
                </c:pt>
                <c:pt idx="15">
                  <c:v>17963.169999999998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D-48C9-9482-B68628DF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69327"/>
        <c:axId val="321893295"/>
      </c:lineChart>
      <c:catAx>
        <c:axId val="3365693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1893295"/>
        <c:crosses val="autoZero"/>
        <c:auto val="1"/>
        <c:lblAlgn val="ctr"/>
        <c:lblOffset val="100"/>
        <c:noMultiLvlLbl val="0"/>
      </c:catAx>
      <c:valAx>
        <c:axId val="32189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GDP</a:t>
                </a:r>
                <a:r>
                  <a:rPr lang="en-US" baseline="0"/>
                  <a:t> in bill. USD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569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Kazakh</a:t>
            </a:r>
            <a:r>
              <a:rPr lang="en-US" baseline="0"/>
              <a:t> Tenge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1472890476251E-2"/>
          <c:y val="0.16708328395476832"/>
          <c:w val="0.87753018372703417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145516185476814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yVal>
            <c:numRef>
              <c:f>' Forecastin Exch'!$B$2:$B$17</c:f>
              <c:numCache>
                <c:formatCode>General</c:formatCode>
                <c:ptCount val="16"/>
                <c:pt idx="0">
                  <c:v>127</c:v>
                </c:pt>
                <c:pt idx="1">
                  <c:v>120.3</c:v>
                </c:pt>
                <c:pt idx="2">
                  <c:v>120.79</c:v>
                </c:pt>
                <c:pt idx="3">
                  <c:v>148.46</c:v>
                </c:pt>
                <c:pt idx="4">
                  <c:v>146.72999999999999</c:v>
                </c:pt>
                <c:pt idx="5">
                  <c:v>149.13</c:v>
                </c:pt>
                <c:pt idx="6">
                  <c:v>152.19999999999999</c:v>
                </c:pt>
                <c:pt idx="7">
                  <c:v>178.81</c:v>
                </c:pt>
                <c:pt idx="8">
                  <c:v>222.19</c:v>
                </c:pt>
                <c:pt idx="9">
                  <c:v>341.9</c:v>
                </c:pt>
                <c:pt idx="10">
                  <c:v>326.17</c:v>
                </c:pt>
                <c:pt idx="11">
                  <c:v>345.09</c:v>
                </c:pt>
                <c:pt idx="12">
                  <c:v>383.04</c:v>
                </c:pt>
                <c:pt idx="13">
                  <c:v>414.08</c:v>
                </c:pt>
                <c:pt idx="14">
                  <c:v>426.7</c:v>
                </c:pt>
                <c:pt idx="15">
                  <c:v>461.71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E0-4AE8-A548-7E2986A5D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007152"/>
        <c:axId val="257992272"/>
      </c:scatterChart>
      <c:valAx>
        <c:axId val="258007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values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992272"/>
        <c:crosses val="autoZero"/>
        <c:crossBetween val="midCat"/>
      </c:valAx>
      <c:valAx>
        <c:axId val="25799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Kazakh Tenge to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00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Kazakh</a:t>
            </a:r>
            <a:r>
              <a:rPr lang="en-US" baseline="0"/>
              <a:t> Tenge Forecasting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D6-48F1-B13B-D2852E077B70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accent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D6-48F1-B13B-D2852E077B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yVal>
            <c:numRef>
              <c:f>' Forecastin Exch'!$B$2:$B$19</c:f>
              <c:numCache>
                <c:formatCode>General</c:formatCode>
                <c:ptCount val="18"/>
                <c:pt idx="0">
                  <c:v>127</c:v>
                </c:pt>
                <c:pt idx="1">
                  <c:v>120.3</c:v>
                </c:pt>
                <c:pt idx="2">
                  <c:v>120.79</c:v>
                </c:pt>
                <c:pt idx="3">
                  <c:v>148.46</c:v>
                </c:pt>
                <c:pt idx="4">
                  <c:v>146.72999999999999</c:v>
                </c:pt>
                <c:pt idx="5">
                  <c:v>149.13</c:v>
                </c:pt>
                <c:pt idx="6">
                  <c:v>152.19999999999999</c:v>
                </c:pt>
                <c:pt idx="7">
                  <c:v>178.81</c:v>
                </c:pt>
                <c:pt idx="8">
                  <c:v>222.19</c:v>
                </c:pt>
                <c:pt idx="9">
                  <c:v>341.9</c:v>
                </c:pt>
                <c:pt idx="10">
                  <c:v>326.17</c:v>
                </c:pt>
                <c:pt idx="11">
                  <c:v>345.09</c:v>
                </c:pt>
                <c:pt idx="12">
                  <c:v>383.04</c:v>
                </c:pt>
                <c:pt idx="13">
                  <c:v>414.08</c:v>
                </c:pt>
                <c:pt idx="14">
                  <c:v>426.7</c:v>
                </c:pt>
                <c:pt idx="15">
                  <c:v>461.71</c:v>
                </c:pt>
                <c:pt idx="16">
                  <c:v>418.70000000000005</c:v>
                </c:pt>
                <c:pt idx="17">
                  <c:v>444.03500000000003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6-48F1-B13B-D2852E077B7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58034992"/>
        <c:axId val="258051792"/>
      </c:scatterChart>
      <c:valAx>
        <c:axId val="258034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values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051792"/>
        <c:crosses val="autoZero"/>
        <c:crossBetween val="midCat"/>
      </c:valAx>
      <c:valAx>
        <c:axId val="2580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Kazakh Tenge</a:t>
                </a:r>
                <a:r>
                  <a:rPr lang="en-US" baseline="0"/>
                  <a:t> to USD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034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29</xdr:row>
      <xdr:rowOff>0</xdr:rowOff>
    </xdr:from>
    <xdr:to>
      <xdr:col>33</xdr:col>
      <xdr:colOff>430222</xdr:colOff>
      <xdr:row>70</xdr:row>
      <xdr:rowOff>1061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2799C-ACAF-B381-E6FA-182D061D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5248275"/>
          <a:ext cx="11441122" cy="7602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2</xdr:row>
      <xdr:rowOff>169068</xdr:rowOff>
    </xdr:from>
    <xdr:to>
      <xdr:col>14</xdr:col>
      <xdr:colOff>30956</xdr:colOff>
      <xdr:row>17</xdr:row>
      <xdr:rowOff>100013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B2442D-B488-BACB-2602-83C4F02C91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204787</xdr:colOff>
      <xdr:row>6</xdr:row>
      <xdr:rowOff>173831</xdr:rowOff>
    </xdr:from>
    <xdr:to>
      <xdr:col>14</xdr:col>
      <xdr:colOff>30955</xdr:colOff>
      <xdr:row>21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A64889-AAA8-F285-06D0-0D843E4D08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200024</xdr:colOff>
      <xdr:row>9</xdr:row>
      <xdr:rowOff>116681</xdr:rowOff>
    </xdr:from>
    <xdr:to>
      <xdr:col>14</xdr:col>
      <xdr:colOff>2379</xdr:colOff>
      <xdr:row>23</xdr:row>
      <xdr:rowOff>119063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7D781C-6196-8ADA-A5C7-D0B2469F4F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280987</xdr:colOff>
      <xdr:row>12</xdr:row>
      <xdr:rowOff>102394</xdr:rowOff>
    </xdr:from>
    <xdr:to>
      <xdr:col>14</xdr:col>
      <xdr:colOff>2380</xdr:colOff>
      <xdr:row>27</xdr:row>
      <xdr:rowOff>80963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0A8BC-480F-034D-C1FD-B8EA4F1CF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254000</xdr:colOff>
      <xdr:row>13</xdr:row>
      <xdr:rowOff>49096</xdr:rowOff>
    </xdr:from>
    <xdr:to>
      <xdr:col>9</xdr:col>
      <xdr:colOff>612886</xdr:colOff>
      <xdr:row>25</xdr:row>
      <xdr:rowOff>34369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203FDC-21E5-A7D3-7CD5-4ED8F2535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8146" t="35408" r="10634" b="41303"/>
        <a:stretch/>
      </xdr:blipFill>
      <xdr:spPr>
        <a:xfrm>
          <a:off x="3494464" y="2410707"/>
          <a:ext cx="2951257" cy="2165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469105</xdr:colOff>
      <xdr:row>1</xdr:row>
      <xdr:rowOff>2380</xdr:rowOff>
    </xdr:from>
    <xdr:to>
      <xdr:col>13</xdr:col>
      <xdr:colOff>638176</xdr:colOff>
      <xdr:row>20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6C6D3B-BBE7-C1B4-B57D-18CF652BE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478631</xdr:colOff>
      <xdr:row>20</xdr:row>
      <xdr:rowOff>50005</xdr:rowOff>
    </xdr:from>
    <xdr:to>
      <xdr:col>13</xdr:col>
      <xdr:colOff>619126</xdr:colOff>
      <xdr:row>40</xdr:row>
      <xdr:rowOff>123824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BD1E1F-A45C-5464-14EC-173A5D4EDB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208991</xdr:colOff>
      <xdr:row>17</xdr:row>
      <xdr:rowOff>176894</xdr:rowOff>
    </xdr:from>
    <xdr:to>
      <xdr:col>6</xdr:col>
      <xdr:colOff>45356</xdr:colOff>
      <xdr:row>31</xdr:row>
      <xdr:rowOff>146534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E2D5B8-B9BB-6219-8106-C60911A85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1447" t="34175" r="11693" b="39777"/>
        <a:stretch/>
      </xdr:blipFill>
      <xdr:spPr>
        <a:xfrm>
          <a:off x="1664956" y="3261180"/>
          <a:ext cx="2430793" cy="2509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609600</xdr:colOff>
      <xdr:row>0</xdr:row>
      <xdr:rowOff>150019</xdr:rowOff>
    </xdr:from>
    <xdr:to>
      <xdr:col>18</xdr:col>
      <xdr:colOff>288131</xdr:colOff>
      <xdr:row>16</xdr:row>
      <xdr:rowOff>157163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E6EEE9C-5D1B-A5F7-8BEF-2E43FA5524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521490</xdr:colOff>
      <xdr:row>7</xdr:row>
      <xdr:rowOff>59532</xdr:rowOff>
    </xdr:from>
    <xdr:to>
      <xdr:col>21</xdr:col>
      <xdr:colOff>228599</xdr:colOff>
      <xdr:row>22</xdr:row>
      <xdr:rowOff>133349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B516D0-0A5E-92E3-DFA2-06B5D30F84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its.worldbank.org/CountryProfile/en/Country/KAZ/Year/2011/Summarytex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nationalbank.kz/en/exchangerates/ezhednevnye-oficialnye-rynochnye-kursy-valyut/report?beginDate=01.01.2010&amp;endDate=31.12.2010&amp;rates%5B%5D=5" TargetMode="External"/><Relationship Id="rId2" Type="http://schemas.openxmlformats.org/officeDocument/2006/relationships/hyperlink" Target="https://www.poundsterlinglive.com/bank-of-england-spot/historical-spot-exchange-rates/usd/USD-to-TRY-2007" TargetMode="External"/><Relationship Id="rId1" Type="http://schemas.openxmlformats.org/officeDocument/2006/relationships/hyperlink" Target="https://www.cbr.ru/eng/currency_base/daily/?UniDbQuery.Posted=True&amp;UniDbQuery.To=01.01.2007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www.imf.org/external/np/fin/data/rms_mth.aspx?SelectDate=2007-01-31&amp;reportType=RE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CD70F-3484-46CE-9711-0AFB3D7856BB}">
  <dimension ref="A1:L16"/>
  <sheetViews>
    <sheetView workbookViewId="0">
      <selection activeCell="M7" sqref="M7"/>
    </sheetView>
  </sheetViews>
  <sheetFormatPr defaultRowHeight="14.25" x14ac:dyDescent="0.45"/>
  <sheetData>
    <row r="1" spans="1:12" x14ac:dyDescent="0.45">
      <c r="A1" s="4" t="s">
        <v>0</v>
      </c>
      <c r="B1" s="4" t="s">
        <v>128</v>
      </c>
      <c r="C1" s="4" t="s">
        <v>6</v>
      </c>
      <c r="D1" s="4" t="s">
        <v>181</v>
      </c>
      <c r="E1" s="4" t="s">
        <v>8</v>
      </c>
      <c r="F1" s="66" t="s">
        <v>185</v>
      </c>
      <c r="G1" s="4" t="s">
        <v>15</v>
      </c>
      <c r="H1" s="66" t="s">
        <v>16</v>
      </c>
      <c r="I1" s="4" t="s">
        <v>129</v>
      </c>
      <c r="J1" s="66" t="s">
        <v>183</v>
      </c>
      <c r="K1" s="4" t="s">
        <v>131</v>
      </c>
      <c r="L1" s="4" t="s">
        <v>132</v>
      </c>
    </row>
    <row r="2" spans="1:12" x14ac:dyDescent="0.45">
      <c r="A2" s="4">
        <v>2008</v>
      </c>
      <c r="B2" s="4">
        <v>71.171999999999997</v>
      </c>
      <c r="C2" s="4">
        <v>1</v>
      </c>
      <c r="D2" s="4">
        <v>-6.7000000000000028</v>
      </c>
      <c r="E2" s="4">
        <v>17.14</v>
      </c>
      <c r="F2" s="4">
        <v>1044.0100000000002</v>
      </c>
      <c r="G2" s="4">
        <v>7.2995999999999999</v>
      </c>
      <c r="H2" s="4">
        <v>770.45</v>
      </c>
      <c r="I2" s="4">
        <v>1.1686399999999999</v>
      </c>
      <c r="J2" s="4">
        <v>361.14999999999986</v>
      </c>
      <c r="K2" s="4">
        <v>24.546199999999999</v>
      </c>
      <c r="L2" s="4">
        <v>50.281999999999996</v>
      </c>
    </row>
    <row r="3" spans="1:12" x14ac:dyDescent="0.45">
      <c r="A3" s="4">
        <v>2009</v>
      </c>
      <c r="B3" s="4">
        <v>43.195999999999998</v>
      </c>
      <c r="C3" s="4">
        <v>1</v>
      </c>
      <c r="D3" s="4">
        <v>0.49000000000000909</v>
      </c>
      <c r="E3" s="4">
        <v>7.32</v>
      </c>
      <c r="F3" s="4">
        <v>507.34999999999945</v>
      </c>
      <c r="G3" s="4">
        <v>6.8367000000000004</v>
      </c>
      <c r="H3" s="4">
        <v>649.29</v>
      </c>
      <c r="I3" s="4">
        <v>1.6089199999999999</v>
      </c>
      <c r="J3" s="4">
        <v>-438.19999999999982</v>
      </c>
      <c r="K3" s="4">
        <v>29.3916</v>
      </c>
      <c r="L3" s="4">
        <v>30.003</v>
      </c>
    </row>
    <row r="4" spans="1:12" x14ac:dyDescent="0.45">
      <c r="A4" s="4">
        <v>2010</v>
      </c>
      <c r="B4" s="4">
        <v>57.244</v>
      </c>
      <c r="C4" s="4">
        <v>1</v>
      </c>
      <c r="D4" s="4">
        <v>27.67</v>
      </c>
      <c r="E4" s="4">
        <v>7.4</v>
      </c>
      <c r="F4" s="4">
        <v>985.5</v>
      </c>
      <c r="G4" s="4">
        <v>6.8281000000000001</v>
      </c>
      <c r="H4" s="4">
        <v>776.97</v>
      </c>
      <c r="I4" s="4">
        <v>1.4554199999999999</v>
      </c>
      <c r="J4" s="4">
        <v>302.27</v>
      </c>
      <c r="K4" s="4">
        <v>30.185099999999998</v>
      </c>
      <c r="L4" s="4">
        <v>41.56</v>
      </c>
    </row>
    <row r="5" spans="1:12" x14ac:dyDescent="0.45">
      <c r="A5" s="4">
        <v>2011</v>
      </c>
      <c r="B5" s="4">
        <v>88.108000000000004</v>
      </c>
      <c r="C5" s="4">
        <v>1</v>
      </c>
      <c r="D5" s="4">
        <v>-1.7300000000000182</v>
      </c>
      <c r="E5" s="4">
        <v>8.42</v>
      </c>
      <c r="F5" s="4">
        <v>1464.3600000000006</v>
      </c>
      <c r="G5" s="4">
        <v>6.6215000000000002</v>
      </c>
      <c r="H5" s="4">
        <v>838.79</v>
      </c>
      <c r="I5" s="4">
        <v>1.5657799999999999</v>
      </c>
      <c r="J5" s="4">
        <v>521</v>
      </c>
      <c r="K5" s="4">
        <v>30.3505</v>
      </c>
      <c r="L5" s="4">
        <v>63.811</v>
      </c>
    </row>
    <row r="6" spans="1:12" x14ac:dyDescent="0.45">
      <c r="A6" s="4">
        <v>2012</v>
      </c>
      <c r="B6" s="4">
        <v>86.45</v>
      </c>
      <c r="C6" s="4">
        <v>1</v>
      </c>
      <c r="D6" s="4">
        <v>2.4000000000000057</v>
      </c>
      <c r="E6" s="4">
        <v>5.0999999999999996</v>
      </c>
      <c r="F6" s="4">
        <v>980.64000000000033</v>
      </c>
      <c r="G6" s="4">
        <v>6.3000999999999996</v>
      </c>
      <c r="H6" s="4">
        <v>880.56</v>
      </c>
      <c r="I6" s="4">
        <v>1.881275</v>
      </c>
      <c r="J6" s="4">
        <v>162.36999999999989</v>
      </c>
      <c r="K6" s="4">
        <v>32.196100000000001</v>
      </c>
      <c r="L6" s="4">
        <v>64.960999999999999</v>
      </c>
    </row>
    <row r="7" spans="1:12" x14ac:dyDescent="0.45">
      <c r="A7" s="4">
        <v>2013</v>
      </c>
      <c r="B7" s="4">
        <v>84.7</v>
      </c>
      <c r="C7" s="4">
        <v>1</v>
      </c>
      <c r="D7" s="4">
        <v>3.0699999999999932</v>
      </c>
      <c r="E7" s="4">
        <v>5.85</v>
      </c>
      <c r="F7" s="4">
        <v>1038.2799999999988</v>
      </c>
      <c r="G7" s="4">
        <v>6.2896999999999998</v>
      </c>
      <c r="H7" s="4">
        <v>957.8</v>
      </c>
      <c r="I7" s="4">
        <v>1.7762</v>
      </c>
      <c r="J7" s="4">
        <v>84.179999999999836</v>
      </c>
      <c r="K7" s="4">
        <v>30.372699999999998</v>
      </c>
      <c r="L7" s="4">
        <v>63.372</v>
      </c>
    </row>
    <row r="8" spans="1:12" x14ac:dyDescent="0.45">
      <c r="A8" s="4">
        <v>2014</v>
      </c>
      <c r="B8" s="4">
        <v>79.459999999999994</v>
      </c>
      <c r="C8" s="4">
        <v>1</v>
      </c>
      <c r="D8" s="4">
        <v>26.610000000000014</v>
      </c>
      <c r="E8" s="4">
        <v>6.71</v>
      </c>
      <c r="F8" s="4">
        <v>905.15000000000146</v>
      </c>
      <c r="G8" s="4">
        <v>6.0990000000000002</v>
      </c>
      <c r="H8" s="4">
        <v>938.93</v>
      </c>
      <c r="I8" s="4">
        <v>2.17448</v>
      </c>
      <c r="J8" s="4">
        <v>-233.23000000000002</v>
      </c>
      <c r="K8" s="4">
        <v>32.658700000000003</v>
      </c>
      <c r="L8" s="4">
        <v>59.31</v>
      </c>
    </row>
    <row r="9" spans="1:12" x14ac:dyDescent="0.45">
      <c r="A9" s="4">
        <v>2015</v>
      </c>
      <c r="B9" s="4">
        <v>45.96</v>
      </c>
      <c r="C9" s="4">
        <v>1</v>
      </c>
      <c r="D9" s="4">
        <v>43.379999999999995</v>
      </c>
      <c r="E9" s="4">
        <v>6.67</v>
      </c>
      <c r="F9" s="4">
        <v>585.94999999999891</v>
      </c>
      <c r="G9" s="4">
        <v>6.1247999999999996</v>
      </c>
      <c r="H9" s="4">
        <v>864.31</v>
      </c>
      <c r="I9" s="4">
        <v>2.3145389999999999</v>
      </c>
      <c r="J9" s="4">
        <v>-695.75999999999976</v>
      </c>
      <c r="K9" s="4">
        <v>56.2376</v>
      </c>
      <c r="L9" s="4">
        <v>30.36</v>
      </c>
    </row>
    <row r="10" spans="1:12" x14ac:dyDescent="0.45">
      <c r="A10" s="4">
        <v>2016</v>
      </c>
      <c r="B10" s="4">
        <v>36.69</v>
      </c>
      <c r="C10" s="4">
        <v>1</v>
      </c>
      <c r="D10" s="4">
        <v>119.70999999999998</v>
      </c>
      <c r="E10" s="4">
        <v>14.55</v>
      </c>
      <c r="F10" s="4">
        <v>171.73999999999978</v>
      </c>
      <c r="G10" s="4">
        <v>6.5125999999999999</v>
      </c>
      <c r="H10" s="4">
        <v>869.68</v>
      </c>
      <c r="I10" s="4">
        <v>2.99268</v>
      </c>
      <c r="J10" s="4">
        <v>-86.690000000000055</v>
      </c>
      <c r="K10" s="4">
        <v>72.929900000000004</v>
      </c>
      <c r="L10" s="4">
        <v>22.734000000000002</v>
      </c>
    </row>
    <row r="11" spans="1:12" x14ac:dyDescent="0.45">
      <c r="A11" s="4">
        <v>2017</v>
      </c>
      <c r="B11" s="4">
        <v>48.3</v>
      </c>
      <c r="C11" s="4">
        <v>1</v>
      </c>
      <c r="D11" s="4">
        <v>-15.729999999999961</v>
      </c>
      <c r="E11" s="4">
        <v>7.44</v>
      </c>
      <c r="F11" s="4">
        <v>1077.1800000000003</v>
      </c>
      <c r="G11" s="4">
        <v>6.9551999999999996</v>
      </c>
      <c r="H11" s="4">
        <v>858.99</v>
      </c>
      <c r="I11" s="4">
        <v>3.5982500000000002</v>
      </c>
      <c r="J11" s="4">
        <v>297.41000000000008</v>
      </c>
      <c r="K11" s="4">
        <v>60.6569</v>
      </c>
      <c r="L11" s="4">
        <v>31.414999999999999</v>
      </c>
    </row>
    <row r="12" spans="1:12" x14ac:dyDescent="0.45">
      <c r="A12" s="4">
        <v>2018</v>
      </c>
      <c r="B12" s="4">
        <v>60.96</v>
      </c>
      <c r="C12" s="4">
        <v>1</v>
      </c>
      <c r="D12" s="4">
        <v>18.919999999999959</v>
      </c>
      <c r="E12" s="4">
        <v>6.02</v>
      </c>
      <c r="F12" s="4">
        <v>1584.42</v>
      </c>
      <c r="G12" s="4">
        <v>6.4958999999999998</v>
      </c>
      <c r="H12" s="4">
        <v>778.48</v>
      </c>
      <c r="I12" s="4">
        <v>3.75345</v>
      </c>
      <c r="J12" s="4">
        <v>83.129999999999882</v>
      </c>
      <c r="K12" s="4">
        <v>57.600200000000001</v>
      </c>
      <c r="L12" s="4">
        <v>43.451000000000001</v>
      </c>
    </row>
    <row r="13" spans="1:12" x14ac:dyDescent="0.45">
      <c r="A13" s="4">
        <v>2019</v>
      </c>
      <c r="B13" s="4">
        <v>57.31</v>
      </c>
      <c r="C13" s="4">
        <v>1</v>
      </c>
      <c r="D13" s="4">
        <v>37.950000000000045</v>
      </c>
      <c r="E13" s="4">
        <v>5.25</v>
      </c>
      <c r="F13" s="4">
        <v>385.05999999999949</v>
      </c>
      <c r="G13" s="4">
        <v>6.8556999999999997</v>
      </c>
      <c r="H13" s="4">
        <v>759.93</v>
      </c>
      <c r="I13" s="4">
        <v>5.3947399999999996</v>
      </c>
      <c r="J13" s="4">
        <v>35.779999999999973</v>
      </c>
      <c r="K13" s="4">
        <v>69.470600000000005</v>
      </c>
      <c r="L13" s="4">
        <v>40.048999999999999</v>
      </c>
    </row>
    <row r="14" spans="1:12" x14ac:dyDescent="0.45">
      <c r="A14" s="4">
        <v>2020</v>
      </c>
      <c r="B14" s="4">
        <v>46.45</v>
      </c>
      <c r="C14" s="4">
        <v>1</v>
      </c>
      <c r="D14" s="4">
        <v>31.039999999999964</v>
      </c>
      <c r="E14" s="4">
        <v>6.77</v>
      </c>
      <c r="F14" s="4">
        <v>407.77000000000044</v>
      </c>
      <c r="G14" s="4">
        <v>6.97</v>
      </c>
      <c r="H14" s="4">
        <v>720.29</v>
      </c>
      <c r="I14" s="4">
        <v>5.9245390000000002</v>
      </c>
      <c r="J14" s="4">
        <v>-200.02999999999997</v>
      </c>
      <c r="K14" s="4">
        <v>61.905700000000003</v>
      </c>
      <c r="L14" s="4">
        <v>30.472999999999999</v>
      </c>
    </row>
    <row r="15" spans="1:12" x14ac:dyDescent="0.45">
      <c r="A15" s="4">
        <v>2021</v>
      </c>
      <c r="B15" s="4">
        <v>60.62</v>
      </c>
      <c r="C15" s="4">
        <v>1</v>
      </c>
      <c r="D15" s="4">
        <v>12.620000000000005</v>
      </c>
      <c r="E15" s="4">
        <v>8.0399999999999991</v>
      </c>
      <c r="F15" s="4">
        <v>3132.7199999999993</v>
      </c>
      <c r="G15" s="4">
        <v>6.4682000000000004</v>
      </c>
      <c r="H15" s="4">
        <v>819.03</v>
      </c>
      <c r="I15" s="4">
        <v>7.3650000000000002</v>
      </c>
      <c r="J15" s="4">
        <v>343.81000000000017</v>
      </c>
      <c r="K15" s="4">
        <v>73.875699999999995</v>
      </c>
      <c r="L15" s="4">
        <v>39.573</v>
      </c>
    </row>
    <row r="16" spans="1:12" x14ac:dyDescent="0.45">
      <c r="A16" s="4">
        <v>2022</v>
      </c>
      <c r="B16" s="4">
        <v>84.66</v>
      </c>
      <c r="C16" s="4">
        <v>1</v>
      </c>
      <c r="D16" s="4">
        <v>35.009999999999991</v>
      </c>
      <c r="E16" s="4">
        <v>8</v>
      </c>
      <c r="F16" s="4">
        <v>142.70999999999913</v>
      </c>
      <c r="G16" s="4">
        <v>6.37</v>
      </c>
      <c r="H16" s="4">
        <v>905.99</v>
      </c>
      <c r="I16" s="4">
        <v>13.6105</v>
      </c>
      <c r="J16" s="4">
        <v>403.53</v>
      </c>
      <c r="K16" s="4">
        <v>74.292599999999993</v>
      </c>
      <c r="L16" s="4">
        <v>58.33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B8D2A-F345-4777-A7ED-DCFEDEF0CD35}">
  <dimension ref="A1:S46"/>
  <sheetViews>
    <sheetView workbookViewId="0">
      <selection activeCell="B37" sqref="B37"/>
    </sheetView>
  </sheetViews>
  <sheetFormatPr defaultRowHeight="14.25" x14ac:dyDescent="0.45"/>
  <cols>
    <col min="2" max="2" width="11.1328125" customWidth="1"/>
  </cols>
  <sheetData>
    <row r="1" spans="1:19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72</v>
      </c>
    </row>
    <row r="2" spans="1:19" x14ac:dyDescent="0.45">
      <c r="A2">
        <v>2007</v>
      </c>
      <c r="B2">
        <v>127</v>
      </c>
      <c r="C2">
        <v>1.41875</v>
      </c>
      <c r="D2">
        <v>26.331099999999999</v>
      </c>
      <c r="E2">
        <v>7.8072999999999997</v>
      </c>
      <c r="G2">
        <v>1</v>
      </c>
      <c r="R2" t="s">
        <v>74</v>
      </c>
    </row>
    <row r="3" spans="1:19" x14ac:dyDescent="0.45">
      <c r="A3">
        <v>2008</v>
      </c>
      <c r="B3">
        <v>120.3</v>
      </c>
      <c r="C3">
        <v>1.1686399999999999</v>
      </c>
      <c r="D3">
        <v>24.546199999999999</v>
      </c>
      <c r="E3" s="11">
        <v>7.2995999999999999</v>
      </c>
      <c r="G3">
        <v>2</v>
      </c>
      <c r="R3" t="s">
        <v>75</v>
      </c>
      <c r="S3">
        <v>25.335000000000001</v>
      </c>
    </row>
    <row r="4" spans="1:19" x14ac:dyDescent="0.45">
      <c r="A4">
        <v>2009</v>
      </c>
      <c r="B4">
        <v>120.79</v>
      </c>
      <c r="C4">
        <v>1.6089199999999999</v>
      </c>
      <c r="D4">
        <v>29.3916</v>
      </c>
      <c r="E4">
        <v>6.8367000000000004</v>
      </c>
      <c r="G4">
        <v>3</v>
      </c>
      <c r="R4" t="s">
        <v>76</v>
      </c>
      <c r="S4">
        <v>38.674999999999997</v>
      </c>
    </row>
    <row r="5" spans="1:19" x14ac:dyDescent="0.45">
      <c r="A5">
        <v>2010</v>
      </c>
      <c r="B5">
        <v>148.46</v>
      </c>
      <c r="C5">
        <v>1.4554199999999999</v>
      </c>
      <c r="D5">
        <v>30.185099999999998</v>
      </c>
      <c r="E5">
        <v>6.8281000000000001</v>
      </c>
      <c r="G5">
        <v>4</v>
      </c>
    </row>
    <row r="6" spans="1:19" x14ac:dyDescent="0.45">
      <c r="A6">
        <v>2011</v>
      </c>
      <c r="B6">
        <v>146.72999999999999</v>
      </c>
      <c r="C6">
        <v>1.5657799999999999</v>
      </c>
      <c r="D6">
        <v>30.3505</v>
      </c>
      <c r="E6">
        <v>6.6215000000000002</v>
      </c>
      <c r="G6">
        <v>5</v>
      </c>
    </row>
    <row r="7" spans="1:19" x14ac:dyDescent="0.45">
      <c r="A7">
        <v>2012</v>
      </c>
      <c r="B7">
        <v>149.13</v>
      </c>
      <c r="C7">
        <v>1.881275</v>
      </c>
      <c r="D7">
        <v>32.196100000000001</v>
      </c>
      <c r="E7">
        <v>6.3000999999999996</v>
      </c>
      <c r="G7">
        <v>6</v>
      </c>
    </row>
    <row r="8" spans="1:19" x14ac:dyDescent="0.45">
      <c r="A8">
        <v>2013</v>
      </c>
      <c r="B8">
        <v>152.19999999999999</v>
      </c>
      <c r="C8">
        <v>1.7762</v>
      </c>
      <c r="D8">
        <v>30.372699999999998</v>
      </c>
      <c r="E8">
        <v>6.2896999999999998</v>
      </c>
      <c r="G8">
        <v>7</v>
      </c>
    </row>
    <row r="9" spans="1:19" x14ac:dyDescent="0.45">
      <c r="A9">
        <v>2014</v>
      </c>
      <c r="B9">
        <v>178.81</v>
      </c>
      <c r="C9">
        <v>2.17448</v>
      </c>
      <c r="D9">
        <v>32.658700000000003</v>
      </c>
      <c r="E9">
        <v>6.0990000000000002</v>
      </c>
      <c r="G9">
        <v>8</v>
      </c>
    </row>
    <row r="10" spans="1:19" x14ac:dyDescent="0.45">
      <c r="A10">
        <v>2015</v>
      </c>
      <c r="B10">
        <v>222.19</v>
      </c>
      <c r="C10">
        <v>2.3145389999999999</v>
      </c>
      <c r="D10">
        <v>56.2376</v>
      </c>
      <c r="E10">
        <v>6.1247999999999996</v>
      </c>
      <c r="G10">
        <v>9</v>
      </c>
    </row>
    <row r="11" spans="1:19" x14ac:dyDescent="0.45">
      <c r="A11">
        <v>2016</v>
      </c>
      <c r="B11">
        <v>341.9</v>
      </c>
      <c r="C11">
        <v>2.99268</v>
      </c>
      <c r="D11">
        <v>72.929900000000004</v>
      </c>
      <c r="E11">
        <v>6.5125999999999999</v>
      </c>
      <c r="G11">
        <v>10</v>
      </c>
    </row>
    <row r="12" spans="1:19" x14ac:dyDescent="0.45">
      <c r="A12">
        <v>2017</v>
      </c>
      <c r="B12">
        <v>326.17</v>
      </c>
      <c r="C12">
        <v>3.5982500000000002</v>
      </c>
      <c r="D12">
        <v>60.6569</v>
      </c>
      <c r="E12">
        <v>6.9551999999999996</v>
      </c>
      <c r="G12">
        <v>11</v>
      </c>
    </row>
    <row r="13" spans="1:19" x14ac:dyDescent="0.45">
      <c r="A13">
        <v>2018</v>
      </c>
      <c r="B13">
        <v>345.09</v>
      </c>
      <c r="C13">
        <v>3.75345</v>
      </c>
      <c r="D13">
        <v>57.600200000000001</v>
      </c>
      <c r="E13">
        <v>6.4958999999999998</v>
      </c>
      <c r="G13">
        <v>12</v>
      </c>
    </row>
    <row r="14" spans="1:19" x14ac:dyDescent="0.45">
      <c r="A14">
        <v>2019</v>
      </c>
      <c r="B14">
        <v>383.04</v>
      </c>
      <c r="C14">
        <v>5.3947399999999996</v>
      </c>
      <c r="D14">
        <v>69.470600000000005</v>
      </c>
      <c r="E14">
        <v>6.8556999999999997</v>
      </c>
      <c r="G14">
        <v>13</v>
      </c>
      <c r="I14" t="s">
        <v>79</v>
      </c>
    </row>
    <row r="15" spans="1:19" x14ac:dyDescent="0.45">
      <c r="A15">
        <v>2020</v>
      </c>
      <c r="B15">
        <v>414.08</v>
      </c>
      <c r="C15">
        <v>5.9245390000000002</v>
      </c>
      <c r="D15">
        <v>61.905700000000003</v>
      </c>
      <c r="E15">
        <v>6.97</v>
      </c>
      <c r="G15">
        <v>14</v>
      </c>
      <c r="I15" t="s">
        <v>80</v>
      </c>
      <c r="J15">
        <v>18.989999999999998</v>
      </c>
    </row>
    <row r="16" spans="1:19" x14ac:dyDescent="0.45">
      <c r="A16">
        <v>2021</v>
      </c>
      <c r="B16">
        <v>426.7</v>
      </c>
      <c r="C16">
        <v>7.3650000000000002</v>
      </c>
      <c r="D16">
        <v>73.875699999999995</v>
      </c>
      <c r="E16">
        <v>6.4682000000000004</v>
      </c>
      <c r="G16">
        <v>15</v>
      </c>
    </row>
    <row r="17" spans="1:10" x14ac:dyDescent="0.45">
      <c r="A17">
        <v>2022</v>
      </c>
      <c r="B17">
        <v>461.71</v>
      </c>
      <c r="C17">
        <v>13.6105</v>
      </c>
      <c r="D17">
        <v>74.292599999999993</v>
      </c>
      <c r="E17">
        <v>6.37</v>
      </c>
      <c r="G17">
        <v>16</v>
      </c>
      <c r="I17" t="s">
        <v>81</v>
      </c>
      <c r="J17" t="s">
        <v>82</v>
      </c>
    </row>
    <row r="18" spans="1:10" x14ac:dyDescent="0.45">
      <c r="A18" s="26">
        <v>2023</v>
      </c>
      <c r="B18" s="26">
        <f>B36</f>
        <v>418.70000000000005</v>
      </c>
      <c r="C18" s="26"/>
      <c r="D18" s="26"/>
      <c r="E18" s="26"/>
      <c r="F18" s="26"/>
      <c r="G18" s="26">
        <v>17</v>
      </c>
      <c r="I18">
        <f>B18-J15</f>
        <v>399.71000000000004</v>
      </c>
      <c r="J18">
        <f>B18+J15</f>
        <v>437.69000000000005</v>
      </c>
    </row>
    <row r="19" spans="1:10" x14ac:dyDescent="0.45">
      <c r="A19" s="26">
        <v>2024</v>
      </c>
      <c r="B19" s="26">
        <f>B37</f>
        <v>444.03500000000003</v>
      </c>
      <c r="C19" s="26"/>
      <c r="D19" s="26"/>
      <c r="E19" s="26"/>
      <c r="F19" s="26"/>
      <c r="G19" s="26">
        <v>18</v>
      </c>
      <c r="I19">
        <f>B19-J15</f>
        <v>425.04500000000002</v>
      </c>
      <c r="J19">
        <f>B19+J15</f>
        <v>463.02500000000003</v>
      </c>
    </row>
    <row r="20" spans="1:10" x14ac:dyDescent="0.45">
      <c r="A20" t="s">
        <v>73</v>
      </c>
    </row>
    <row r="21" spans="1:10" x14ac:dyDescent="0.45">
      <c r="A21" t="s">
        <v>0</v>
      </c>
      <c r="B21" t="s">
        <v>1</v>
      </c>
      <c r="C21" t="s">
        <v>2</v>
      </c>
      <c r="D21" t="s">
        <v>3</v>
      </c>
      <c r="E21" t="s">
        <v>4</v>
      </c>
      <c r="G21" t="s">
        <v>72</v>
      </c>
    </row>
    <row r="22" spans="1:10" x14ac:dyDescent="0.45">
      <c r="A22">
        <v>2007</v>
      </c>
      <c r="B22">
        <v>127</v>
      </c>
      <c r="C22">
        <v>1.41875</v>
      </c>
      <c r="D22">
        <v>26.331099999999999</v>
      </c>
      <c r="E22">
        <v>7.8072999999999997</v>
      </c>
      <c r="G22">
        <v>1</v>
      </c>
    </row>
    <row r="23" spans="1:10" x14ac:dyDescent="0.45">
      <c r="A23">
        <v>2008</v>
      </c>
      <c r="B23">
        <v>120.3</v>
      </c>
      <c r="C23">
        <v>1.1686399999999999</v>
      </c>
      <c r="D23">
        <v>24.546199999999999</v>
      </c>
      <c r="E23" s="11">
        <v>7.2995999999999999</v>
      </c>
      <c r="G23">
        <v>2</v>
      </c>
    </row>
    <row r="24" spans="1:10" x14ac:dyDescent="0.45">
      <c r="A24">
        <v>2009</v>
      </c>
      <c r="B24">
        <v>120.79</v>
      </c>
      <c r="C24">
        <v>1.6089199999999999</v>
      </c>
      <c r="D24">
        <v>29.3916</v>
      </c>
      <c r="E24">
        <v>6.8367000000000004</v>
      </c>
      <c r="G24">
        <v>3</v>
      </c>
    </row>
    <row r="25" spans="1:10" x14ac:dyDescent="0.45">
      <c r="A25">
        <v>2010</v>
      </c>
      <c r="B25">
        <v>148.46</v>
      </c>
      <c r="C25">
        <v>1.4554199999999999</v>
      </c>
      <c r="D25">
        <v>30.185099999999998</v>
      </c>
      <c r="E25">
        <v>6.8281000000000001</v>
      </c>
      <c r="G25">
        <v>4</v>
      </c>
    </row>
    <row r="26" spans="1:10" x14ac:dyDescent="0.45">
      <c r="A26">
        <v>2011</v>
      </c>
      <c r="B26">
        <v>146.72999999999999</v>
      </c>
      <c r="C26">
        <v>1.5657799999999999</v>
      </c>
      <c r="D26">
        <v>30.3505</v>
      </c>
      <c r="E26">
        <v>6.6215000000000002</v>
      </c>
      <c r="G26">
        <v>5</v>
      </c>
    </row>
    <row r="27" spans="1:10" x14ac:dyDescent="0.45">
      <c r="A27">
        <v>2012</v>
      </c>
      <c r="B27">
        <v>149.13</v>
      </c>
      <c r="C27">
        <v>1.881275</v>
      </c>
      <c r="D27">
        <v>32.196100000000001</v>
      </c>
      <c r="E27">
        <v>6.3000999999999996</v>
      </c>
      <c r="G27">
        <v>6</v>
      </c>
    </row>
    <row r="28" spans="1:10" x14ac:dyDescent="0.45">
      <c r="A28">
        <v>2013</v>
      </c>
      <c r="B28">
        <v>152.19999999999999</v>
      </c>
      <c r="C28">
        <v>1.7762</v>
      </c>
      <c r="D28">
        <v>30.372699999999998</v>
      </c>
      <c r="E28">
        <v>6.2896999999999998</v>
      </c>
      <c r="G28">
        <v>7</v>
      </c>
    </row>
    <row r="29" spans="1:10" x14ac:dyDescent="0.45">
      <c r="A29">
        <v>2014</v>
      </c>
      <c r="B29">
        <v>178.81</v>
      </c>
      <c r="C29">
        <v>2.17448</v>
      </c>
      <c r="D29">
        <v>32.658700000000003</v>
      </c>
      <c r="E29">
        <v>6.0990000000000002</v>
      </c>
      <c r="G29">
        <v>8</v>
      </c>
    </row>
    <row r="30" spans="1:10" x14ac:dyDescent="0.45">
      <c r="A30">
        <v>2015</v>
      </c>
      <c r="B30">
        <v>222.19</v>
      </c>
      <c r="C30">
        <v>2.3145389999999999</v>
      </c>
      <c r="D30">
        <v>56.2376</v>
      </c>
      <c r="E30">
        <v>6.1247999999999996</v>
      </c>
      <c r="G30">
        <v>9</v>
      </c>
    </row>
    <row r="31" spans="1:10" x14ac:dyDescent="0.45">
      <c r="A31">
        <v>2016</v>
      </c>
      <c r="B31">
        <v>341.9</v>
      </c>
      <c r="C31">
        <v>2.99268</v>
      </c>
      <c r="D31">
        <v>72.929900000000004</v>
      </c>
      <c r="E31">
        <v>6.5125999999999999</v>
      </c>
      <c r="G31">
        <v>10</v>
      </c>
    </row>
    <row r="32" spans="1:10" x14ac:dyDescent="0.45">
      <c r="A32">
        <v>2017</v>
      </c>
      <c r="B32">
        <v>326.17</v>
      </c>
      <c r="C32">
        <v>3.5982500000000002</v>
      </c>
      <c r="D32">
        <v>60.6569</v>
      </c>
      <c r="E32">
        <v>6.9551999999999996</v>
      </c>
      <c r="G32">
        <v>11</v>
      </c>
    </row>
    <row r="33" spans="1:7" x14ac:dyDescent="0.45">
      <c r="A33">
        <v>2018</v>
      </c>
      <c r="B33">
        <v>345.09</v>
      </c>
      <c r="C33">
        <v>3.75345</v>
      </c>
      <c r="D33">
        <v>57.600200000000001</v>
      </c>
      <c r="E33">
        <v>6.4958999999999998</v>
      </c>
      <c r="G33">
        <v>12</v>
      </c>
    </row>
    <row r="34" spans="1:7" x14ac:dyDescent="0.45">
      <c r="A34">
        <v>2019</v>
      </c>
      <c r="B34">
        <v>383.04</v>
      </c>
      <c r="C34">
        <v>5.3947399999999996</v>
      </c>
      <c r="D34">
        <v>69.470600000000005</v>
      </c>
      <c r="E34">
        <v>6.8556999999999997</v>
      </c>
      <c r="G34">
        <v>13</v>
      </c>
    </row>
    <row r="35" spans="1:7" x14ac:dyDescent="0.45">
      <c r="A35">
        <v>2020</v>
      </c>
      <c r="B35">
        <v>414.08</v>
      </c>
      <c r="C35">
        <v>5.9245390000000002</v>
      </c>
      <c r="D35">
        <v>61.905700000000003</v>
      </c>
      <c r="E35">
        <v>6.97</v>
      </c>
      <c r="G35">
        <v>14</v>
      </c>
    </row>
    <row r="36" spans="1:7" x14ac:dyDescent="0.45">
      <c r="A36" s="25">
        <v>2021</v>
      </c>
      <c r="B36" s="25">
        <f>(S3*G36)+S4</f>
        <v>418.70000000000005</v>
      </c>
      <c r="C36" s="25"/>
      <c r="D36" s="25"/>
      <c r="E36" s="25"/>
      <c r="G36">
        <v>15</v>
      </c>
    </row>
    <row r="37" spans="1:7" x14ac:dyDescent="0.45">
      <c r="A37" s="25">
        <v>2022</v>
      </c>
      <c r="B37" s="25">
        <f>(S3*G37)+S4</f>
        <v>444.03500000000003</v>
      </c>
      <c r="C37" s="25"/>
      <c r="D37" s="25"/>
      <c r="E37" s="25"/>
      <c r="G37">
        <v>16</v>
      </c>
    </row>
    <row r="38" spans="1:7" ht="14.65" thickBot="1" x14ac:dyDescent="0.5">
      <c r="A38" t="s">
        <v>77</v>
      </c>
    </row>
    <row r="39" spans="1:7" ht="14.65" thickBot="1" x14ac:dyDescent="0.5">
      <c r="A39" s="14" t="s">
        <v>55</v>
      </c>
      <c r="B39" s="20" t="s">
        <v>77</v>
      </c>
    </row>
    <row r="40" spans="1:7" x14ac:dyDescent="0.45">
      <c r="A40" s="23">
        <v>2021</v>
      </c>
      <c r="B40" s="21">
        <f>(B36-B16)/B16</f>
        <v>-1.8748535270681845E-2</v>
      </c>
    </row>
    <row r="41" spans="1:7" ht="14.65" thickBot="1" x14ac:dyDescent="0.5">
      <c r="A41" s="24">
        <v>2022</v>
      </c>
      <c r="B41" s="22">
        <f>(B37-B17)/B17</f>
        <v>-3.8281605336683101E-2</v>
      </c>
    </row>
    <row r="44" spans="1:7" x14ac:dyDescent="0.45">
      <c r="A44" s="4" t="s">
        <v>55</v>
      </c>
      <c r="B44" s="4" t="s">
        <v>78</v>
      </c>
    </row>
    <row r="45" spans="1:7" x14ac:dyDescent="0.45">
      <c r="A45" s="4">
        <v>2023</v>
      </c>
      <c r="B45" s="4">
        <f>(S3*17)+S4</f>
        <v>469.37</v>
      </c>
    </row>
    <row r="46" spans="1:7" x14ac:dyDescent="0.45">
      <c r="A46" s="4">
        <v>2024</v>
      </c>
      <c r="B46" s="4">
        <f>(S3*18)+S4</f>
        <v>494.70500000000004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3F265-6DA3-41AF-BD21-C429A63F1925}">
  <dimension ref="A1:T43"/>
  <sheetViews>
    <sheetView workbookViewId="0">
      <selection activeCell="T22" sqref="T22"/>
    </sheetView>
  </sheetViews>
  <sheetFormatPr defaultRowHeight="14.25" x14ac:dyDescent="0.45"/>
  <sheetData>
    <row r="1" spans="1:18" x14ac:dyDescent="0.45">
      <c r="A1" s="18"/>
      <c r="B1" s="18" t="s">
        <v>147</v>
      </c>
      <c r="C1" s="18"/>
      <c r="D1" s="18"/>
      <c r="E1" s="18"/>
      <c r="F1" s="18"/>
      <c r="G1" s="18"/>
      <c r="H1" s="18">
        <v>1</v>
      </c>
    </row>
    <row r="2" spans="1:18" x14ac:dyDescent="0.45">
      <c r="A2" s="18"/>
      <c r="B2" s="18" t="s">
        <v>148</v>
      </c>
      <c r="C2" s="18"/>
      <c r="D2" s="18"/>
      <c r="E2" s="18"/>
      <c r="F2" s="18"/>
      <c r="G2" s="18"/>
      <c r="H2" s="18">
        <v>9</v>
      </c>
      <c r="N2" t="s">
        <v>200</v>
      </c>
    </row>
    <row r="3" spans="1:18" x14ac:dyDescent="0.45">
      <c r="A3" s="18"/>
      <c r="B3" s="18" t="s">
        <v>149</v>
      </c>
      <c r="C3" s="18"/>
      <c r="D3" s="18"/>
      <c r="E3" s="18"/>
      <c r="F3" s="18"/>
      <c r="G3" s="18"/>
      <c r="H3" s="18">
        <v>18</v>
      </c>
      <c r="N3">
        <f>SUM(H1:H2)</f>
        <v>10</v>
      </c>
    </row>
    <row r="4" spans="1:18" x14ac:dyDescent="0.45">
      <c r="B4" t="s">
        <v>150</v>
      </c>
      <c r="H4">
        <v>0</v>
      </c>
    </row>
    <row r="5" spans="1:18" ht="15.4" x14ac:dyDescent="0.45">
      <c r="A5" s="17" t="s">
        <v>17</v>
      </c>
      <c r="B5" s="18"/>
      <c r="C5" s="18"/>
      <c r="D5" s="18"/>
      <c r="E5" s="18"/>
      <c r="F5" s="18"/>
      <c r="G5" s="18"/>
      <c r="H5" s="18">
        <v>4</v>
      </c>
    </row>
    <row r="6" spans="1:18" ht="15.4" x14ac:dyDescent="0.45">
      <c r="A6" s="17" t="s">
        <v>18</v>
      </c>
      <c r="B6" s="18"/>
      <c r="C6" s="18"/>
      <c r="D6" s="18"/>
      <c r="E6" s="18"/>
      <c r="F6" s="18"/>
      <c r="G6" s="18"/>
      <c r="H6" s="18">
        <v>3</v>
      </c>
      <c r="K6" t="s">
        <v>27</v>
      </c>
      <c r="M6">
        <f>SUM(H5:H45)</f>
        <v>31</v>
      </c>
      <c r="Q6" t="s">
        <v>67</v>
      </c>
      <c r="R6">
        <f>SUM(H3)</f>
        <v>18</v>
      </c>
    </row>
    <row r="7" spans="1:18" ht="15.4" x14ac:dyDescent="0.45">
      <c r="A7" s="19" t="s">
        <v>19</v>
      </c>
      <c r="B7" s="18"/>
      <c r="C7" s="18"/>
      <c r="D7" s="18"/>
      <c r="E7" s="18"/>
      <c r="F7" s="18"/>
      <c r="G7" s="18"/>
      <c r="H7" s="18">
        <v>2</v>
      </c>
      <c r="K7" t="s">
        <v>70</v>
      </c>
      <c r="M7">
        <f>SUM(H5:H22)</f>
        <v>31</v>
      </c>
      <c r="Q7" t="s">
        <v>118</v>
      </c>
      <c r="R7">
        <f>SUM(H3:H4)</f>
        <v>18</v>
      </c>
    </row>
    <row r="8" spans="1:18" ht="15.75" thickBot="1" x14ac:dyDescent="0.5">
      <c r="A8" s="17" t="s">
        <v>20</v>
      </c>
      <c r="B8" s="18"/>
      <c r="C8" s="18"/>
      <c r="D8" s="18"/>
      <c r="E8" s="18"/>
      <c r="F8" s="18"/>
      <c r="G8" s="18"/>
      <c r="H8" s="18">
        <v>1</v>
      </c>
      <c r="Q8" t="s">
        <v>71</v>
      </c>
    </row>
    <row r="9" spans="1:18" ht="15.75" thickBot="1" x14ac:dyDescent="0.5">
      <c r="A9" s="17" t="s">
        <v>21</v>
      </c>
      <c r="B9" s="18"/>
      <c r="C9" s="18"/>
      <c r="D9" s="18"/>
      <c r="E9" s="18"/>
      <c r="F9" s="18"/>
      <c r="G9" s="18"/>
      <c r="H9" s="18">
        <v>2</v>
      </c>
      <c r="L9" t="s">
        <v>64</v>
      </c>
      <c r="Q9" s="14">
        <f>R6+M7+N3</f>
        <v>59</v>
      </c>
    </row>
    <row r="10" spans="1:18" ht="15.4" x14ac:dyDescent="0.45">
      <c r="A10" s="17" t="s">
        <v>22</v>
      </c>
      <c r="B10" s="18"/>
      <c r="C10" s="18"/>
      <c r="D10" s="18"/>
      <c r="E10" s="18"/>
      <c r="F10" s="18"/>
      <c r="G10" s="18"/>
      <c r="H10" s="18">
        <v>1</v>
      </c>
      <c r="L10">
        <f>SUM(H5:H9)</f>
        <v>12</v>
      </c>
    </row>
    <row r="11" spans="1:18" ht="15.4" x14ac:dyDescent="0.45">
      <c r="A11" s="19" t="s">
        <v>23</v>
      </c>
      <c r="B11" s="18"/>
      <c r="C11" s="18"/>
      <c r="D11" s="18"/>
      <c r="E11" s="18"/>
      <c r="F11" s="18"/>
      <c r="G11" s="18"/>
      <c r="H11" s="18">
        <v>1</v>
      </c>
    </row>
    <row r="12" spans="1:18" ht="15.4" x14ac:dyDescent="0.45">
      <c r="A12" s="19" t="s">
        <v>24</v>
      </c>
      <c r="B12" s="18"/>
      <c r="C12" s="18"/>
      <c r="D12" s="18"/>
      <c r="E12" s="18"/>
      <c r="F12" s="18"/>
      <c r="G12" s="18"/>
      <c r="H12" s="18">
        <v>1</v>
      </c>
    </row>
    <row r="13" spans="1:18" ht="15.4" x14ac:dyDescent="0.45">
      <c r="A13" s="17" t="s">
        <v>119</v>
      </c>
      <c r="B13" s="18"/>
      <c r="C13" s="18"/>
      <c r="D13" s="18"/>
      <c r="E13" s="18"/>
      <c r="F13" s="18"/>
      <c r="G13" s="18"/>
      <c r="H13" s="18">
        <v>1</v>
      </c>
      <c r="L13" t="s">
        <v>65</v>
      </c>
    </row>
    <row r="14" spans="1:18" ht="15.4" x14ac:dyDescent="0.45">
      <c r="A14" s="17"/>
      <c r="B14" s="18" t="s">
        <v>165</v>
      </c>
      <c r="C14" s="18"/>
      <c r="D14" s="18"/>
      <c r="E14" s="18"/>
      <c r="F14" s="18"/>
      <c r="G14" s="18"/>
      <c r="H14" s="18">
        <v>1</v>
      </c>
      <c r="L14">
        <f>SUM(H10:H20)</f>
        <v>13</v>
      </c>
    </row>
    <row r="15" spans="1:18" ht="15.4" x14ac:dyDescent="0.45">
      <c r="A15" s="17"/>
      <c r="B15" s="18" t="s">
        <v>166</v>
      </c>
      <c r="C15" s="18"/>
      <c r="D15" s="18"/>
      <c r="E15" s="18"/>
      <c r="F15" s="18"/>
      <c r="G15" s="18"/>
      <c r="H15" s="18">
        <v>1</v>
      </c>
    </row>
    <row r="16" spans="1:18" ht="15.4" x14ac:dyDescent="0.45">
      <c r="A16" s="17"/>
      <c r="B16" s="18" t="s">
        <v>167</v>
      </c>
      <c r="C16" s="18"/>
      <c r="D16" s="18"/>
      <c r="E16" s="18"/>
      <c r="F16" s="18"/>
      <c r="G16" s="18"/>
      <c r="H16" s="18">
        <v>1</v>
      </c>
    </row>
    <row r="17" spans="1:20" ht="15.4" x14ac:dyDescent="0.45">
      <c r="A17" s="17"/>
      <c r="B17" s="18" t="s">
        <v>168</v>
      </c>
      <c r="C17" s="18"/>
      <c r="D17" s="18"/>
      <c r="E17" s="18"/>
      <c r="F17" s="18"/>
      <c r="G17" s="18"/>
      <c r="H17" s="18">
        <v>1</v>
      </c>
    </row>
    <row r="18" spans="1:20" ht="15.4" x14ac:dyDescent="0.45">
      <c r="A18" s="17"/>
      <c r="B18" s="18" t="s">
        <v>169</v>
      </c>
      <c r="C18" s="18"/>
      <c r="D18" s="18"/>
      <c r="E18" s="18"/>
      <c r="F18" s="18"/>
      <c r="G18" s="18"/>
      <c r="H18" s="18">
        <v>2</v>
      </c>
    </row>
    <row r="19" spans="1:20" ht="15.4" x14ac:dyDescent="0.45">
      <c r="A19" s="17"/>
      <c r="B19" s="18" t="s">
        <v>201</v>
      </c>
      <c r="C19" s="18"/>
      <c r="D19" s="18"/>
      <c r="E19" s="18"/>
      <c r="F19" s="18"/>
      <c r="G19" s="18"/>
      <c r="H19" s="18">
        <v>1</v>
      </c>
    </row>
    <row r="20" spans="1:20" ht="15.4" x14ac:dyDescent="0.45">
      <c r="A20" s="19"/>
      <c r="B20" s="18" t="s">
        <v>199</v>
      </c>
      <c r="C20" s="18"/>
      <c r="D20" s="18"/>
      <c r="E20" s="18"/>
      <c r="F20" s="18"/>
      <c r="G20" s="18"/>
      <c r="H20" s="18">
        <v>2</v>
      </c>
      <c r="T20" t="s">
        <v>151</v>
      </c>
    </row>
    <row r="21" spans="1:20" ht="15.4" x14ac:dyDescent="0.45">
      <c r="A21" s="19" t="s">
        <v>25</v>
      </c>
      <c r="B21" s="18"/>
      <c r="C21" s="18"/>
      <c r="D21" s="18"/>
      <c r="E21" s="18"/>
      <c r="F21" s="18"/>
      <c r="G21" s="18"/>
      <c r="H21" s="18">
        <v>4</v>
      </c>
      <c r="T21">
        <v>20000</v>
      </c>
    </row>
    <row r="22" spans="1:20" ht="15.4" x14ac:dyDescent="0.45">
      <c r="A22" s="19" t="s">
        <v>26</v>
      </c>
      <c r="B22" s="18"/>
      <c r="C22" s="18"/>
      <c r="D22" s="18"/>
      <c r="E22" s="18"/>
      <c r="F22" s="18"/>
      <c r="G22" s="18"/>
      <c r="H22" s="18">
        <v>2</v>
      </c>
    </row>
    <row r="23" spans="1:20" x14ac:dyDescent="0.45">
      <c r="L23" t="s">
        <v>66</v>
      </c>
      <c r="T23" t="s">
        <v>152</v>
      </c>
    </row>
    <row r="24" spans="1:20" x14ac:dyDescent="0.45">
      <c r="L24">
        <f>SUM(H21:H22)</f>
        <v>6</v>
      </c>
      <c r="T24">
        <v>19000</v>
      </c>
    </row>
    <row r="26" spans="1:20" ht="15.4" x14ac:dyDescent="0.45">
      <c r="A26" s="1"/>
    </row>
    <row r="27" spans="1:20" ht="14.65" thickBot="1" x14ac:dyDescent="0.5">
      <c r="T27" t="s">
        <v>153</v>
      </c>
    </row>
    <row r="28" spans="1:20" ht="14.65" thickBot="1" x14ac:dyDescent="0.5">
      <c r="T28" s="33">
        <f>T21/T24</f>
        <v>1.0526315789473684</v>
      </c>
    </row>
    <row r="29" spans="1:20" ht="16.149999999999999" thickBot="1" x14ac:dyDescent="0.5">
      <c r="A29" s="2"/>
      <c r="Q29" t="s">
        <v>68</v>
      </c>
    </row>
    <row r="30" spans="1:20" ht="15.75" thickBot="1" x14ac:dyDescent="0.5">
      <c r="A30" s="1"/>
      <c r="Q30" s="14">
        <f>R7+M6+N3</f>
        <v>59</v>
      </c>
    </row>
    <row r="31" spans="1:20" ht="15.4" x14ac:dyDescent="0.45">
      <c r="A31" s="3"/>
    </row>
    <row r="32" spans="1:20" ht="15.4" x14ac:dyDescent="0.45">
      <c r="A32" s="3"/>
    </row>
    <row r="33" spans="1:20" ht="15.75" thickBot="1" x14ac:dyDescent="0.5">
      <c r="A33" s="1"/>
      <c r="N33" t="s">
        <v>69</v>
      </c>
    </row>
    <row r="34" spans="1:20" ht="15.75" thickBot="1" x14ac:dyDescent="0.5">
      <c r="A34" s="3"/>
      <c r="N34" s="33">
        <f>Q9/Q30</f>
        <v>1</v>
      </c>
    </row>
    <row r="35" spans="1:20" ht="15.4" x14ac:dyDescent="0.45">
      <c r="A35" s="3"/>
    </row>
    <row r="36" spans="1:20" ht="15.75" x14ac:dyDescent="0.45">
      <c r="A36" s="2"/>
    </row>
    <row r="37" spans="1:20" ht="15.75" thickBot="1" x14ac:dyDescent="0.5">
      <c r="A37" s="1"/>
      <c r="T37" t="s">
        <v>170</v>
      </c>
    </row>
    <row r="38" spans="1:20" ht="15.75" thickBot="1" x14ac:dyDescent="0.5">
      <c r="A38" s="3"/>
      <c r="T38" s="14">
        <f>Q30+15</f>
        <v>74</v>
      </c>
    </row>
    <row r="39" spans="1:20" ht="15.4" x14ac:dyDescent="0.45">
      <c r="A39" s="3"/>
    </row>
    <row r="40" spans="1:20" ht="15.4" x14ac:dyDescent="0.45">
      <c r="A40" s="1"/>
    </row>
    <row r="41" spans="1:20" ht="15.4" x14ac:dyDescent="0.45">
      <c r="A41" s="3"/>
    </row>
    <row r="42" spans="1:20" ht="15.4" x14ac:dyDescent="0.45">
      <c r="A42" s="3"/>
    </row>
    <row r="43" spans="1:20" ht="15.75" x14ac:dyDescent="0.45">
      <c r="A43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B154C-B99E-41F5-BF0A-7A4D4301F15E}">
  <dimension ref="A1:AD64"/>
  <sheetViews>
    <sheetView tabSelected="1" workbookViewId="0">
      <selection activeCell="N7" sqref="N7"/>
    </sheetView>
  </sheetViews>
  <sheetFormatPr defaultRowHeight="14.25" x14ac:dyDescent="0.45"/>
  <cols>
    <col min="2" max="2" width="12.33203125" bestFit="1" customWidth="1"/>
    <col min="3" max="3" width="8.9296875" customWidth="1"/>
    <col min="6" max="6" width="11.59765625" bestFit="1" customWidth="1"/>
    <col min="8" max="8" width="11.59765625" bestFit="1" customWidth="1"/>
    <col min="10" max="10" width="11.59765625" bestFit="1" customWidth="1"/>
    <col min="12" max="12" width="10.86328125" customWidth="1"/>
    <col min="18" max="18" width="18.9296875" customWidth="1"/>
  </cols>
  <sheetData>
    <row r="1" spans="1:30" ht="85.5" x14ac:dyDescent="0.45">
      <c r="A1" s="4"/>
      <c r="B1" s="34" t="s">
        <v>175</v>
      </c>
      <c r="C1" s="34" t="s">
        <v>120</v>
      </c>
      <c r="D1" s="34" t="s">
        <v>171</v>
      </c>
      <c r="E1" s="34" t="s">
        <v>138</v>
      </c>
      <c r="F1" s="34" t="s">
        <v>176</v>
      </c>
      <c r="G1" s="34" t="s">
        <v>172</v>
      </c>
      <c r="H1" s="34" t="s">
        <v>177</v>
      </c>
      <c r="I1" s="34" t="s">
        <v>173</v>
      </c>
      <c r="J1" s="34" t="s">
        <v>178</v>
      </c>
      <c r="K1" s="34" t="s">
        <v>174</v>
      </c>
      <c r="L1" s="34" t="s">
        <v>179</v>
      </c>
      <c r="N1" t="s">
        <v>89</v>
      </c>
      <c r="O1" t="s">
        <v>88</v>
      </c>
    </row>
    <row r="2" spans="1:30" x14ac:dyDescent="0.45">
      <c r="A2" s="4" t="s">
        <v>0</v>
      </c>
      <c r="B2" s="4" t="s">
        <v>128</v>
      </c>
      <c r="C2" s="4" t="s">
        <v>6</v>
      </c>
      <c r="D2" s="4" t="s">
        <v>181</v>
      </c>
      <c r="E2" s="4" t="s">
        <v>8</v>
      </c>
      <c r="F2" s="4" t="s">
        <v>185</v>
      </c>
      <c r="G2" s="4" t="s">
        <v>15</v>
      </c>
      <c r="H2" s="4" t="s">
        <v>16</v>
      </c>
      <c r="I2" s="4" t="s">
        <v>129</v>
      </c>
      <c r="J2" s="4" t="s">
        <v>183</v>
      </c>
      <c r="K2" s="4" t="s">
        <v>131</v>
      </c>
      <c r="L2" s="4" t="s">
        <v>132</v>
      </c>
    </row>
    <row r="3" spans="1:30" x14ac:dyDescent="0.45">
      <c r="A3" s="4">
        <v>2008</v>
      </c>
      <c r="B3" s="4">
        <v>71.171999999999997</v>
      </c>
      <c r="C3" s="4">
        <v>1</v>
      </c>
      <c r="D3" s="4">
        <v>-6.7000000000000028</v>
      </c>
      <c r="E3" s="4">
        <v>17.14</v>
      </c>
      <c r="F3" s="4">
        <v>1044.0100000000002</v>
      </c>
      <c r="G3" s="4">
        <v>7.2995999999999999</v>
      </c>
      <c r="H3" s="4">
        <v>770.45</v>
      </c>
      <c r="I3" s="4">
        <v>1.1686399999999999</v>
      </c>
      <c r="J3" s="4">
        <f>IF(O3&gt;$AC$24,1,0)</f>
        <v>1</v>
      </c>
      <c r="K3" s="4">
        <v>24.546199999999999</v>
      </c>
      <c r="L3" s="4">
        <v>50.281999999999996</v>
      </c>
      <c r="O3" t="s">
        <v>90</v>
      </c>
    </row>
    <row r="4" spans="1:30" x14ac:dyDescent="0.45">
      <c r="A4" s="4">
        <v>2009</v>
      </c>
      <c r="B4" s="4">
        <v>43.195999999999998</v>
      </c>
      <c r="C4" s="4">
        <v>1</v>
      </c>
      <c r="D4" s="4">
        <v>0.49000000000000909</v>
      </c>
      <c r="E4" s="4">
        <v>7.32</v>
      </c>
      <c r="F4" s="4">
        <v>507.34999999999945</v>
      </c>
      <c r="G4" s="4">
        <v>6.8367000000000004</v>
      </c>
      <c r="H4" s="4">
        <v>649.29</v>
      </c>
      <c r="I4" s="4">
        <v>1.6089199999999999</v>
      </c>
      <c r="J4" s="4">
        <f t="shared" ref="J4:J17" si="0">IF(O4&gt;$AC$24,1,0)</f>
        <v>0</v>
      </c>
      <c r="K4" s="4">
        <v>29.3916</v>
      </c>
      <c r="L4" s="4">
        <v>30.003</v>
      </c>
      <c r="P4" cm="1">
        <f t="array" ref="P4:AD13">TRANSPOSE(C3:L17)</f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</row>
    <row r="5" spans="1:30" x14ac:dyDescent="0.45">
      <c r="A5" s="4">
        <v>2010</v>
      </c>
      <c r="B5" s="4">
        <v>57.244</v>
      </c>
      <c r="C5" s="4">
        <v>1</v>
      </c>
      <c r="D5" s="4">
        <v>27.67</v>
      </c>
      <c r="E5" s="4">
        <v>7.4</v>
      </c>
      <c r="F5" s="4">
        <v>985.5</v>
      </c>
      <c r="G5" s="4">
        <v>6.8281000000000001</v>
      </c>
      <c r="H5" s="4">
        <v>776.97</v>
      </c>
      <c r="I5" s="4">
        <v>1.4554199999999999</v>
      </c>
      <c r="J5" s="4">
        <f t="shared" si="0"/>
        <v>0</v>
      </c>
      <c r="K5" s="4">
        <v>30.185099999999998</v>
      </c>
      <c r="L5" s="4">
        <v>41.56</v>
      </c>
      <c r="P5">
        <v>-6.7000000000000028</v>
      </c>
      <c r="Q5">
        <v>0.49000000000000909</v>
      </c>
      <c r="R5">
        <v>27.67</v>
      </c>
      <c r="S5">
        <v>-1.7300000000000182</v>
      </c>
      <c r="T5">
        <v>2.4000000000000057</v>
      </c>
      <c r="U5">
        <v>3.0699999999999932</v>
      </c>
      <c r="V5">
        <v>26.610000000000014</v>
      </c>
      <c r="W5">
        <v>43.379999999999995</v>
      </c>
      <c r="X5">
        <v>119.70999999999998</v>
      </c>
      <c r="Y5">
        <v>-15.729999999999961</v>
      </c>
      <c r="Z5">
        <v>18.919999999999959</v>
      </c>
      <c r="AA5">
        <v>37.950000000000045</v>
      </c>
      <c r="AB5">
        <v>31.039999999999964</v>
      </c>
      <c r="AC5">
        <v>12.620000000000005</v>
      </c>
      <c r="AD5">
        <v>35.009999999999991</v>
      </c>
    </row>
    <row r="6" spans="1:30" x14ac:dyDescent="0.45">
      <c r="A6" s="4">
        <v>2011</v>
      </c>
      <c r="B6" s="4">
        <v>88.108000000000004</v>
      </c>
      <c r="C6" s="4">
        <v>1</v>
      </c>
      <c r="D6" s="4">
        <v>-1.7300000000000182</v>
      </c>
      <c r="E6" s="4">
        <v>8.42</v>
      </c>
      <c r="F6" s="4">
        <v>1464.3600000000006</v>
      </c>
      <c r="G6" s="4">
        <v>6.6215000000000002</v>
      </c>
      <c r="H6" s="4">
        <v>838.79</v>
      </c>
      <c r="I6" s="4">
        <v>1.5657799999999999</v>
      </c>
      <c r="J6" s="4">
        <f t="shared" si="0"/>
        <v>0</v>
      </c>
      <c r="K6" s="4">
        <v>30.3505</v>
      </c>
      <c r="L6" s="4">
        <v>63.811</v>
      </c>
      <c r="P6">
        <v>17.14</v>
      </c>
      <c r="Q6">
        <v>7.32</v>
      </c>
      <c r="R6">
        <v>7.4</v>
      </c>
      <c r="S6">
        <v>8.42</v>
      </c>
      <c r="T6">
        <v>5.0999999999999996</v>
      </c>
      <c r="U6">
        <v>5.85</v>
      </c>
      <c r="V6">
        <v>6.71</v>
      </c>
      <c r="W6">
        <v>6.67</v>
      </c>
      <c r="X6">
        <v>14.55</v>
      </c>
      <c r="Y6">
        <v>7.44</v>
      </c>
      <c r="Z6">
        <v>6.02</v>
      </c>
      <c r="AA6">
        <v>5.25</v>
      </c>
      <c r="AB6">
        <v>6.77</v>
      </c>
      <c r="AC6">
        <v>8.0399999999999991</v>
      </c>
      <c r="AD6">
        <v>8</v>
      </c>
    </row>
    <row r="7" spans="1:30" x14ac:dyDescent="0.45">
      <c r="A7" s="4">
        <v>2012</v>
      </c>
      <c r="B7" s="4">
        <v>86.45</v>
      </c>
      <c r="C7" s="4">
        <v>1</v>
      </c>
      <c r="D7" s="4">
        <v>2.4000000000000057</v>
      </c>
      <c r="E7" s="4">
        <v>5.0999999999999996</v>
      </c>
      <c r="F7" s="4">
        <v>980.64000000000033</v>
      </c>
      <c r="G7" s="4">
        <v>6.3000999999999996</v>
      </c>
      <c r="H7" s="4">
        <v>880.56</v>
      </c>
      <c r="I7" s="4">
        <v>1.881275</v>
      </c>
      <c r="J7" s="4">
        <f t="shared" si="0"/>
        <v>0</v>
      </c>
      <c r="K7" s="4">
        <v>32.196100000000001</v>
      </c>
      <c r="L7" s="4">
        <v>64.960999999999999</v>
      </c>
      <c r="P7">
        <v>1044.0100000000002</v>
      </c>
      <c r="Q7">
        <v>507.34999999999945</v>
      </c>
      <c r="R7">
        <v>985.5</v>
      </c>
      <c r="S7">
        <v>1464.3600000000006</v>
      </c>
      <c r="T7">
        <v>980.64000000000033</v>
      </c>
      <c r="U7">
        <v>1038.2799999999988</v>
      </c>
      <c r="V7">
        <v>905.15000000000146</v>
      </c>
      <c r="W7">
        <v>585.94999999999891</v>
      </c>
      <c r="X7">
        <v>171.73999999999978</v>
      </c>
      <c r="Y7">
        <v>1077.1800000000003</v>
      </c>
      <c r="Z7">
        <v>1584.42</v>
      </c>
      <c r="AA7">
        <v>385.05999999999949</v>
      </c>
      <c r="AB7">
        <v>407.77000000000044</v>
      </c>
      <c r="AC7">
        <v>3132.7199999999993</v>
      </c>
      <c r="AD7">
        <v>142.70999999999913</v>
      </c>
    </row>
    <row r="8" spans="1:30" x14ac:dyDescent="0.45">
      <c r="A8" s="4">
        <v>2013</v>
      </c>
      <c r="B8" s="4">
        <v>84.7</v>
      </c>
      <c r="C8" s="4">
        <v>1</v>
      </c>
      <c r="D8" s="4">
        <v>3.0699999999999932</v>
      </c>
      <c r="E8" s="4">
        <v>5.85</v>
      </c>
      <c r="F8" s="4">
        <v>1038.2799999999988</v>
      </c>
      <c r="G8" s="4">
        <v>6.2896999999999998</v>
      </c>
      <c r="H8" s="4">
        <v>957.8</v>
      </c>
      <c r="I8" s="4">
        <v>1.7762</v>
      </c>
      <c r="J8" s="4">
        <f t="shared" si="0"/>
        <v>0</v>
      </c>
      <c r="K8" s="4">
        <v>30.372699999999998</v>
      </c>
      <c r="L8" s="4">
        <v>63.372</v>
      </c>
      <c r="P8">
        <v>7.2995999999999999</v>
      </c>
      <c r="Q8">
        <v>6.8367000000000004</v>
      </c>
      <c r="R8">
        <v>6.8281000000000001</v>
      </c>
      <c r="S8">
        <v>6.6215000000000002</v>
      </c>
      <c r="T8">
        <v>6.3000999999999996</v>
      </c>
      <c r="U8">
        <v>6.2896999999999998</v>
      </c>
      <c r="V8">
        <v>6.0990000000000002</v>
      </c>
      <c r="W8">
        <v>6.1247999999999996</v>
      </c>
      <c r="X8">
        <v>6.5125999999999999</v>
      </c>
      <c r="Y8">
        <v>6.9551999999999996</v>
      </c>
      <c r="Z8">
        <v>6.4958999999999998</v>
      </c>
      <c r="AA8">
        <v>6.8556999999999997</v>
      </c>
      <c r="AB8">
        <v>6.97</v>
      </c>
      <c r="AC8">
        <v>6.4682000000000004</v>
      </c>
      <c r="AD8">
        <v>6.37</v>
      </c>
    </row>
    <row r="9" spans="1:30" x14ac:dyDescent="0.45">
      <c r="A9" s="4">
        <v>2014</v>
      </c>
      <c r="B9" s="4">
        <v>79.459999999999994</v>
      </c>
      <c r="C9" s="4">
        <v>1</v>
      </c>
      <c r="D9" s="4">
        <v>26.610000000000014</v>
      </c>
      <c r="E9" s="4">
        <v>6.71</v>
      </c>
      <c r="F9" s="4">
        <v>905.15000000000146</v>
      </c>
      <c r="G9" s="4">
        <v>6.0990000000000002</v>
      </c>
      <c r="H9" s="4">
        <v>938.93</v>
      </c>
      <c r="I9" s="4">
        <v>2.17448</v>
      </c>
      <c r="J9" s="4">
        <f t="shared" si="0"/>
        <v>0</v>
      </c>
      <c r="K9" s="4">
        <v>32.658700000000003</v>
      </c>
      <c r="L9" s="4">
        <v>59.31</v>
      </c>
      <c r="P9">
        <v>770.45</v>
      </c>
      <c r="Q9">
        <v>649.29</v>
      </c>
      <c r="R9">
        <v>776.97</v>
      </c>
      <c r="S9">
        <v>838.79</v>
      </c>
      <c r="T9">
        <v>880.56</v>
      </c>
      <c r="U9">
        <v>957.8</v>
      </c>
      <c r="V9">
        <v>938.93</v>
      </c>
      <c r="W9">
        <v>864.31</v>
      </c>
      <c r="X9">
        <v>869.68</v>
      </c>
      <c r="Y9">
        <v>858.99</v>
      </c>
      <c r="Z9">
        <v>778.48</v>
      </c>
      <c r="AA9">
        <v>759.93</v>
      </c>
      <c r="AB9">
        <v>720.29</v>
      </c>
      <c r="AC9">
        <v>819.03</v>
      </c>
      <c r="AD9">
        <v>905.99</v>
      </c>
    </row>
    <row r="10" spans="1:30" x14ac:dyDescent="0.45">
      <c r="A10" s="4">
        <v>2015</v>
      </c>
      <c r="B10" s="4">
        <v>45.96</v>
      </c>
      <c r="C10" s="4">
        <v>1</v>
      </c>
      <c r="D10" s="4">
        <v>43.379999999999995</v>
      </c>
      <c r="E10" s="4">
        <v>6.67</v>
      </c>
      <c r="F10" s="4">
        <v>585.94999999999891</v>
      </c>
      <c r="G10" s="4">
        <v>6.1247999999999996</v>
      </c>
      <c r="H10" s="4">
        <v>864.31</v>
      </c>
      <c r="I10" s="4">
        <v>2.3145389999999999</v>
      </c>
      <c r="J10" s="4">
        <f t="shared" si="0"/>
        <v>0</v>
      </c>
      <c r="K10" s="4">
        <v>56.2376</v>
      </c>
      <c r="L10" s="4">
        <v>30.36</v>
      </c>
      <c r="P10">
        <v>1.1686399999999999</v>
      </c>
      <c r="Q10">
        <v>1.6089199999999999</v>
      </c>
      <c r="R10">
        <v>1.4554199999999999</v>
      </c>
      <c r="S10">
        <v>1.5657799999999999</v>
      </c>
      <c r="T10">
        <v>1.881275</v>
      </c>
      <c r="U10">
        <v>1.7762</v>
      </c>
      <c r="V10">
        <v>2.17448</v>
      </c>
      <c r="W10">
        <v>2.3145389999999999</v>
      </c>
      <c r="X10">
        <v>2.99268</v>
      </c>
      <c r="Y10">
        <v>3.5982500000000002</v>
      </c>
      <c r="Z10">
        <v>3.75345</v>
      </c>
      <c r="AA10">
        <v>5.3947399999999996</v>
      </c>
      <c r="AB10">
        <v>5.9245390000000002</v>
      </c>
      <c r="AC10">
        <v>7.3650000000000002</v>
      </c>
      <c r="AD10">
        <v>13.6105</v>
      </c>
    </row>
    <row r="11" spans="1:30" x14ac:dyDescent="0.45">
      <c r="A11" s="4">
        <v>2016</v>
      </c>
      <c r="B11" s="4">
        <v>36.69</v>
      </c>
      <c r="C11" s="4">
        <v>1</v>
      </c>
      <c r="D11" s="4">
        <v>119.70999999999998</v>
      </c>
      <c r="E11" s="4">
        <v>14.55</v>
      </c>
      <c r="F11" s="4">
        <v>171.73999999999978</v>
      </c>
      <c r="G11" s="4">
        <v>6.5125999999999999</v>
      </c>
      <c r="H11" s="4">
        <v>869.68</v>
      </c>
      <c r="I11" s="4">
        <v>2.99268</v>
      </c>
      <c r="J11" s="4">
        <f t="shared" si="0"/>
        <v>0</v>
      </c>
      <c r="K11" s="4">
        <v>72.929900000000004</v>
      </c>
      <c r="L11" s="4">
        <v>22.734000000000002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</v>
      </c>
      <c r="AC11">
        <v>0</v>
      </c>
      <c r="AD11">
        <v>0</v>
      </c>
    </row>
    <row r="12" spans="1:30" x14ac:dyDescent="0.45">
      <c r="A12" s="4">
        <v>2017</v>
      </c>
      <c r="B12" s="4">
        <v>48.3</v>
      </c>
      <c r="C12" s="4">
        <v>1</v>
      </c>
      <c r="D12" s="4">
        <v>-15.729999999999961</v>
      </c>
      <c r="E12" s="4">
        <v>7.44</v>
      </c>
      <c r="F12" s="4">
        <v>1077.1800000000003</v>
      </c>
      <c r="G12" s="4">
        <v>6.9551999999999996</v>
      </c>
      <c r="H12" s="4">
        <v>858.99</v>
      </c>
      <c r="I12" s="4">
        <v>3.5982500000000002</v>
      </c>
      <c r="J12" s="4">
        <f t="shared" si="0"/>
        <v>0</v>
      </c>
      <c r="K12" s="4">
        <v>60.6569</v>
      </c>
      <c r="L12" s="4">
        <v>31.414999999999999</v>
      </c>
      <c r="P12">
        <v>24.546199999999999</v>
      </c>
      <c r="Q12">
        <v>29.3916</v>
      </c>
      <c r="R12">
        <v>30.185099999999998</v>
      </c>
      <c r="S12">
        <v>30.3505</v>
      </c>
      <c r="T12">
        <v>32.196100000000001</v>
      </c>
      <c r="U12">
        <v>30.372699999999998</v>
      </c>
      <c r="V12">
        <v>32.658700000000003</v>
      </c>
      <c r="W12">
        <v>56.2376</v>
      </c>
      <c r="X12">
        <v>72.929900000000004</v>
      </c>
      <c r="Y12">
        <v>60.6569</v>
      </c>
      <c r="Z12">
        <v>57.600200000000001</v>
      </c>
      <c r="AA12">
        <v>69.470600000000005</v>
      </c>
      <c r="AB12">
        <v>61.905700000000003</v>
      </c>
      <c r="AC12">
        <v>73.875699999999995</v>
      </c>
      <c r="AD12">
        <v>74.292599999999993</v>
      </c>
    </row>
    <row r="13" spans="1:30" x14ac:dyDescent="0.45">
      <c r="A13" s="4">
        <v>2018</v>
      </c>
      <c r="B13" s="4">
        <v>60.96</v>
      </c>
      <c r="C13" s="4">
        <v>1</v>
      </c>
      <c r="D13" s="4">
        <v>18.919999999999959</v>
      </c>
      <c r="E13" s="4">
        <v>6.02</v>
      </c>
      <c r="F13" s="4">
        <v>1584.42</v>
      </c>
      <c r="G13" s="4">
        <v>6.4958999999999998</v>
      </c>
      <c r="H13" s="4">
        <v>778.48</v>
      </c>
      <c r="I13" s="4">
        <v>3.75345</v>
      </c>
      <c r="J13" s="4">
        <f t="shared" si="0"/>
        <v>0</v>
      </c>
      <c r="K13" s="4">
        <v>57.600200000000001</v>
      </c>
      <c r="L13" s="4">
        <v>43.451000000000001</v>
      </c>
      <c r="P13">
        <v>50.281999999999996</v>
      </c>
      <c r="Q13">
        <v>30.003</v>
      </c>
      <c r="R13">
        <v>41.56</v>
      </c>
      <c r="S13">
        <v>63.811</v>
      </c>
      <c r="T13">
        <v>64.960999999999999</v>
      </c>
      <c r="U13">
        <v>63.372</v>
      </c>
      <c r="V13">
        <v>59.31</v>
      </c>
      <c r="W13">
        <v>30.36</v>
      </c>
      <c r="X13">
        <v>22.734000000000002</v>
      </c>
      <c r="Y13">
        <v>31.414999999999999</v>
      </c>
      <c r="Z13">
        <v>43.451000000000001</v>
      </c>
      <c r="AA13">
        <v>40.048999999999999</v>
      </c>
      <c r="AB13">
        <v>30.472999999999999</v>
      </c>
      <c r="AC13">
        <v>39.573</v>
      </c>
      <c r="AD13">
        <v>58.33</v>
      </c>
    </row>
    <row r="14" spans="1:30" x14ac:dyDescent="0.45">
      <c r="A14" s="4">
        <v>2019</v>
      </c>
      <c r="B14" s="4">
        <v>57.31</v>
      </c>
      <c r="C14" s="4">
        <v>1</v>
      </c>
      <c r="D14" s="4">
        <v>37.950000000000045</v>
      </c>
      <c r="E14" s="4">
        <v>5.25</v>
      </c>
      <c r="F14" s="4">
        <v>385.05999999999949</v>
      </c>
      <c r="G14" s="4">
        <v>6.8556999999999997</v>
      </c>
      <c r="H14" s="4">
        <v>759.93</v>
      </c>
      <c r="I14" s="4">
        <v>5.3947399999999996</v>
      </c>
      <c r="J14" s="4">
        <f t="shared" si="0"/>
        <v>0</v>
      </c>
      <c r="K14" s="4">
        <v>69.470600000000005</v>
      </c>
      <c r="L14" s="4">
        <v>40.048999999999999</v>
      </c>
    </row>
    <row r="15" spans="1:30" x14ac:dyDescent="0.45">
      <c r="A15" s="4">
        <v>2020</v>
      </c>
      <c r="B15" s="4">
        <v>46.45</v>
      </c>
      <c r="C15" s="4">
        <v>1</v>
      </c>
      <c r="D15" s="4">
        <v>31.039999999999964</v>
      </c>
      <c r="E15" s="4">
        <v>6.77</v>
      </c>
      <c r="F15" s="4">
        <v>407.77000000000044</v>
      </c>
      <c r="G15" s="4">
        <v>6.97</v>
      </c>
      <c r="H15" s="4">
        <v>720.29</v>
      </c>
      <c r="I15" s="4">
        <v>5.9245390000000002</v>
      </c>
      <c r="J15" s="4">
        <f t="shared" si="0"/>
        <v>1</v>
      </c>
      <c r="K15" s="4">
        <v>61.905700000000003</v>
      </c>
      <c r="L15" s="4">
        <v>30.472999999999999</v>
      </c>
      <c r="O15" t="s">
        <v>91</v>
      </c>
    </row>
    <row r="16" spans="1:30" x14ac:dyDescent="0.45">
      <c r="A16" s="4">
        <v>2021</v>
      </c>
      <c r="B16" s="4">
        <v>60.62</v>
      </c>
      <c r="C16" s="4">
        <v>1</v>
      </c>
      <c r="D16" s="4">
        <v>12.620000000000005</v>
      </c>
      <c r="E16" s="4">
        <v>8.0399999999999991</v>
      </c>
      <c r="F16" s="4">
        <v>3132.7199999999993</v>
      </c>
      <c r="G16" s="4">
        <v>6.4682000000000004</v>
      </c>
      <c r="H16" s="4">
        <v>819.03</v>
      </c>
      <c r="I16" s="4">
        <v>7.3650000000000002</v>
      </c>
      <c r="J16" s="4">
        <f t="shared" si="0"/>
        <v>0</v>
      </c>
      <c r="K16" s="4">
        <v>73.875699999999995</v>
      </c>
      <c r="L16" s="4">
        <v>39.573</v>
      </c>
      <c r="P16" cm="1">
        <f t="array" ref="P16:Y25">MMULT(_xlfn.ANCHORARRAY(P4),C3:L17)</f>
        <v>15</v>
      </c>
      <c r="Q16">
        <v>334.71</v>
      </c>
      <c r="R16">
        <v>120.67999999999998</v>
      </c>
      <c r="S16">
        <v>14412.839999999998</v>
      </c>
      <c r="T16">
        <v>99.027100000000019</v>
      </c>
      <c r="U16">
        <v>12389.490000000002</v>
      </c>
      <c r="V16">
        <v>56.584413000000005</v>
      </c>
      <c r="W16">
        <v>2</v>
      </c>
      <c r="X16">
        <v>736.67010000000005</v>
      </c>
      <c r="Y16">
        <v>669.68400000000008</v>
      </c>
    </row>
    <row r="17" spans="1:25" x14ac:dyDescent="0.45">
      <c r="A17" s="4">
        <v>2022</v>
      </c>
      <c r="B17" s="4">
        <v>84.66</v>
      </c>
      <c r="C17" s="4">
        <v>1</v>
      </c>
      <c r="D17" s="4">
        <v>35.009999999999991</v>
      </c>
      <c r="E17" s="4">
        <v>8</v>
      </c>
      <c r="F17" s="4">
        <v>142.70999999999913</v>
      </c>
      <c r="G17" s="4">
        <v>6.37</v>
      </c>
      <c r="H17" s="4">
        <v>905.99</v>
      </c>
      <c r="I17" s="4">
        <v>13.6105</v>
      </c>
      <c r="J17" s="4">
        <f t="shared" si="0"/>
        <v>0</v>
      </c>
      <c r="K17" s="4">
        <v>74.292599999999993</v>
      </c>
      <c r="L17" s="4">
        <v>58.33</v>
      </c>
      <c r="P17">
        <v>334.71</v>
      </c>
      <c r="Q17">
        <v>22143.385299999994</v>
      </c>
      <c r="R17">
        <v>3106.6081999999997</v>
      </c>
      <c r="S17">
        <v>178428.3764999999</v>
      </c>
      <c r="T17">
        <v>2168.6243049999998</v>
      </c>
      <c r="U17">
        <v>281314.61069999996</v>
      </c>
      <c r="V17">
        <v>1529.5032662799999</v>
      </c>
      <c r="W17">
        <v>24.339999999999961</v>
      </c>
      <c r="X17">
        <v>21069.166153999999</v>
      </c>
      <c r="Y17">
        <v>12019.806719999999</v>
      </c>
    </row>
    <row r="18" spans="1:25" x14ac:dyDescent="0.45">
      <c r="P18">
        <v>120.67999999999998</v>
      </c>
      <c r="Q18">
        <v>3106.6081999999997</v>
      </c>
      <c r="R18">
        <v>1128.0973999999999</v>
      </c>
      <c r="S18">
        <v>113449.9509</v>
      </c>
      <c r="T18">
        <v>803.8967080000001</v>
      </c>
      <c r="U18">
        <v>99359.755799999999</v>
      </c>
      <c r="V18">
        <v>435.21612506000002</v>
      </c>
      <c r="W18">
        <v>23.91</v>
      </c>
      <c r="X18">
        <v>5882.2086559999998</v>
      </c>
      <c r="Y18">
        <v>5256.2353599999997</v>
      </c>
    </row>
    <row r="19" spans="1:25" x14ac:dyDescent="0.45">
      <c r="P19">
        <v>14412.839999999998</v>
      </c>
      <c r="Q19">
        <v>178428.3764999999</v>
      </c>
      <c r="R19">
        <v>113449.9509</v>
      </c>
      <c r="S19">
        <v>21514281.890599996</v>
      </c>
      <c r="T19">
        <v>94889.588704999987</v>
      </c>
      <c r="U19">
        <v>11931562.888399998</v>
      </c>
      <c r="V19">
        <v>52621.972724879983</v>
      </c>
      <c r="W19">
        <v>1451.7800000000007</v>
      </c>
      <c r="X19">
        <v>703505.48106399982</v>
      </c>
      <c r="Y19">
        <v>669822.93881999992</v>
      </c>
    </row>
    <row r="20" spans="1:25" x14ac:dyDescent="0.45">
      <c r="P20">
        <v>99.027100000000019</v>
      </c>
      <c r="Q20">
        <v>2168.6243049999998</v>
      </c>
      <c r="R20">
        <v>803.8967080000001</v>
      </c>
      <c r="S20">
        <v>94889.588704999987</v>
      </c>
      <c r="T20">
        <v>655.4359173900001</v>
      </c>
      <c r="U20">
        <v>81508.738273999988</v>
      </c>
      <c r="V20">
        <v>371.81274710570005</v>
      </c>
      <c r="W20">
        <v>14.269600000000001</v>
      </c>
      <c r="X20">
        <v>4854.5432578400005</v>
      </c>
      <c r="Y20">
        <v>4397.2899774999996</v>
      </c>
    </row>
    <row r="21" spans="1:25" x14ac:dyDescent="0.45">
      <c r="P21">
        <v>12389.490000000002</v>
      </c>
      <c r="Q21">
        <v>281314.61069999996</v>
      </c>
      <c r="R21">
        <v>99359.755799999999</v>
      </c>
      <c r="S21">
        <v>11931562.888399998</v>
      </c>
      <c r="T21">
        <v>81508.738273999988</v>
      </c>
      <c r="U21">
        <v>10331987.369100001</v>
      </c>
      <c r="V21">
        <v>47134.860497300004</v>
      </c>
      <c r="W21">
        <v>1490.74</v>
      </c>
      <c r="X21">
        <v>609185.99453399994</v>
      </c>
      <c r="Y21">
        <v>562087.38139999995</v>
      </c>
    </row>
    <row r="22" spans="1:25" x14ac:dyDescent="0.45">
      <c r="P22">
        <v>56.584413000000005</v>
      </c>
      <c r="Q22">
        <v>1529.5032662799999</v>
      </c>
      <c r="R22">
        <v>435.21612506000002</v>
      </c>
      <c r="S22">
        <v>52621.972724879983</v>
      </c>
      <c r="T22">
        <v>371.81274710570005</v>
      </c>
      <c r="U22">
        <v>47134.860497300004</v>
      </c>
      <c r="V22">
        <v>364.98803434686704</v>
      </c>
      <c r="W22">
        <v>7.0931790000000001</v>
      </c>
      <c r="X22">
        <v>3432.6326602452</v>
      </c>
      <c r="Y22">
        <v>2527.5576865619996</v>
      </c>
    </row>
    <row r="23" spans="1:25" x14ac:dyDescent="0.45">
      <c r="B23" t="s">
        <v>196</v>
      </c>
      <c r="P23">
        <v>2</v>
      </c>
      <c r="Q23">
        <v>24.339999999999961</v>
      </c>
      <c r="R23">
        <v>23.91</v>
      </c>
      <c r="S23">
        <v>1451.7800000000007</v>
      </c>
      <c r="T23">
        <v>14.269600000000001</v>
      </c>
      <c r="U23">
        <v>1490.74</v>
      </c>
      <c r="V23">
        <v>7.0931790000000001</v>
      </c>
      <c r="W23">
        <v>2</v>
      </c>
      <c r="X23">
        <v>86.451899999999995</v>
      </c>
      <c r="Y23">
        <v>80.754999999999995</v>
      </c>
    </row>
    <row r="24" spans="1:25" x14ac:dyDescent="0.45">
      <c r="B24" s="4"/>
      <c r="C24" s="4" t="s">
        <v>6</v>
      </c>
      <c r="D24" s="4" t="s">
        <v>7</v>
      </c>
      <c r="E24" s="4" t="s">
        <v>8</v>
      </c>
      <c r="F24" s="4" t="s">
        <v>9</v>
      </c>
      <c r="G24" s="4" t="s">
        <v>15</v>
      </c>
      <c r="H24" s="4" t="s">
        <v>16</v>
      </c>
      <c r="I24" s="4" t="s">
        <v>129</v>
      </c>
      <c r="J24" s="4" t="s">
        <v>130</v>
      </c>
      <c r="K24" s="4" t="s">
        <v>131</v>
      </c>
      <c r="L24" s="4" t="s">
        <v>132</v>
      </c>
      <c r="P24">
        <v>736.67010000000005</v>
      </c>
      <c r="Q24">
        <v>21069.166153999999</v>
      </c>
      <c r="R24">
        <v>5882.2086559999998</v>
      </c>
      <c r="S24">
        <v>703505.48106399982</v>
      </c>
      <c r="T24">
        <v>4854.5432578400005</v>
      </c>
      <c r="U24">
        <v>609185.99453399994</v>
      </c>
      <c r="V24">
        <v>3432.6326602452</v>
      </c>
      <c r="W24">
        <v>86.451899999999995</v>
      </c>
      <c r="X24">
        <v>41438.325590969995</v>
      </c>
      <c r="Y24">
        <v>30959.849384100002</v>
      </c>
    </row>
    <row r="25" spans="1:25" x14ac:dyDescent="0.45">
      <c r="B25" s="4" t="s">
        <v>94</v>
      </c>
      <c r="C25" s="4">
        <f>P28</f>
        <v>220.02160276042926</v>
      </c>
      <c r="D25" s="4">
        <f>Q29</f>
        <v>3.5722744036781676E-4</v>
      </c>
      <c r="E25" s="4">
        <f>R30</f>
        <v>2.0774967002497882E-2</v>
      </c>
      <c r="F25" s="4">
        <f>S31</f>
        <v>2.9828819570036217E-7</v>
      </c>
      <c r="G25" s="4">
        <f>T32</f>
        <v>3.3632088261648923</v>
      </c>
      <c r="H25" s="4">
        <f>U33</f>
        <v>4.5421760659928733E-5</v>
      </c>
      <c r="I25" s="4">
        <f>V34</f>
        <v>3.9270362075904494E-2</v>
      </c>
      <c r="J25" s="4">
        <f>W35</f>
        <v>1.1056151338049414</v>
      </c>
      <c r="K25" s="4">
        <f>X36</f>
        <v>2.2469442292021849E-3</v>
      </c>
      <c r="L25" s="4">
        <f>Y37</f>
        <v>1.8532839398878343E-3</v>
      </c>
      <c r="P25">
        <v>669.68400000000008</v>
      </c>
      <c r="Q25">
        <v>12019.806719999999</v>
      </c>
      <c r="R25">
        <v>5256.2353599999997</v>
      </c>
      <c r="S25">
        <v>669822.93881999992</v>
      </c>
      <c r="T25">
        <v>4397.2899774999996</v>
      </c>
      <c r="U25">
        <v>562087.38139999995</v>
      </c>
      <c r="V25">
        <v>2527.5576865619996</v>
      </c>
      <c r="W25">
        <v>80.754999999999995</v>
      </c>
      <c r="X25">
        <v>30959.849384100002</v>
      </c>
      <c r="Y25">
        <v>32795.548199999997</v>
      </c>
    </row>
    <row r="26" spans="1:25" x14ac:dyDescent="0.45">
      <c r="B26" s="4" t="s">
        <v>95</v>
      </c>
      <c r="C26" s="4">
        <f>C25*2</f>
        <v>440.04320552085852</v>
      </c>
      <c r="D26" s="4">
        <f t="shared" ref="D26:L26" si="1">D25*2</f>
        <v>7.1445488073563351E-4</v>
      </c>
      <c r="E26" s="4">
        <f t="shared" si="1"/>
        <v>4.1549934004995764E-2</v>
      </c>
      <c r="F26" s="4">
        <f t="shared" si="1"/>
        <v>5.9657639140072435E-7</v>
      </c>
      <c r="G26" s="4">
        <f t="shared" si="1"/>
        <v>6.7264176523297845</v>
      </c>
      <c r="H26" s="4">
        <f t="shared" si="1"/>
        <v>9.0843521319857465E-5</v>
      </c>
      <c r="I26" s="4">
        <f t="shared" si="1"/>
        <v>7.8540724151808988E-2</v>
      </c>
      <c r="J26" s="4">
        <f t="shared" si="1"/>
        <v>2.2112302676098827</v>
      </c>
      <c r="K26" s="4">
        <f t="shared" si="1"/>
        <v>4.4938884584043697E-3</v>
      </c>
      <c r="L26" s="4">
        <f t="shared" si="1"/>
        <v>3.7065678797756686E-3</v>
      </c>
    </row>
    <row r="27" spans="1:25" x14ac:dyDescent="0.45">
      <c r="B27" s="4" t="s">
        <v>96</v>
      </c>
      <c r="C27" s="4">
        <f>POWER(C26,0.5)</f>
        <v>20.977206809317071</v>
      </c>
      <c r="D27" s="4">
        <f t="shared" ref="D27:L27" si="2">POWER(D26,0.5)</f>
        <v>2.6729288818366146E-2</v>
      </c>
      <c r="E27" s="4">
        <f t="shared" si="2"/>
        <v>0.20383800922545275</v>
      </c>
      <c r="F27" s="4">
        <f t="shared" si="2"/>
        <v>7.7238357789425087E-4</v>
      </c>
      <c r="G27" s="4">
        <f t="shared" si="2"/>
        <v>2.5935338155362047</v>
      </c>
      <c r="H27" s="4">
        <f t="shared" si="2"/>
        <v>9.531186773946751E-3</v>
      </c>
      <c r="I27" s="4">
        <f t="shared" si="2"/>
        <v>0.28025118046461284</v>
      </c>
      <c r="J27" s="4">
        <f t="shared" si="2"/>
        <v>1.487020600936612</v>
      </c>
      <c r="K27" s="4">
        <f t="shared" si="2"/>
        <v>6.7036471106438539E-2</v>
      </c>
      <c r="L27" s="4">
        <f t="shared" si="2"/>
        <v>6.0881589005015863E-2</v>
      </c>
      <c r="O27" t="s">
        <v>92</v>
      </c>
    </row>
    <row r="28" spans="1:25" x14ac:dyDescent="0.45">
      <c r="B28" s="4" t="s">
        <v>97</v>
      </c>
      <c r="C28" s="4">
        <f>ABS(E55)</f>
        <v>17.467913806921445</v>
      </c>
      <c r="D28" s="4">
        <f t="shared" ref="D28:L28" si="3">ABS(F55)</f>
        <v>3.5434354651516509E-2</v>
      </c>
      <c r="E28" s="4">
        <f t="shared" si="3"/>
        <v>0.37692676856636842</v>
      </c>
      <c r="F28" s="4">
        <f t="shared" si="3"/>
        <v>4.4714785448183442E-5</v>
      </c>
      <c r="G28" s="4">
        <f t="shared" si="3"/>
        <v>2.0943841373238001</v>
      </c>
      <c r="H28" s="4">
        <f t="shared" si="3"/>
        <v>1.1039767508348453E-3</v>
      </c>
      <c r="I28" s="4">
        <f t="shared" si="3"/>
        <v>0.28272529145589864</v>
      </c>
      <c r="J28" s="4">
        <f t="shared" si="3"/>
        <v>9.6772366439336344E-4</v>
      </c>
      <c r="K28" s="4">
        <f t="shared" si="3"/>
        <v>5.9136393840291346E-2</v>
      </c>
      <c r="L28" s="4">
        <f t="shared" si="3"/>
        <v>1.2198062845333348</v>
      </c>
      <c r="P28" cm="1">
        <f t="array" ref="P28:Y37">MINVERSE(_xlfn.ANCHORARRAY(P16))</f>
        <v>220.02160276042926</v>
      </c>
      <c r="Q28">
        <v>-0.16474412158545637</v>
      </c>
      <c r="R28">
        <v>1.3228379451272883</v>
      </c>
      <c r="S28">
        <v>-3.6193032520913217E-3</v>
      </c>
      <c r="T28">
        <v>-26.530789320506432</v>
      </c>
      <c r="U28">
        <v>-7.4773745832032237E-2</v>
      </c>
      <c r="V28">
        <v>-0.74719158057668544</v>
      </c>
      <c r="W28">
        <v>2.3084620488170464</v>
      </c>
      <c r="X28">
        <v>0.24159673989306116</v>
      </c>
      <c r="Y28">
        <v>9.2137337484121132E-2</v>
      </c>
    </row>
    <row r="29" spans="1:25" x14ac:dyDescent="0.45">
      <c r="B29" s="4" t="s">
        <v>98</v>
      </c>
      <c r="C29" s="4">
        <f>C28/C27</f>
        <v>0.83270923367943506</v>
      </c>
      <c r="D29" s="4">
        <f t="shared" ref="D29:L29" si="4">D28/D27</f>
        <v>1.3256751757334062</v>
      </c>
      <c r="E29" s="4">
        <f t="shared" si="4"/>
        <v>1.849148595978843</v>
      </c>
      <c r="F29" s="4">
        <f t="shared" si="4"/>
        <v>5.7891942200647702E-2</v>
      </c>
      <c r="G29" s="4">
        <f t="shared" si="4"/>
        <v>0.80754070942807166</v>
      </c>
      <c r="H29" s="4">
        <f t="shared" si="4"/>
        <v>0.11582783729016168</v>
      </c>
      <c r="I29" s="4">
        <f t="shared" si="4"/>
        <v>1.0088281911504677</v>
      </c>
      <c r="J29" s="4">
        <f t="shared" si="4"/>
        <v>6.5078026745818776E-4</v>
      </c>
      <c r="K29" s="4">
        <f t="shared" si="4"/>
        <v>0.88215254866856452</v>
      </c>
      <c r="L29" s="4">
        <f t="shared" si="4"/>
        <v>20.035716946100706</v>
      </c>
      <c r="P29">
        <v>-0.16474412158545593</v>
      </c>
      <c r="Q29">
        <v>3.5722744036781676E-4</v>
      </c>
      <c r="R29">
        <v>-1.8638329794236996E-3</v>
      </c>
      <c r="S29">
        <v>7.1917946631888072E-6</v>
      </c>
      <c r="T29">
        <v>2.2584167561558347E-2</v>
      </c>
      <c r="U29">
        <v>4.884844842592762E-5</v>
      </c>
      <c r="V29">
        <v>1.6489749899026929E-3</v>
      </c>
      <c r="W29">
        <v>1.4687094716896727E-3</v>
      </c>
      <c r="X29">
        <v>-5.3413764772134592E-4</v>
      </c>
      <c r="Y29">
        <v>-1.0683403498069713E-4</v>
      </c>
    </row>
    <row r="30" spans="1:25" x14ac:dyDescent="0.45">
      <c r="B30" s="4" t="s">
        <v>99</v>
      </c>
      <c r="C30" s="34">
        <v>2.145</v>
      </c>
      <c r="D30" s="4">
        <v>2.145</v>
      </c>
      <c r="E30" s="34">
        <v>2.145</v>
      </c>
      <c r="F30" s="4">
        <v>2.145</v>
      </c>
      <c r="G30" s="34">
        <v>2.145</v>
      </c>
      <c r="H30" s="4">
        <v>2.145</v>
      </c>
      <c r="I30" s="34">
        <v>2.145</v>
      </c>
      <c r="J30" s="4">
        <v>2.145</v>
      </c>
      <c r="K30" s="34">
        <v>2.145</v>
      </c>
      <c r="L30" s="4">
        <v>2.145</v>
      </c>
      <c r="P30">
        <v>1.3228379451272483</v>
      </c>
      <c r="Q30">
        <v>-1.8638329794236719E-3</v>
      </c>
      <c r="R30">
        <v>2.0774967002497882E-2</v>
      </c>
      <c r="S30">
        <v>-4.071826112630653E-5</v>
      </c>
      <c r="T30">
        <v>-0.17494719594556099</v>
      </c>
      <c r="U30">
        <v>-5.4351741926567804E-4</v>
      </c>
      <c r="V30">
        <v>-9.0844360081762179E-3</v>
      </c>
      <c r="W30">
        <v>-4.1601597563001996E-2</v>
      </c>
      <c r="X30">
        <v>3.2257339057978692E-3</v>
      </c>
      <c r="Y30">
        <v>1.7028526559245752E-3</v>
      </c>
    </row>
    <row r="31" spans="1:25" x14ac:dyDescent="0.45">
      <c r="B31" s="4" t="s">
        <v>100</v>
      </c>
      <c r="C31" s="4" t="s">
        <v>186</v>
      </c>
      <c r="D31" s="4" t="s">
        <v>187</v>
      </c>
      <c r="E31" s="4" t="s">
        <v>188</v>
      </c>
      <c r="F31" s="4" t="s">
        <v>189</v>
      </c>
      <c r="G31" s="4" t="s">
        <v>190</v>
      </c>
      <c r="H31" s="4" t="s">
        <v>191</v>
      </c>
      <c r="I31" s="4" t="s">
        <v>192</v>
      </c>
      <c r="J31" s="4" t="s">
        <v>193</v>
      </c>
      <c r="K31" s="4" t="s">
        <v>194</v>
      </c>
      <c r="L31" s="4" t="s">
        <v>195</v>
      </c>
      <c r="P31">
        <v>-3.6193032520910602E-3</v>
      </c>
      <c r="Q31">
        <v>7.1917946631885963E-6</v>
      </c>
      <c r="R31">
        <v>-4.0718261126305487E-5</v>
      </c>
      <c r="S31">
        <v>2.9828819570036217E-7</v>
      </c>
      <c r="T31">
        <v>4.7298864002600922E-4</v>
      </c>
      <c r="U31">
        <v>1.5585345504329329E-6</v>
      </c>
      <c r="V31">
        <v>5.3101710742460998E-5</v>
      </c>
      <c r="W31">
        <v>7.2037437236036509E-5</v>
      </c>
      <c r="X31">
        <v>-1.5314650207611449E-5</v>
      </c>
      <c r="Y31">
        <v>-8.2397336420345656E-6</v>
      </c>
    </row>
    <row r="32" spans="1:25" x14ac:dyDescent="0.45">
      <c r="B32" s="4" t="s">
        <v>101</v>
      </c>
      <c r="C32" s="32" t="s">
        <v>116</v>
      </c>
      <c r="D32" s="4" t="s">
        <v>116</v>
      </c>
      <c r="E32" s="32" t="s">
        <v>116</v>
      </c>
      <c r="F32" s="4" t="s">
        <v>116</v>
      </c>
      <c r="G32" s="32" t="s">
        <v>116</v>
      </c>
      <c r="H32" s="4" t="s">
        <v>116</v>
      </c>
      <c r="I32" s="32" t="s">
        <v>116</v>
      </c>
      <c r="J32" s="4" t="s">
        <v>116</v>
      </c>
      <c r="K32" s="32" t="s">
        <v>116</v>
      </c>
      <c r="L32" s="9" t="s">
        <v>102</v>
      </c>
      <c r="P32">
        <v>-26.530789320506589</v>
      </c>
      <c r="Q32">
        <v>2.2584167561558535E-2</v>
      </c>
      <c r="R32">
        <v>-0.17494719594556699</v>
      </c>
      <c r="S32">
        <v>4.7298864002604375E-4</v>
      </c>
      <c r="T32">
        <v>3.3632088261648923</v>
      </c>
      <c r="U32">
        <v>8.1208378189856819E-3</v>
      </c>
      <c r="V32">
        <v>0.11414272434880611</v>
      </c>
      <c r="W32">
        <v>-0.40558962818139888</v>
      </c>
      <c r="X32">
        <v>-3.598931521426247E-2</v>
      </c>
      <c r="Y32">
        <v>-1.2093632163086196E-2</v>
      </c>
    </row>
    <row r="33" spans="15:30" x14ac:dyDescent="0.45">
      <c r="P33">
        <v>-7.4773745832025063E-2</v>
      </c>
      <c r="Q33">
        <v>4.8848448425921881E-5</v>
      </c>
      <c r="R33">
        <v>-5.4351741926564193E-4</v>
      </c>
      <c r="S33">
        <v>1.5585345504329013E-6</v>
      </c>
      <c r="T33">
        <v>8.1208378189847417E-3</v>
      </c>
      <c r="U33">
        <v>4.5421760659928733E-5</v>
      </c>
      <c r="V33">
        <v>6.184765084760684E-4</v>
      </c>
      <c r="W33">
        <v>7.1351972484534371E-4</v>
      </c>
      <c r="X33">
        <v>-1.808996837319325E-4</v>
      </c>
      <c r="Y33">
        <v>-1.8174296151534337E-4</v>
      </c>
    </row>
    <row r="34" spans="15:30" x14ac:dyDescent="0.45">
      <c r="P34">
        <v>-0.74719158057644464</v>
      </c>
      <c r="Q34">
        <v>1.6489749899025134E-3</v>
      </c>
      <c r="R34">
        <v>-9.0844360081748874E-3</v>
      </c>
      <c r="S34">
        <v>5.3101710742458294E-5</v>
      </c>
      <c r="T34">
        <v>0.114142724348776</v>
      </c>
      <c r="U34">
        <v>6.1847650847601657E-4</v>
      </c>
      <c r="V34">
        <v>3.9270362075904494E-2</v>
      </c>
      <c r="W34">
        <v>-1.4193196818988341E-2</v>
      </c>
      <c r="X34">
        <v>-8.4527403207717809E-3</v>
      </c>
      <c r="Y34">
        <v>-5.8919518222313094E-3</v>
      </c>
    </row>
    <row r="35" spans="15:30" x14ac:dyDescent="0.45">
      <c r="P35">
        <v>2.308462048817415</v>
      </c>
      <c r="Q35">
        <v>1.468709471689327E-3</v>
      </c>
      <c r="R35">
        <v>-4.1601597562998964E-2</v>
      </c>
      <c r="S35">
        <v>7.2037437236027971E-5</v>
      </c>
      <c r="T35">
        <v>-0.40558962818144273</v>
      </c>
      <c r="U35">
        <v>7.1351972484514107E-4</v>
      </c>
      <c r="V35">
        <v>-1.4193196818993286E-2</v>
      </c>
      <c r="W35">
        <v>1.1056151338049414</v>
      </c>
      <c r="X35">
        <v>8.5961675307498226E-4</v>
      </c>
      <c r="Y35">
        <v>-2.7676592032491037E-3</v>
      </c>
    </row>
    <row r="36" spans="15:30" x14ac:dyDescent="0.45">
      <c r="P36">
        <v>0.24159673989300398</v>
      </c>
      <c r="Q36">
        <v>-5.3413764772130222E-4</v>
      </c>
      <c r="R36">
        <v>3.2257339057975704E-3</v>
      </c>
      <c r="S36">
        <v>-1.531465020761087E-5</v>
      </c>
      <c r="T36">
        <v>-3.5989315214255253E-2</v>
      </c>
      <c r="U36">
        <v>-1.8089968373192269E-4</v>
      </c>
      <c r="V36">
        <v>-8.452740320771852E-3</v>
      </c>
      <c r="W36">
        <v>8.5961675307383387E-4</v>
      </c>
      <c r="X36">
        <v>2.2469442292021849E-3</v>
      </c>
      <c r="Y36">
        <v>1.5123042719239364E-3</v>
      </c>
    </row>
    <row r="37" spans="15:30" x14ac:dyDescent="0.45">
      <c r="P37">
        <v>9.2137337484048287E-2</v>
      </c>
      <c r="Q37">
        <v>-1.0683403498063941E-4</v>
      </c>
      <c r="R37">
        <v>1.702852655924127E-3</v>
      </c>
      <c r="S37">
        <v>-8.239733642033495E-6</v>
      </c>
      <c r="T37">
        <v>-1.209363216307713E-2</v>
      </c>
      <c r="U37">
        <v>-1.817429615153228E-4</v>
      </c>
      <c r="V37">
        <v>-5.8919518222311385E-3</v>
      </c>
      <c r="W37">
        <v>-2.7676592032501342E-3</v>
      </c>
      <c r="X37">
        <v>1.5123042719238716E-3</v>
      </c>
      <c r="Y37">
        <v>1.8532839398878343E-3</v>
      </c>
    </row>
    <row r="39" spans="15:30" x14ac:dyDescent="0.45">
      <c r="O39" t="s">
        <v>93</v>
      </c>
    </row>
    <row r="40" spans="15:30" x14ac:dyDescent="0.45">
      <c r="P40" cm="1">
        <f t="array" ref="P40:AD49">MMULT(_xlfn.ANCHORARRAY(P28),_xlfn.ANCHORARRAY(P4))</f>
        <v>0.74505534629119641</v>
      </c>
      <c r="Q40">
        <v>6.5180454144046047</v>
      </c>
      <c r="R40">
        <v>-7.5321575743152396</v>
      </c>
      <c r="S40">
        <v>-0.20612921038399357</v>
      </c>
      <c r="T40">
        <v>2.1921949564932346</v>
      </c>
      <c r="U40">
        <v>-3.142698274161206</v>
      </c>
      <c r="V40">
        <v>0.94954250557149145</v>
      </c>
      <c r="W40">
        <v>7.1088327608782595</v>
      </c>
      <c r="X40">
        <v>-1.4096818656790764</v>
      </c>
      <c r="Y40">
        <v>-5.3401231423428808</v>
      </c>
      <c r="Z40">
        <v>3.6973456987172719</v>
      </c>
      <c r="AA40">
        <v>-2.9461569668868512</v>
      </c>
      <c r="AB40">
        <v>-0.74505534629082559</v>
      </c>
      <c r="AC40">
        <v>0.38270595187326162</v>
      </c>
      <c r="AD40">
        <v>0.7282797458349366</v>
      </c>
    </row>
    <row r="41" spans="15:30" x14ac:dyDescent="0.45">
      <c r="P41">
        <v>-4.1717714063270904E-3</v>
      </c>
      <c r="Q41">
        <v>-4.6970258776501805E-3</v>
      </c>
      <c r="R41">
        <v>1.2433175158701085E-2</v>
      </c>
      <c r="S41">
        <v>-4.561659706403742E-4</v>
      </c>
      <c r="T41">
        <v>-2.0782780466690942E-3</v>
      </c>
      <c r="U41">
        <v>1.6863432833495772E-3</v>
      </c>
      <c r="V41">
        <v>2.1762412143859324E-3</v>
      </c>
      <c r="W41">
        <v>-6.3871009274681367E-3</v>
      </c>
      <c r="X41">
        <v>5.2515768412600616E-3</v>
      </c>
      <c r="Y41">
        <v>-7.2675391120922504E-3</v>
      </c>
      <c r="Z41">
        <v>-2.2979312702099911E-3</v>
      </c>
      <c r="AA41">
        <v>1.2588202519216969E-3</v>
      </c>
      <c r="AB41">
        <v>4.1717714063269152E-3</v>
      </c>
      <c r="AC41">
        <v>1.8531727832178024E-3</v>
      </c>
      <c r="AD41">
        <v>-1.4752883281081049E-3</v>
      </c>
    </row>
    <row r="42" spans="15:30" x14ac:dyDescent="0.45">
      <c r="P42">
        <v>6.5685055500364742E-2</v>
      </c>
      <c r="Q42">
        <v>3.5661134086233233E-2</v>
      </c>
      <c r="R42">
        <v>-7.7063094772529497E-2</v>
      </c>
      <c r="S42">
        <v>1.9390710942614076E-2</v>
      </c>
      <c r="T42">
        <v>9.8733464794857617E-4</v>
      </c>
      <c r="U42">
        <v>-3.4822132354496355E-2</v>
      </c>
      <c r="V42">
        <v>-1.4951971948922491E-2</v>
      </c>
      <c r="W42">
        <v>2.7490767207301176E-2</v>
      </c>
      <c r="X42">
        <v>2.9732270882205931E-2</v>
      </c>
      <c r="Y42">
        <v>-4.3378060734172649E-3</v>
      </c>
      <c r="Z42">
        <v>1.4263361063560659E-2</v>
      </c>
      <c r="AA42">
        <v>-2.3642551392114811E-2</v>
      </c>
      <c r="AB42">
        <v>-6.5685055500366699E-2</v>
      </c>
      <c r="AC42">
        <v>8.2113917239244605E-4</v>
      </c>
      <c r="AD42">
        <v>2.6470838539215211E-2</v>
      </c>
    </row>
    <row r="43" spans="15:30" x14ac:dyDescent="0.45">
      <c r="P43">
        <v>-5.6715125168002958E-5</v>
      </c>
      <c r="Q43">
        <v>-1.2878049160189433E-4</v>
      </c>
      <c r="R43">
        <v>2.8545762708294766E-4</v>
      </c>
      <c r="S43">
        <v>-6.061375707874881E-6</v>
      </c>
      <c r="T43">
        <v>-9.3368251447341604E-5</v>
      </c>
      <c r="U43">
        <v>4.9005021241090561E-5</v>
      </c>
      <c r="V43">
        <v>4.3572431964562287E-5</v>
      </c>
      <c r="W43">
        <v>-1.4862571873537422E-4</v>
      </c>
      <c r="X43">
        <v>-9.0856378543650146E-6</v>
      </c>
      <c r="Y43">
        <v>-8.2284991556451326E-5</v>
      </c>
      <c r="Z43">
        <v>-1.0806727628555476E-5</v>
      </c>
      <c r="AA43">
        <v>-1.2568239089491535E-4</v>
      </c>
      <c r="AB43">
        <v>5.6715125167997808E-5</v>
      </c>
      <c r="AC43">
        <v>3.4805006365419029E-4</v>
      </c>
      <c r="AD43">
        <v>-1.2138955851606625E-4</v>
      </c>
    </row>
    <row r="44" spans="15:30" x14ac:dyDescent="0.45">
      <c r="P44">
        <v>-0.14380548282673322</v>
      </c>
      <c r="Q44">
        <v>-0.53131948765634407</v>
      </c>
      <c r="R44">
        <v>1.1167823693238503</v>
      </c>
      <c r="S44">
        <v>4.5597042858323666E-2</v>
      </c>
      <c r="T44">
        <v>-0.2951457388854869</v>
      </c>
      <c r="U44">
        <v>0.28116061508689671</v>
      </c>
      <c r="V44">
        <v>-0.18292225594747791</v>
      </c>
      <c r="W44">
        <v>-0.9498630798909482</v>
      </c>
      <c r="X44">
        <v>0.1162336370785404</v>
      </c>
      <c r="Y44">
        <v>0.53714930451564658</v>
      </c>
      <c r="Z44">
        <v>-0.4083314462114489</v>
      </c>
      <c r="AA44">
        <v>0.44958822351929811</v>
      </c>
      <c r="AB44">
        <v>0.14380548282667477</v>
      </c>
      <c r="AC44">
        <v>-6.2150475351231194E-2</v>
      </c>
      <c r="AD44">
        <v>-0.11677870844014626</v>
      </c>
    </row>
    <row r="45" spans="15:30" x14ac:dyDescent="0.45">
      <c r="P45">
        <v>-6.5823339881570207E-4</v>
      </c>
      <c r="Q45">
        <v>-2.7006941959236202E-3</v>
      </c>
      <c r="R45">
        <v>2.7194662805324213E-3</v>
      </c>
      <c r="S45">
        <v>-1.4001662423175319E-3</v>
      </c>
      <c r="T45">
        <v>-1.2083555993450627E-3</v>
      </c>
      <c r="U45">
        <v>2.4841444382300362E-3</v>
      </c>
      <c r="V45">
        <v>1.1244018896353868E-3</v>
      </c>
      <c r="W45">
        <v>-6.2934094228056688E-4</v>
      </c>
      <c r="X45">
        <v>3.497133387600276E-4</v>
      </c>
      <c r="Y45">
        <v>3.1349740442690333E-3</v>
      </c>
      <c r="Z45">
        <v>-2.5354028454643365E-3</v>
      </c>
      <c r="AA45">
        <v>-1.4912114125623229E-3</v>
      </c>
      <c r="AB45">
        <v>6.582333988155659E-4</v>
      </c>
      <c r="AC45">
        <v>8.3156210509442371E-5</v>
      </c>
      <c r="AD45">
        <v>6.9315035955823737E-5</v>
      </c>
    </row>
    <row r="46" spans="15:30" x14ac:dyDescent="0.45">
      <c r="P46">
        <v>-2.0848829414769177E-2</v>
      </c>
      <c r="Q46">
        <v>3.3956752294385661E-2</v>
      </c>
      <c r="R46">
        <v>0.1005966365708956</v>
      </c>
      <c r="S46">
        <v>-4.5234762837740361E-2</v>
      </c>
      <c r="T46">
        <v>-5.4788755197742622E-2</v>
      </c>
      <c r="U46">
        <v>9.7962596793115808E-3</v>
      </c>
      <c r="V46">
        <v>2.0544159711399335E-2</v>
      </c>
      <c r="W46">
        <v>-3.4829198964743541E-2</v>
      </c>
      <c r="X46">
        <v>-2.4490596035131929E-2</v>
      </c>
      <c r="Y46">
        <v>-1.4875558403245864E-2</v>
      </c>
      <c r="Z46">
        <v>-5.9105941705000498E-2</v>
      </c>
      <c r="AA46">
        <v>-7.0662122761373347E-2</v>
      </c>
      <c r="AB46">
        <v>2.0848829414768566E-2</v>
      </c>
      <c r="AC46">
        <v>4.3393093050014819E-2</v>
      </c>
      <c r="AD46">
        <v>9.5700034598964923E-2</v>
      </c>
    </row>
    <row r="47" spans="15:30" x14ac:dyDescent="0.45">
      <c r="P47">
        <v>0.2208326210707105</v>
      </c>
      <c r="Q47">
        <v>-0.34901545830569752</v>
      </c>
      <c r="R47">
        <v>-0.21251416859189631</v>
      </c>
      <c r="S47">
        <v>-0.19873476832824608</v>
      </c>
      <c r="T47">
        <v>6.4688399928803958E-2</v>
      </c>
      <c r="U47">
        <v>0.10227560610715844</v>
      </c>
      <c r="V47">
        <v>0.16291758318574587</v>
      </c>
      <c r="W47">
        <v>0.20091516712760027</v>
      </c>
      <c r="X47">
        <v>-0.17226335033136375</v>
      </c>
      <c r="Y47">
        <v>-0.24048502077632719</v>
      </c>
      <c r="Z47">
        <v>-3.279777048515245E-3</v>
      </c>
      <c r="AA47">
        <v>-0.19253834620961152</v>
      </c>
      <c r="AB47">
        <v>0.77916737892929844</v>
      </c>
      <c r="AC47">
        <v>2.8599982701458943E-2</v>
      </c>
      <c r="AD47">
        <v>-0.19056584945905047</v>
      </c>
    </row>
    <row r="48" spans="15:30" x14ac:dyDescent="0.45">
      <c r="P48">
        <v>4.5711587899507772E-3</v>
      </c>
      <c r="Q48">
        <v>-8.5118420017150642E-3</v>
      </c>
      <c r="R48">
        <v>-3.2323961703399309E-2</v>
      </c>
      <c r="S48">
        <v>8.6776169083508242E-3</v>
      </c>
      <c r="T48">
        <v>1.0400293449444847E-2</v>
      </c>
      <c r="U48">
        <v>-7.6313753827817049E-3</v>
      </c>
      <c r="V48">
        <v>-9.4882884851920646E-3</v>
      </c>
      <c r="W48">
        <v>6.8992224772579727E-3</v>
      </c>
      <c r="X48">
        <v>3.2043575306928695E-3</v>
      </c>
      <c r="Y48">
        <v>5.1842831926544042E-3</v>
      </c>
      <c r="Z48">
        <v>1.5443788890425206E-2</v>
      </c>
      <c r="AA48">
        <v>1.922371622311974E-2</v>
      </c>
      <c r="AB48">
        <v>-4.571158789950569E-3</v>
      </c>
      <c r="AC48">
        <v>-4.5474819691824972E-3</v>
      </c>
      <c r="AD48">
        <v>-6.5303291296728294E-3</v>
      </c>
    </row>
    <row r="49" spans="2:30" x14ac:dyDescent="0.45">
      <c r="P49">
        <v>5.790030088415915E-3</v>
      </c>
      <c r="Q49">
        <v>-9.7415399452984372E-3</v>
      </c>
      <c r="R49">
        <v>-1.6026994996442764E-2</v>
      </c>
      <c r="S49">
        <v>1.7005671283139942E-2</v>
      </c>
      <c r="T49">
        <v>1.4255693688023055E-2</v>
      </c>
      <c r="U49">
        <v>-4.009043395731951E-3</v>
      </c>
      <c r="V49">
        <v>-4.6443205879892618E-3</v>
      </c>
      <c r="W49">
        <v>-9.4435941466053316E-3</v>
      </c>
      <c r="X49">
        <v>6.8247187966321426E-4</v>
      </c>
      <c r="Y49">
        <v>-1.386574428394536E-2</v>
      </c>
      <c r="Z49">
        <v>1.2790648333768098E-2</v>
      </c>
      <c r="AA49">
        <v>2.0325233187405339E-2</v>
      </c>
      <c r="AB49">
        <v>-5.7900300884158526E-3</v>
      </c>
      <c r="AC49">
        <v>-6.7414035021436114E-3</v>
      </c>
      <c r="AD49">
        <v>-5.8707751384221019E-4</v>
      </c>
    </row>
    <row r="51" spans="2:30" x14ac:dyDescent="0.45">
      <c r="O51" t="s">
        <v>88</v>
      </c>
    </row>
    <row r="52" spans="2:30" x14ac:dyDescent="0.45">
      <c r="P52" cm="1">
        <f t="array" ref="P52:P61">MMULT(_xlfn.ANCHORARRAY(P40),B3:B17)</f>
        <v>7.8941593686323515</v>
      </c>
      <c r="Q52" s="4" t="s">
        <v>6</v>
      </c>
      <c r="R52" s="34" t="s">
        <v>120</v>
      </c>
    </row>
    <row r="53" spans="2:30" x14ac:dyDescent="0.45">
      <c r="P53">
        <v>-3.0794609982425766E-2</v>
      </c>
      <c r="Q53" s="4" t="s">
        <v>181</v>
      </c>
      <c r="R53" s="34" t="s">
        <v>171</v>
      </c>
    </row>
    <row r="54" spans="2:30" x14ac:dyDescent="0.45">
      <c r="P54">
        <v>0.35937319515254162</v>
      </c>
      <c r="Q54" s="4" t="s">
        <v>8</v>
      </c>
      <c r="R54" s="34" t="s">
        <v>138</v>
      </c>
    </row>
    <row r="55" spans="2:30" ht="28.5" x14ac:dyDescent="0.45">
      <c r="B55" s="63">
        <v>17.467913806921445</v>
      </c>
      <c r="C55" s="4" t="s">
        <v>6</v>
      </c>
      <c r="E55" cm="1">
        <f t="array" ref="E55:N55">TRANSPOSE(B55:B64)</f>
        <v>17.467913806921445</v>
      </c>
      <c r="F55">
        <v>-3.5434354651516509E-2</v>
      </c>
      <c r="G55">
        <v>0.37692676856636842</v>
      </c>
      <c r="H55">
        <v>-4.4714785448183442E-5</v>
      </c>
      <c r="I55">
        <v>-2.0943841373238001</v>
      </c>
      <c r="J55">
        <v>-1.1039767508348453E-3</v>
      </c>
      <c r="K55">
        <v>0.28272529145589864</v>
      </c>
      <c r="L55">
        <v>9.6772366439336344E-4</v>
      </c>
      <c r="M55">
        <v>5.9136393840291346E-2</v>
      </c>
      <c r="N55">
        <v>1.2198062845333348</v>
      </c>
      <c r="P55">
        <v>2.0483639782104338E-4</v>
      </c>
      <c r="Q55" s="4" t="s">
        <v>185</v>
      </c>
      <c r="R55" s="34" t="s">
        <v>176</v>
      </c>
    </row>
    <row r="56" spans="2:30" ht="28.5" x14ac:dyDescent="0.45">
      <c r="B56" s="63">
        <v>-3.5434354651516509E-2</v>
      </c>
      <c r="C56" s="4" t="s">
        <v>181</v>
      </c>
      <c r="P56">
        <v>-1.0223437626537297</v>
      </c>
      <c r="Q56" s="4" t="s">
        <v>15</v>
      </c>
      <c r="R56" s="34" t="s">
        <v>172</v>
      </c>
    </row>
    <row r="57" spans="2:30" ht="28.5" x14ac:dyDescent="0.45">
      <c r="B57" s="63">
        <v>0.37692676856636842</v>
      </c>
      <c r="C57" s="4" t="s">
        <v>8</v>
      </c>
      <c r="P57">
        <v>8.8029035890583793E-4</v>
      </c>
      <c r="Q57" s="4" t="s">
        <v>16</v>
      </c>
      <c r="R57" s="34" t="s">
        <v>177</v>
      </c>
    </row>
    <row r="58" spans="2:30" ht="28.5" x14ac:dyDescent="0.45">
      <c r="B58" s="63">
        <v>-4.4714785448183442E-5</v>
      </c>
      <c r="C58" s="4" t="s">
        <v>185</v>
      </c>
      <c r="P58">
        <v>0.31198507395743569</v>
      </c>
      <c r="Q58" s="4" t="s">
        <v>129</v>
      </c>
      <c r="R58" s="34" t="s">
        <v>173</v>
      </c>
    </row>
    <row r="59" spans="2:30" x14ac:dyDescent="0.45">
      <c r="B59" s="63">
        <v>-2.0943841373238001</v>
      </c>
      <c r="C59" s="4" t="s">
        <v>15</v>
      </c>
      <c r="P59">
        <v>2.2966017497857649E-2</v>
      </c>
      <c r="Q59" s="4" t="s">
        <v>183</v>
      </c>
      <c r="R59" s="34" t="s">
        <v>178</v>
      </c>
    </row>
    <row r="60" spans="2:30" ht="28.5" x14ac:dyDescent="0.45">
      <c r="B60" s="63">
        <v>-1.1039767508348453E-3</v>
      </c>
      <c r="C60" s="4" t="s">
        <v>16</v>
      </c>
      <c r="P60">
        <v>5.8029285538682029E-2</v>
      </c>
      <c r="Q60" s="4" t="s">
        <v>131</v>
      </c>
      <c r="R60" s="34" t="s">
        <v>174</v>
      </c>
    </row>
    <row r="61" spans="2:30" ht="28.5" x14ac:dyDescent="0.45">
      <c r="B61" s="63">
        <v>0.28272529145589864</v>
      </c>
      <c r="C61" s="4" t="s">
        <v>129</v>
      </c>
      <c r="P61">
        <v>1.2345210091438819</v>
      </c>
      <c r="Q61" s="4" t="s">
        <v>132</v>
      </c>
      <c r="R61" s="34" t="s">
        <v>179</v>
      </c>
    </row>
    <row r="62" spans="2:30" x14ac:dyDescent="0.45">
      <c r="B62" s="63">
        <v>9.6772366439336344E-4</v>
      </c>
      <c r="C62" s="4" t="s">
        <v>183</v>
      </c>
    </row>
    <row r="63" spans="2:30" x14ac:dyDescent="0.45">
      <c r="B63" s="63">
        <v>5.9136393840291346E-2</v>
      </c>
      <c r="C63" s="4" t="s">
        <v>131</v>
      </c>
    </row>
    <row r="64" spans="2:30" x14ac:dyDescent="0.45">
      <c r="B64" s="63">
        <v>1.2198062845333348</v>
      </c>
      <c r="C64" s="4" t="s">
        <v>132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5A163-E3A5-4D9F-9F38-AA13539169FD}">
  <dimension ref="A1:AE32"/>
  <sheetViews>
    <sheetView workbookViewId="0">
      <selection activeCell="M13" sqref="M13"/>
    </sheetView>
  </sheetViews>
  <sheetFormatPr defaultRowHeight="14.25" x14ac:dyDescent="0.45"/>
  <cols>
    <col min="2" max="2" width="6.73046875" bestFit="1" customWidth="1"/>
    <col min="3" max="3" width="5.1328125" bestFit="1" customWidth="1"/>
    <col min="4" max="4" width="6.73046875" bestFit="1" customWidth="1"/>
    <col min="5" max="5" width="6.33203125" customWidth="1"/>
    <col min="6" max="6" width="11.46484375" bestFit="1" customWidth="1"/>
    <col min="7" max="8" width="6.73046875" bestFit="1" customWidth="1"/>
    <col min="9" max="9" width="8.73046875" bestFit="1" customWidth="1"/>
    <col min="10" max="11" width="7.73046875" bestFit="1" customWidth="1"/>
    <col min="12" max="12" width="7.3984375" bestFit="1" customWidth="1"/>
    <col min="16" max="16" width="4.73046875" customWidth="1"/>
    <col min="17" max="17" width="5" customWidth="1"/>
    <col min="18" max="18" width="9.06640625" customWidth="1"/>
    <col min="19" max="19" width="5.59765625" customWidth="1"/>
    <col min="20" max="20" width="8.6640625" customWidth="1"/>
    <col min="21" max="21" width="5.53125" customWidth="1"/>
    <col min="22" max="22" width="5.33203125" customWidth="1"/>
    <col min="23" max="23" width="5.59765625" customWidth="1"/>
    <col min="24" max="24" width="9.33203125" customWidth="1"/>
    <col min="25" max="25" width="5.53125" customWidth="1"/>
    <col min="26" max="26" width="4.796875" customWidth="1"/>
  </cols>
  <sheetData>
    <row r="1" spans="1:30" ht="59.25" customHeight="1" thickBot="1" x14ac:dyDescent="0.5">
      <c r="A1" s="44"/>
      <c r="B1" s="41" t="s">
        <v>175</v>
      </c>
      <c r="C1" s="42" t="s">
        <v>120</v>
      </c>
      <c r="D1" s="42" t="s">
        <v>171</v>
      </c>
      <c r="E1" s="42" t="s">
        <v>138</v>
      </c>
      <c r="F1" s="42" t="s">
        <v>176</v>
      </c>
      <c r="G1" s="42" t="s">
        <v>172</v>
      </c>
      <c r="H1" s="42" t="s">
        <v>177</v>
      </c>
      <c r="I1" s="42" t="s">
        <v>173</v>
      </c>
      <c r="J1" s="42" t="s">
        <v>178</v>
      </c>
      <c r="K1" s="42" t="s">
        <v>174</v>
      </c>
      <c r="L1" s="43" t="s">
        <v>179</v>
      </c>
      <c r="N1" s="55" t="s">
        <v>180</v>
      </c>
      <c r="O1" s="44"/>
      <c r="P1" s="41" t="s">
        <v>175</v>
      </c>
      <c r="Q1" s="42" t="s">
        <v>120</v>
      </c>
      <c r="R1" s="42" t="s">
        <v>171</v>
      </c>
      <c r="S1" s="42" t="s">
        <v>138</v>
      </c>
      <c r="T1" s="42" t="s">
        <v>176</v>
      </c>
      <c r="U1" s="42" t="s">
        <v>172</v>
      </c>
      <c r="V1" s="42" t="s">
        <v>177</v>
      </c>
      <c r="W1" s="42" t="s">
        <v>173</v>
      </c>
      <c r="X1" s="42" t="s">
        <v>178</v>
      </c>
      <c r="Y1" s="42" t="s">
        <v>174</v>
      </c>
      <c r="Z1" s="43" t="s">
        <v>179</v>
      </c>
      <c r="AB1" s="62" t="s">
        <v>171</v>
      </c>
      <c r="AC1" s="62" t="s">
        <v>178</v>
      </c>
      <c r="AD1" s="62" t="s">
        <v>176</v>
      </c>
    </row>
    <row r="2" spans="1:30" x14ac:dyDescent="0.45">
      <c r="A2" s="37" t="s">
        <v>0</v>
      </c>
      <c r="B2" s="39" t="s">
        <v>128</v>
      </c>
      <c r="C2" s="40" t="s">
        <v>6</v>
      </c>
      <c r="D2" s="40" t="s">
        <v>7</v>
      </c>
      <c r="E2" s="40" t="s">
        <v>8</v>
      </c>
      <c r="F2" s="40" t="s">
        <v>9</v>
      </c>
      <c r="G2" s="40" t="s">
        <v>15</v>
      </c>
      <c r="H2" s="40" t="s">
        <v>16</v>
      </c>
      <c r="I2" s="40" t="s">
        <v>129</v>
      </c>
      <c r="J2" s="40" t="s">
        <v>130</v>
      </c>
      <c r="K2" s="40" t="s">
        <v>131</v>
      </c>
      <c r="L2" s="40" t="s">
        <v>132</v>
      </c>
      <c r="O2" s="37" t="s">
        <v>0</v>
      </c>
      <c r="P2" s="39" t="s">
        <v>128</v>
      </c>
      <c r="Q2" s="40" t="s">
        <v>6</v>
      </c>
      <c r="R2" s="40" t="s">
        <v>181</v>
      </c>
      <c r="S2" s="40" t="s">
        <v>8</v>
      </c>
      <c r="T2" s="40" t="s">
        <v>185</v>
      </c>
      <c r="U2" s="40" t="s">
        <v>15</v>
      </c>
      <c r="V2" s="40" t="s">
        <v>16</v>
      </c>
      <c r="W2" s="40" t="s">
        <v>129</v>
      </c>
      <c r="X2" s="40" t="s">
        <v>198</v>
      </c>
      <c r="Y2" s="40" t="s">
        <v>131</v>
      </c>
      <c r="Z2" s="40" t="s">
        <v>132</v>
      </c>
      <c r="AB2" s="59" t="s">
        <v>7</v>
      </c>
      <c r="AC2" s="60" t="s">
        <v>130</v>
      </c>
      <c r="AD2" s="60" t="s">
        <v>9</v>
      </c>
    </row>
    <row r="3" spans="1:30" x14ac:dyDescent="0.45">
      <c r="A3" s="38">
        <v>2007</v>
      </c>
      <c r="B3" s="36">
        <v>47.747999999999998</v>
      </c>
      <c r="C3" s="4">
        <v>1</v>
      </c>
      <c r="D3" s="4">
        <v>127</v>
      </c>
      <c r="E3" s="4">
        <v>10.85</v>
      </c>
      <c r="F3" s="4">
        <v>3550.33</v>
      </c>
      <c r="G3" s="4">
        <v>7.8072999999999997</v>
      </c>
      <c r="H3" s="4">
        <v>681.32</v>
      </c>
      <c r="I3" s="4">
        <v>1.41875</v>
      </c>
      <c r="J3" s="4">
        <v>1299.7</v>
      </c>
      <c r="K3" s="4">
        <v>26.331099999999999</v>
      </c>
      <c r="L3" s="4">
        <v>32.643000000000001</v>
      </c>
      <c r="O3" s="56">
        <v>2007</v>
      </c>
      <c r="P3" s="57">
        <v>47.747999999999998</v>
      </c>
      <c r="Q3" s="58">
        <v>1</v>
      </c>
      <c r="R3" s="58"/>
      <c r="S3" s="58">
        <v>10.85</v>
      </c>
      <c r="T3" s="58"/>
      <c r="U3" s="58">
        <v>7.8072999999999997</v>
      </c>
      <c r="V3" s="58">
        <v>681.32</v>
      </c>
      <c r="W3" s="58">
        <v>1.41875</v>
      </c>
      <c r="X3" s="58"/>
      <c r="Y3" s="58">
        <v>26.331099999999999</v>
      </c>
      <c r="Z3" s="58">
        <v>32.643000000000001</v>
      </c>
      <c r="AB3" s="58">
        <v>127</v>
      </c>
      <c r="AC3" s="61">
        <v>1299.7</v>
      </c>
      <c r="AD3" s="61">
        <v>3550.33</v>
      </c>
    </row>
    <row r="4" spans="1:30" x14ac:dyDescent="0.45">
      <c r="A4" s="38">
        <v>2008</v>
      </c>
      <c r="B4" s="36">
        <v>71.171999999999997</v>
      </c>
      <c r="C4" s="4">
        <v>1</v>
      </c>
      <c r="D4" s="4">
        <v>120.3</v>
      </c>
      <c r="E4" s="4">
        <v>17.14</v>
      </c>
      <c r="F4" s="4">
        <v>4594.34</v>
      </c>
      <c r="G4" s="35">
        <v>7.2995999999999999</v>
      </c>
      <c r="H4" s="4">
        <v>770.45</v>
      </c>
      <c r="I4" s="4">
        <v>1.1686399999999999</v>
      </c>
      <c r="J4" s="4">
        <v>1660.85</v>
      </c>
      <c r="K4" s="4">
        <v>24.546199999999999</v>
      </c>
      <c r="L4" s="4">
        <v>50.281999999999996</v>
      </c>
      <c r="O4" s="38">
        <v>2008</v>
      </c>
      <c r="P4" s="36">
        <v>71.171999999999997</v>
      </c>
      <c r="Q4" s="4">
        <v>1</v>
      </c>
      <c r="R4" s="4">
        <f>AB4-AB3</f>
        <v>-6.7000000000000028</v>
      </c>
      <c r="S4" s="4">
        <v>17.14</v>
      </c>
      <c r="T4" s="4">
        <f>AD4-AD3</f>
        <v>1044.0100000000002</v>
      </c>
      <c r="U4" s="35">
        <v>7.2995999999999999</v>
      </c>
      <c r="V4" s="4">
        <v>770.45</v>
      </c>
      <c r="W4" s="4">
        <v>1.1686399999999999</v>
      </c>
      <c r="X4" s="4">
        <f t="shared" ref="X4:X18" si="0">IF(AC4&gt;$AD$24,1,0)</f>
        <v>0</v>
      </c>
      <c r="Y4" s="4">
        <v>24.546199999999999</v>
      </c>
      <c r="Z4" s="4">
        <v>50.281999999999996</v>
      </c>
      <c r="AB4" s="58">
        <v>120.3</v>
      </c>
      <c r="AC4" s="61">
        <v>1660.85</v>
      </c>
      <c r="AD4" s="61">
        <v>4594.34</v>
      </c>
    </row>
    <row r="5" spans="1:30" x14ac:dyDescent="0.45">
      <c r="A5" s="38">
        <v>2009</v>
      </c>
      <c r="B5" s="36">
        <v>43.195999999999998</v>
      </c>
      <c r="C5" s="4">
        <v>1</v>
      </c>
      <c r="D5" s="4">
        <v>120.79</v>
      </c>
      <c r="E5" s="4">
        <v>7.32</v>
      </c>
      <c r="F5" s="4">
        <v>5101.6899999999996</v>
      </c>
      <c r="G5" s="4">
        <v>6.8367000000000004</v>
      </c>
      <c r="H5" s="4">
        <v>649.29</v>
      </c>
      <c r="I5" s="4">
        <v>1.6089199999999999</v>
      </c>
      <c r="J5" s="4">
        <v>1222.6500000000001</v>
      </c>
      <c r="K5" s="4">
        <v>29.3916</v>
      </c>
      <c r="L5" s="4">
        <v>30.003</v>
      </c>
      <c r="O5" s="38">
        <v>2009</v>
      </c>
      <c r="P5" s="36">
        <v>43.195999999999998</v>
      </c>
      <c r="Q5" s="4">
        <v>1</v>
      </c>
      <c r="R5" s="4">
        <f t="shared" ref="R5:R14" si="1">AB5-AB4</f>
        <v>0.49000000000000909</v>
      </c>
      <c r="S5" s="4">
        <v>7.32</v>
      </c>
      <c r="T5" s="4">
        <f t="shared" ref="T5:T17" si="2">AD5-AD4</f>
        <v>507.34999999999945</v>
      </c>
      <c r="U5" s="4">
        <v>6.8367000000000004</v>
      </c>
      <c r="V5" s="4">
        <v>649.29</v>
      </c>
      <c r="W5" s="4">
        <v>1.6089199999999999</v>
      </c>
      <c r="X5" s="4">
        <f t="shared" si="0"/>
        <v>0</v>
      </c>
      <c r="Y5" s="4">
        <v>29.3916</v>
      </c>
      <c r="Z5" s="4">
        <v>30.003</v>
      </c>
      <c r="AB5" s="58">
        <v>120.79</v>
      </c>
      <c r="AC5" s="61">
        <v>1222.6500000000001</v>
      </c>
      <c r="AD5" s="61">
        <v>5101.6899999999996</v>
      </c>
    </row>
    <row r="6" spans="1:30" x14ac:dyDescent="0.45">
      <c r="A6" s="38">
        <v>2010</v>
      </c>
      <c r="B6" s="36">
        <v>57.244</v>
      </c>
      <c r="C6" s="4">
        <v>1</v>
      </c>
      <c r="D6" s="4">
        <v>148.46</v>
      </c>
      <c r="E6" s="4">
        <v>7.4</v>
      </c>
      <c r="F6" s="4">
        <v>6087.19</v>
      </c>
      <c r="G6" s="4">
        <v>6.8281000000000001</v>
      </c>
      <c r="H6" s="4">
        <v>776.97</v>
      </c>
      <c r="I6" s="4">
        <v>1.4554199999999999</v>
      </c>
      <c r="J6" s="4">
        <v>1524.92</v>
      </c>
      <c r="K6" s="4">
        <v>30.185099999999998</v>
      </c>
      <c r="L6" s="4">
        <v>41.56</v>
      </c>
      <c r="O6" s="38">
        <v>2010</v>
      </c>
      <c r="P6" s="36">
        <v>57.244</v>
      </c>
      <c r="Q6" s="4">
        <v>1</v>
      </c>
      <c r="R6" s="4">
        <f t="shared" si="1"/>
        <v>27.67</v>
      </c>
      <c r="S6" s="4">
        <v>7.4</v>
      </c>
      <c r="T6" s="4">
        <f t="shared" si="2"/>
        <v>985.5</v>
      </c>
      <c r="U6" s="4">
        <v>6.8281000000000001</v>
      </c>
      <c r="V6" s="4">
        <v>776.97</v>
      </c>
      <c r="W6" s="4">
        <v>1.4554199999999999</v>
      </c>
      <c r="X6" s="4">
        <f t="shared" si="0"/>
        <v>0</v>
      </c>
      <c r="Y6" s="4">
        <v>30.185099999999998</v>
      </c>
      <c r="Z6" s="4">
        <v>41.56</v>
      </c>
      <c r="AB6" s="58">
        <v>148.46</v>
      </c>
      <c r="AC6" s="61">
        <v>1524.92</v>
      </c>
      <c r="AD6" s="61">
        <v>6087.19</v>
      </c>
    </row>
    <row r="7" spans="1:30" x14ac:dyDescent="0.45">
      <c r="A7" s="38">
        <v>2011</v>
      </c>
      <c r="B7" s="36">
        <v>88.108000000000004</v>
      </c>
      <c r="C7" s="4">
        <v>1</v>
      </c>
      <c r="D7" s="4">
        <v>146.72999999999999</v>
      </c>
      <c r="E7" s="4">
        <v>8.42</v>
      </c>
      <c r="F7" s="4">
        <v>7551.55</v>
      </c>
      <c r="G7" s="4">
        <v>6.6215000000000002</v>
      </c>
      <c r="H7" s="4">
        <v>838.79</v>
      </c>
      <c r="I7" s="4">
        <v>1.5657799999999999</v>
      </c>
      <c r="J7" s="4">
        <v>2045.92</v>
      </c>
      <c r="K7" s="4">
        <v>30.3505</v>
      </c>
      <c r="L7" s="4">
        <v>63.811</v>
      </c>
      <c r="O7" s="38">
        <v>2011</v>
      </c>
      <c r="P7" s="36">
        <v>88.108000000000004</v>
      </c>
      <c r="Q7" s="4">
        <v>1</v>
      </c>
      <c r="R7" s="4">
        <f t="shared" si="1"/>
        <v>-1.7300000000000182</v>
      </c>
      <c r="S7" s="4">
        <v>8.42</v>
      </c>
      <c r="T7" s="4">
        <f t="shared" si="2"/>
        <v>1464.3600000000006</v>
      </c>
      <c r="U7" s="4">
        <v>6.6215000000000002</v>
      </c>
      <c r="V7" s="4">
        <v>838.79</v>
      </c>
      <c r="W7" s="4">
        <v>1.5657799999999999</v>
      </c>
      <c r="X7" s="4">
        <f t="shared" si="0"/>
        <v>1</v>
      </c>
      <c r="Y7" s="4">
        <v>30.3505</v>
      </c>
      <c r="Z7" s="4">
        <v>63.811</v>
      </c>
      <c r="AB7" s="58">
        <v>146.72999999999999</v>
      </c>
      <c r="AC7" s="61">
        <v>2045.92</v>
      </c>
      <c r="AD7" s="61">
        <v>7551.55</v>
      </c>
    </row>
    <row r="8" spans="1:30" x14ac:dyDescent="0.45">
      <c r="A8" s="38">
        <v>2012</v>
      </c>
      <c r="B8" s="36">
        <v>86.45</v>
      </c>
      <c r="C8" s="4">
        <v>1</v>
      </c>
      <c r="D8" s="4">
        <v>149.13</v>
      </c>
      <c r="E8" s="4">
        <v>5.0999999999999996</v>
      </c>
      <c r="F8" s="4">
        <v>8532.19</v>
      </c>
      <c r="G8" s="4">
        <v>6.3000999999999996</v>
      </c>
      <c r="H8" s="4">
        <v>880.56</v>
      </c>
      <c r="I8" s="4">
        <v>1.881275</v>
      </c>
      <c r="J8" s="4">
        <v>2208.29</v>
      </c>
      <c r="K8" s="4">
        <v>32.196100000000001</v>
      </c>
      <c r="L8" s="4">
        <v>64.960999999999999</v>
      </c>
      <c r="O8" s="38">
        <v>2012</v>
      </c>
      <c r="P8" s="36">
        <v>86.45</v>
      </c>
      <c r="Q8" s="4">
        <v>1</v>
      </c>
      <c r="R8" s="4">
        <f t="shared" si="1"/>
        <v>2.4000000000000057</v>
      </c>
      <c r="S8" s="4">
        <v>5.0999999999999996</v>
      </c>
      <c r="T8" s="4">
        <f t="shared" si="2"/>
        <v>980.64000000000033</v>
      </c>
      <c r="U8" s="4">
        <v>6.3000999999999996</v>
      </c>
      <c r="V8" s="4">
        <v>880.56</v>
      </c>
      <c r="W8" s="4">
        <v>1.881275</v>
      </c>
      <c r="X8" s="4">
        <f t="shared" si="0"/>
        <v>1</v>
      </c>
      <c r="Y8" s="4">
        <v>32.196100000000001</v>
      </c>
      <c r="Z8" s="4">
        <v>64.960999999999999</v>
      </c>
      <c r="AB8" s="58">
        <v>149.13</v>
      </c>
      <c r="AC8" s="61">
        <v>2208.29</v>
      </c>
      <c r="AD8" s="61">
        <v>8532.19</v>
      </c>
    </row>
    <row r="9" spans="1:30" x14ac:dyDescent="0.45">
      <c r="A9" s="38">
        <v>2013</v>
      </c>
      <c r="B9" s="36">
        <v>84.7</v>
      </c>
      <c r="C9" s="4">
        <v>1</v>
      </c>
      <c r="D9" s="4">
        <v>152.19999999999999</v>
      </c>
      <c r="E9" s="4">
        <v>5.85</v>
      </c>
      <c r="F9" s="4">
        <v>9570.4699999999993</v>
      </c>
      <c r="G9" s="4">
        <v>6.2896999999999998</v>
      </c>
      <c r="H9" s="4">
        <v>957.8</v>
      </c>
      <c r="I9" s="4">
        <v>1.7762</v>
      </c>
      <c r="J9" s="4">
        <v>2292.4699999999998</v>
      </c>
      <c r="K9" s="4">
        <v>30.372699999999998</v>
      </c>
      <c r="L9" s="4">
        <v>63.372</v>
      </c>
      <c r="O9" s="38">
        <v>2013</v>
      </c>
      <c r="P9" s="36">
        <v>84.7</v>
      </c>
      <c r="Q9" s="4">
        <v>1</v>
      </c>
      <c r="R9" s="4">
        <f t="shared" si="1"/>
        <v>3.0699999999999932</v>
      </c>
      <c r="S9" s="4">
        <v>5.85</v>
      </c>
      <c r="T9" s="4">
        <f t="shared" si="2"/>
        <v>1038.2799999999988</v>
      </c>
      <c r="U9" s="4">
        <v>6.2896999999999998</v>
      </c>
      <c r="V9" s="4">
        <v>957.8</v>
      </c>
      <c r="W9" s="4">
        <v>1.7762</v>
      </c>
      <c r="X9" s="4">
        <f t="shared" si="0"/>
        <v>1</v>
      </c>
      <c r="Y9" s="4">
        <v>30.372699999999998</v>
      </c>
      <c r="Z9" s="4">
        <v>63.372</v>
      </c>
      <c r="AB9" s="58">
        <v>152.19999999999999</v>
      </c>
      <c r="AC9" s="61">
        <v>2292.4699999999998</v>
      </c>
      <c r="AD9" s="61">
        <v>9570.4699999999993</v>
      </c>
    </row>
    <row r="10" spans="1:30" x14ac:dyDescent="0.45">
      <c r="A10" s="38">
        <v>2014</v>
      </c>
      <c r="B10" s="36">
        <v>79.459999999999994</v>
      </c>
      <c r="C10" s="4">
        <v>1</v>
      </c>
      <c r="D10" s="4">
        <v>178.81</v>
      </c>
      <c r="E10" s="4">
        <v>6.71</v>
      </c>
      <c r="F10" s="4">
        <v>10475.620000000001</v>
      </c>
      <c r="G10" s="4">
        <v>6.0990000000000002</v>
      </c>
      <c r="H10" s="4">
        <v>938.93</v>
      </c>
      <c r="I10" s="4">
        <v>2.17448</v>
      </c>
      <c r="J10" s="4">
        <v>2059.2399999999998</v>
      </c>
      <c r="K10" s="4">
        <v>32.658700000000003</v>
      </c>
      <c r="L10" s="4">
        <v>59.31</v>
      </c>
      <c r="O10" s="38">
        <v>2014</v>
      </c>
      <c r="P10" s="36">
        <v>79.459999999999994</v>
      </c>
      <c r="Q10" s="4">
        <v>1</v>
      </c>
      <c r="R10" s="4">
        <f t="shared" si="1"/>
        <v>26.610000000000014</v>
      </c>
      <c r="S10" s="4">
        <v>6.71</v>
      </c>
      <c r="T10" s="4">
        <f t="shared" si="2"/>
        <v>905.15000000000146</v>
      </c>
      <c r="U10" s="4">
        <v>6.0990000000000002</v>
      </c>
      <c r="V10" s="4">
        <v>938.93</v>
      </c>
      <c r="W10" s="4">
        <v>2.17448</v>
      </c>
      <c r="X10" s="4">
        <f t="shared" si="0"/>
        <v>1</v>
      </c>
      <c r="Y10" s="4">
        <v>32.658700000000003</v>
      </c>
      <c r="Z10" s="4">
        <v>59.31</v>
      </c>
      <c r="AB10" s="58">
        <v>178.81</v>
      </c>
      <c r="AC10" s="61">
        <v>2059.2399999999998</v>
      </c>
      <c r="AD10" s="61">
        <v>10475.620000000001</v>
      </c>
    </row>
    <row r="11" spans="1:30" x14ac:dyDescent="0.45">
      <c r="A11" s="38">
        <v>2015</v>
      </c>
      <c r="B11" s="36">
        <v>45.96</v>
      </c>
      <c r="C11" s="4">
        <v>1</v>
      </c>
      <c r="D11" s="4">
        <v>222.19</v>
      </c>
      <c r="E11" s="4">
        <v>6.67</v>
      </c>
      <c r="F11" s="4">
        <v>11061.57</v>
      </c>
      <c r="G11" s="4">
        <v>6.1247999999999996</v>
      </c>
      <c r="H11" s="4">
        <v>864.31</v>
      </c>
      <c r="I11" s="4">
        <v>2.3145389999999999</v>
      </c>
      <c r="J11" s="4">
        <v>1363.48</v>
      </c>
      <c r="K11" s="4">
        <v>56.2376</v>
      </c>
      <c r="L11" s="4">
        <v>30.36</v>
      </c>
      <c r="O11" s="38">
        <v>2015</v>
      </c>
      <c r="P11" s="36">
        <v>45.96</v>
      </c>
      <c r="Q11" s="4">
        <v>1</v>
      </c>
      <c r="R11" s="4">
        <f t="shared" si="1"/>
        <v>43.379999999999995</v>
      </c>
      <c r="S11" s="4">
        <v>6.67</v>
      </c>
      <c r="T11" s="4">
        <f t="shared" si="2"/>
        <v>585.94999999999891</v>
      </c>
      <c r="U11" s="4">
        <v>6.1247999999999996</v>
      </c>
      <c r="V11" s="4">
        <v>864.31</v>
      </c>
      <c r="W11" s="4">
        <v>2.3145389999999999</v>
      </c>
      <c r="X11" s="4">
        <f t="shared" si="0"/>
        <v>0</v>
      </c>
      <c r="Y11" s="4">
        <v>56.2376</v>
      </c>
      <c r="Z11" s="4">
        <v>30.36</v>
      </c>
      <c r="AB11" s="58">
        <v>222.19</v>
      </c>
      <c r="AC11" s="61">
        <v>1363.48</v>
      </c>
      <c r="AD11" s="61">
        <v>11061.57</v>
      </c>
    </row>
    <row r="12" spans="1:30" x14ac:dyDescent="0.45">
      <c r="A12" s="38">
        <v>2016</v>
      </c>
      <c r="B12" s="36">
        <v>36.69</v>
      </c>
      <c r="C12" s="4">
        <v>1</v>
      </c>
      <c r="D12" s="4">
        <v>341.9</v>
      </c>
      <c r="E12" s="4">
        <v>14.55</v>
      </c>
      <c r="F12" s="4">
        <v>11233.31</v>
      </c>
      <c r="G12" s="4">
        <v>6.5125999999999999</v>
      </c>
      <c r="H12" s="4">
        <v>869.68</v>
      </c>
      <c r="I12" s="4">
        <v>2.99268</v>
      </c>
      <c r="J12" s="4">
        <v>1276.79</v>
      </c>
      <c r="K12" s="4">
        <v>72.929900000000004</v>
      </c>
      <c r="L12" s="4">
        <v>22.734000000000002</v>
      </c>
      <c r="O12" s="38">
        <v>2016</v>
      </c>
      <c r="P12" s="36">
        <v>36.69</v>
      </c>
      <c r="Q12" s="4">
        <v>1</v>
      </c>
      <c r="R12" s="4">
        <f t="shared" si="1"/>
        <v>119.70999999999998</v>
      </c>
      <c r="S12" s="4">
        <v>14.55</v>
      </c>
      <c r="T12" s="4">
        <f t="shared" si="2"/>
        <v>171.73999999999978</v>
      </c>
      <c r="U12" s="4">
        <v>6.5125999999999999</v>
      </c>
      <c r="V12" s="4">
        <v>869.68</v>
      </c>
      <c r="W12" s="4">
        <v>2.99268</v>
      </c>
      <c r="X12" s="4">
        <f t="shared" si="0"/>
        <v>0</v>
      </c>
      <c r="Y12" s="4">
        <v>72.929900000000004</v>
      </c>
      <c r="Z12" s="4">
        <v>22.734000000000002</v>
      </c>
      <c r="AB12" s="58">
        <v>341.9</v>
      </c>
      <c r="AC12" s="61">
        <v>1276.79</v>
      </c>
      <c r="AD12" s="61">
        <v>11233.31</v>
      </c>
    </row>
    <row r="13" spans="1:30" x14ac:dyDescent="0.45">
      <c r="A13" s="38">
        <v>2017</v>
      </c>
      <c r="B13" s="36">
        <v>48.3</v>
      </c>
      <c r="C13" s="4">
        <v>1</v>
      </c>
      <c r="D13" s="4">
        <v>326.17</v>
      </c>
      <c r="E13" s="4">
        <v>7.44</v>
      </c>
      <c r="F13" s="4">
        <v>12310.49</v>
      </c>
      <c r="G13" s="4">
        <v>6.9551999999999996</v>
      </c>
      <c r="H13" s="4">
        <v>858.99</v>
      </c>
      <c r="I13" s="4">
        <v>3.5982500000000002</v>
      </c>
      <c r="J13" s="4">
        <v>1574.2</v>
      </c>
      <c r="K13" s="4">
        <v>60.6569</v>
      </c>
      <c r="L13" s="4">
        <v>31.414999999999999</v>
      </c>
      <c r="O13" s="38">
        <v>2017</v>
      </c>
      <c r="P13" s="36">
        <v>48.3</v>
      </c>
      <c r="Q13" s="4">
        <v>1</v>
      </c>
      <c r="R13" s="4">
        <f t="shared" si="1"/>
        <v>-15.729999999999961</v>
      </c>
      <c r="S13" s="4">
        <v>7.44</v>
      </c>
      <c r="T13" s="4">
        <f t="shared" si="2"/>
        <v>1077.1800000000003</v>
      </c>
      <c r="U13" s="4">
        <v>6.9551999999999996</v>
      </c>
      <c r="V13" s="4">
        <v>858.99</v>
      </c>
      <c r="W13" s="4">
        <v>3.5982500000000002</v>
      </c>
      <c r="X13" s="4">
        <f t="shared" si="0"/>
        <v>0</v>
      </c>
      <c r="Y13" s="4">
        <v>60.6569</v>
      </c>
      <c r="Z13" s="4">
        <v>31.414999999999999</v>
      </c>
      <c r="AB13" s="58">
        <v>326.17</v>
      </c>
      <c r="AC13" s="61">
        <v>1574.2</v>
      </c>
      <c r="AD13" s="61">
        <v>12310.49</v>
      </c>
    </row>
    <row r="14" spans="1:30" x14ac:dyDescent="0.45">
      <c r="A14" s="38">
        <v>2018</v>
      </c>
      <c r="B14" s="36">
        <v>60.96</v>
      </c>
      <c r="C14" s="4">
        <v>1</v>
      </c>
      <c r="D14" s="4">
        <v>345.09</v>
      </c>
      <c r="E14" s="4">
        <v>6.02</v>
      </c>
      <c r="F14" s="4">
        <v>13894.91</v>
      </c>
      <c r="G14" s="4">
        <v>6.4958999999999998</v>
      </c>
      <c r="H14" s="4">
        <v>778.48</v>
      </c>
      <c r="I14" s="4">
        <v>3.75345</v>
      </c>
      <c r="J14" s="4">
        <v>1657.33</v>
      </c>
      <c r="K14" s="4">
        <v>57.600200000000001</v>
      </c>
      <c r="L14" s="4">
        <v>43.451000000000001</v>
      </c>
      <c r="O14" s="38">
        <v>2018</v>
      </c>
      <c r="P14" s="36">
        <v>60.96</v>
      </c>
      <c r="Q14" s="4">
        <v>1</v>
      </c>
      <c r="R14" s="4">
        <f t="shared" si="1"/>
        <v>18.919999999999959</v>
      </c>
      <c r="S14" s="4">
        <v>6.02</v>
      </c>
      <c r="T14" s="4">
        <f t="shared" si="2"/>
        <v>1584.42</v>
      </c>
      <c r="U14" s="4">
        <v>6.4958999999999998</v>
      </c>
      <c r="V14" s="4">
        <v>778.48</v>
      </c>
      <c r="W14" s="4">
        <v>3.75345</v>
      </c>
      <c r="X14" s="4">
        <f t="shared" si="0"/>
        <v>0</v>
      </c>
      <c r="Y14" s="4">
        <v>57.600200000000001</v>
      </c>
      <c r="Z14" s="4">
        <v>43.451000000000001</v>
      </c>
      <c r="AB14" s="58">
        <v>345.09</v>
      </c>
      <c r="AC14" s="61">
        <v>1657.33</v>
      </c>
      <c r="AD14" s="61">
        <v>13894.91</v>
      </c>
    </row>
    <row r="15" spans="1:30" x14ac:dyDescent="0.45">
      <c r="A15" s="38">
        <v>2019</v>
      </c>
      <c r="B15" s="36">
        <v>57.31</v>
      </c>
      <c r="C15" s="4">
        <v>1</v>
      </c>
      <c r="D15" s="4">
        <v>383.04</v>
      </c>
      <c r="E15" s="4">
        <v>5.25</v>
      </c>
      <c r="F15" s="4">
        <v>14279.97</v>
      </c>
      <c r="G15" s="4">
        <v>6.8556999999999997</v>
      </c>
      <c r="H15" s="4">
        <v>759.93</v>
      </c>
      <c r="I15" s="4">
        <v>5.3947399999999996</v>
      </c>
      <c r="J15" s="4">
        <v>1693.11</v>
      </c>
      <c r="K15" s="4">
        <v>69.470600000000005</v>
      </c>
      <c r="L15" s="4">
        <v>40.048999999999999</v>
      </c>
      <c r="O15" s="38">
        <v>2019</v>
      </c>
      <c r="P15" s="36">
        <v>57.31</v>
      </c>
      <c r="Q15" s="4">
        <v>1</v>
      </c>
      <c r="R15" s="4">
        <f>AB15-AB14</f>
        <v>37.950000000000045</v>
      </c>
      <c r="S15" s="4">
        <v>5.25</v>
      </c>
      <c r="T15" s="4">
        <f>AD15-AD14</f>
        <v>385.05999999999949</v>
      </c>
      <c r="U15" s="4">
        <v>6.8556999999999997</v>
      </c>
      <c r="V15" s="4">
        <v>759.93</v>
      </c>
      <c r="W15" s="4">
        <v>5.3947399999999996</v>
      </c>
      <c r="X15" s="4">
        <f t="shared" si="0"/>
        <v>0</v>
      </c>
      <c r="Y15" s="4">
        <v>69.470600000000005</v>
      </c>
      <c r="Z15" s="4">
        <v>40.048999999999999</v>
      </c>
      <c r="AB15" s="58">
        <v>383.04</v>
      </c>
      <c r="AC15" s="61">
        <v>1693.11</v>
      </c>
      <c r="AD15" s="61">
        <v>14279.97</v>
      </c>
    </row>
    <row r="16" spans="1:30" x14ac:dyDescent="0.45">
      <c r="A16" s="38">
        <v>2020</v>
      </c>
      <c r="B16" s="36">
        <v>46.45</v>
      </c>
      <c r="C16" s="4">
        <v>1</v>
      </c>
      <c r="D16" s="4">
        <v>414.08</v>
      </c>
      <c r="E16" s="4">
        <v>6.77</v>
      </c>
      <c r="F16" s="4">
        <v>14687.74</v>
      </c>
      <c r="G16" s="4">
        <v>6.97</v>
      </c>
      <c r="H16" s="4">
        <v>720.29</v>
      </c>
      <c r="I16" s="4">
        <v>5.9245390000000002</v>
      </c>
      <c r="J16" s="4">
        <v>1493.08</v>
      </c>
      <c r="K16" s="4">
        <v>61.905700000000003</v>
      </c>
      <c r="L16" s="4">
        <v>30.472999999999999</v>
      </c>
      <c r="O16" s="38">
        <v>2020</v>
      </c>
      <c r="P16" s="36">
        <v>46.45</v>
      </c>
      <c r="Q16" s="4">
        <v>1</v>
      </c>
      <c r="R16" s="4">
        <f>AB16-AB15</f>
        <v>31.039999999999964</v>
      </c>
      <c r="S16" s="4">
        <v>6.77</v>
      </c>
      <c r="T16" s="4">
        <f t="shared" si="2"/>
        <v>407.77000000000044</v>
      </c>
      <c r="U16" s="4">
        <v>6.97</v>
      </c>
      <c r="V16" s="4">
        <v>720.29</v>
      </c>
      <c r="W16" s="4">
        <v>5.9245390000000002</v>
      </c>
      <c r="X16" s="4">
        <f t="shared" si="0"/>
        <v>0</v>
      </c>
      <c r="Y16" s="4">
        <v>61.905700000000003</v>
      </c>
      <c r="Z16" s="4">
        <v>30.472999999999999</v>
      </c>
      <c r="AB16" s="58">
        <v>414.08</v>
      </c>
      <c r="AC16" s="61">
        <v>1493.08</v>
      </c>
      <c r="AD16" s="61">
        <v>14687.74</v>
      </c>
    </row>
    <row r="17" spans="1:31" x14ac:dyDescent="0.45">
      <c r="A17" s="38">
        <v>2021</v>
      </c>
      <c r="B17" s="36">
        <v>60.62</v>
      </c>
      <c r="C17" s="4">
        <v>1</v>
      </c>
      <c r="D17" s="4">
        <v>426.7</v>
      </c>
      <c r="E17" s="4">
        <v>8.0399999999999991</v>
      </c>
      <c r="F17" s="4">
        <v>17820.46</v>
      </c>
      <c r="G17" s="4">
        <v>6.4682000000000004</v>
      </c>
      <c r="H17" s="4">
        <v>819.03</v>
      </c>
      <c r="I17" s="4">
        <v>7.3650000000000002</v>
      </c>
      <c r="J17" s="4">
        <v>1836.89</v>
      </c>
      <c r="K17" s="4">
        <v>73.875699999999995</v>
      </c>
      <c r="L17" s="4">
        <v>39.573</v>
      </c>
      <c r="O17" s="38">
        <v>2021</v>
      </c>
      <c r="P17" s="36">
        <v>60.62</v>
      </c>
      <c r="Q17" s="4">
        <v>1</v>
      </c>
      <c r="R17" s="4">
        <f>AB17-AB16</f>
        <v>12.620000000000005</v>
      </c>
      <c r="S17" s="4">
        <v>8.0399999999999991</v>
      </c>
      <c r="T17" s="4">
        <f t="shared" si="2"/>
        <v>3132.7199999999993</v>
      </c>
      <c r="U17" s="4">
        <v>6.4682000000000004</v>
      </c>
      <c r="V17" s="4">
        <v>819.03</v>
      </c>
      <c r="W17" s="4">
        <v>7.3650000000000002</v>
      </c>
      <c r="X17" s="4">
        <f t="shared" si="0"/>
        <v>1</v>
      </c>
      <c r="Y17" s="4">
        <v>73.875699999999995</v>
      </c>
      <c r="Z17" s="4">
        <v>39.573</v>
      </c>
      <c r="AB17" s="58">
        <v>426.7</v>
      </c>
      <c r="AC17" s="61">
        <v>1836.89</v>
      </c>
      <c r="AD17" s="61">
        <v>17820.46</v>
      </c>
    </row>
    <row r="18" spans="1:31" ht="14.65" thickBot="1" x14ac:dyDescent="0.5">
      <c r="A18" s="24">
        <v>2022</v>
      </c>
      <c r="B18" s="36">
        <v>84.66</v>
      </c>
      <c r="C18" s="4">
        <v>1</v>
      </c>
      <c r="D18" s="4">
        <v>461.71</v>
      </c>
      <c r="E18" s="4">
        <v>8</v>
      </c>
      <c r="F18" s="4">
        <v>17963.169999999998</v>
      </c>
      <c r="G18" s="4">
        <v>6.37</v>
      </c>
      <c r="H18" s="4">
        <v>905.99</v>
      </c>
      <c r="I18" s="4">
        <v>13.6105</v>
      </c>
      <c r="J18" s="4">
        <v>2240.42</v>
      </c>
      <c r="K18" s="4">
        <v>74.292599999999993</v>
      </c>
      <c r="L18" s="4">
        <v>58.33</v>
      </c>
      <c r="O18" s="24">
        <v>2022</v>
      </c>
      <c r="P18" s="36">
        <v>84.66</v>
      </c>
      <c r="Q18" s="4">
        <v>1</v>
      </c>
      <c r="R18" s="4">
        <f>AB18-AB17</f>
        <v>35.009999999999991</v>
      </c>
      <c r="S18" s="4">
        <v>8</v>
      </c>
      <c r="T18" s="4">
        <f>AD18-AD17</f>
        <v>142.70999999999913</v>
      </c>
      <c r="U18" s="4">
        <v>6.37</v>
      </c>
      <c r="V18" s="4">
        <v>905.99</v>
      </c>
      <c r="W18" s="4">
        <v>13.6105</v>
      </c>
      <c r="X18" s="4">
        <f t="shared" si="0"/>
        <v>1</v>
      </c>
      <c r="Y18" s="4">
        <v>74.292599999999993</v>
      </c>
      <c r="Z18" s="4">
        <v>58.33</v>
      </c>
      <c r="AB18" s="58">
        <v>461.71</v>
      </c>
      <c r="AC18" s="61">
        <v>2240.42</v>
      </c>
      <c r="AD18" s="61">
        <v>17963.169999999998</v>
      </c>
    </row>
    <row r="21" spans="1:31" ht="14.65" thickBot="1" x14ac:dyDescent="0.5">
      <c r="A21" t="s">
        <v>182</v>
      </c>
      <c r="N21" t="s">
        <v>184</v>
      </c>
    </row>
    <row r="22" spans="1:31" ht="14.65" thickBot="1" x14ac:dyDescent="0.5">
      <c r="B22" s="48"/>
      <c r="C22" s="45" t="s">
        <v>128</v>
      </c>
      <c r="D22" s="64" t="s">
        <v>7</v>
      </c>
      <c r="E22" s="46" t="s">
        <v>8</v>
      </c>
      <c r="F22" s="64" t="s">
        <v>9</v>
      </c>
      <c r="G22" s="46" t="s">
        <v>15</v>
      </c>
      <c r="H22" s="46" t="s">
        <v>16</v>
      </c>
      <c r="I22" s="46" t="s">
        <v>129</v>
      </c>
      <c r="J22" s="64" t="s">
        <v>130</v>
      </c>
      <c r="K22" s="46" t="s">
        <v>131</v>
      </c>
      <c r="L22" s="47" t="s">
        <v>132</v>
      </c>
      <c r="P22" s="48"/>
      <c r="Q22" s="45" t="s">
        <v>128</v>
      </c>
      <c r="R22" s="46" t="s">
        <v>181</v>
      </c>
      <c r="S22" s="46" t="s">
        <v>8</v>
      </c>
      <c r="T22" s="46" t="s">
        <v>185</v>
      </c>
      <c r="U22" s="46" t="s">
        <v>15</v>
      </c>
      <c r="V22" s="46" t="s">
        <v>16</v>
      </c>
      <c r="W22" s="46" t="s">
        <v>129</v>
      </c>
      <c r="X22" s="46" t="s">
        <v>198</v>
      </c>
      <c r="Y22" s="46" t="s">
        <v>131</v>
      </c>
      <c r="Z22" s="47" t="s">
        <v>132</v>
      </c>
    </row>
    <row r="23" spans="1:31" x14ac:dyDescent="0.45">
      <c r="B23" s="37" t="s">
        <v>128</v>
      </c>
      <c r="C23" s="49">
        <f>CORREL($B$3:$B$18,B3:B18)</f>
        <v>1</v>
      </c>
      <c r="D23" s="50">
        <f>CORREL($B$3:$B$18,D3:D18)</f>
        <v>-0.20521608983330578</v>
      </c>
      <c r="E23" s="50">
        <f t="shared" ref="E23:L23" si="3">CORREL($B$3:$B$18,E3:E18)</f>
        <v>-0.20253952928903413</v>
      </c>
      <c r="F23" s="50">
        <f t="shared" si="3"/>
        <v>3.4445528523921423E-2</v>
      </c>
      <c r="G23" s="50">
        <f>CORREL($B$3:$B$18,G3:G18)</f>
        <v>-0.39071145643596455</v>
      </c>
      <c r="H23" s="50">
        <f t="shared" si="3"/>
        <v>0.57525251175302872</v>
      </c>
      <c r="I23" s="50">
        <f t="shared" si="3"/>
        <v>0.12655909783913119</v>
      </c>
      <c r="J23" s="51">
        <f>CORREL($B$3:$B$18,J3:J18)</f>
        <v>0.94427478376391072</v>
      </c>
      <c r="K23" s="50">
        <f t="shared" si="3"/>
        <v>-0.32741392850285828</v>
      </c>
      <c r="L23" s="51">
        <f t="shared" si="3"/>
        <v>0.99369084844205902</v>
      </c>
      <c r="P23" s="37" t="s">
        <v>128</v>
      </c>
      <c r="Q23" s="49">
        <f>CORREL($P$4:$P$17,P4:P17)</f>
        <v>1</v>
      </c>
      <c r="R23" s="49">
        <f>CORREL($P$4:$P$18,R4:R18)</f>
        <v>-0.44125526748656663</v>
      </c>
      <c r="S23" s="49">
        <f t="shared" ref="S23:Z23" si="4">CORREL($P$4:$P$18,S4:S18)</f>
        <v>-0.16302327883991471</v>
      </c>
      <c r="T23" s="49">
        <f t="shared" si="4"/>
        <v>0.20208990811131555</v>
      </c>
      <c r="U23" s="49">
        <f t="shared" si="4"/>
        <v>-0.33330627042071359</v>
      </c>
      <c r="V23" s="49">
        <f t="shared" si="4"/>
        <v>0.54408459091071715</v>
      </c>
      <c r="W23" s="49">
        <f t="shared" si="4"/>
        <v>8.9670922957665558E-2</v>
      </c>
      <c r="X23" s="49">
        <f t="shared" si="4"/>
        <v>0.82266673539266166</v>
      </c>
      <c r="Y23" s="49">
        <f t="shared" si="4"/>
        <v>-0.42067473155232676</v>
      </c>
      <c r="Z23" s="49">
        <f t="shared" si="4"/>
        <v>0.99345842884746283</v>
      </c>
    </row>
    <row r="24" spans="1:31" x14ac:dyDescent="0.45">
      <c r="B24" s="65" t="s">
        <v>7</v>
      </c>
      <c r="C24" s="52"/>
      <c r="D24" s="53">
        <f>CORREL($D$3:$D$18,D3:D18)</f>
        <v>1</v>
      </c>
      <c r="E24" s="53">
        <f t="shared" ref="E24:L24" si="5">CORREL($D$3:$D$18,E3:E18)</f>
        <v>-0.1599291534670593</v>
      </c>
      <c r="F24" s="54">
        <f t="shared" si="5"/>
        <v>0.93427853611592349</v>
      </c>
      <c r="G24" s="53">
        <f t="shared" si="5"/>
        <v>-0.1863380792651643</v>
      </c>
      <c r="H24" s="53">
        <f t="shared" si="5"/>
        <v>9.6079850739088049E-2</v>
      </c>
      <c r="I24" s="54">
        <f t="shared" si="5"/>
        <v>0.83665827561666262</v>
      </c>
      <c r="J24" s="53">
        <f t="shared" si="5"/>
        <v>3.3528955101491009E-2</v>
      </c>
      <c r="K24" s="54">
        <f t="shared" si="5"/>
        <v>0.95517146213380066</v>
      </c>
      <c r="L24" s="53">
        <f t="shared" si="5"/>
        <v>-0.28159584506500079</v>
      </c>
      <c r="P24" s="38" t="s">
        <v>7</v>
      </c>
      <c r="Q24" s="52"/>
      <c r="R24" s="53">
        <v>1</v>
      </c>
      <c r="S24" s="53">
        <f>CORREL($R$4:$R$18,S4:S18)</f>
        <v>0.27242758337682882</v>
      </c>
      <c r="T24" s="53">
        <f t="shared" ref="T24:Z24" si="6">CORREL($R$4:$R$18,T4:T18)</f>
        <v>-0.42689773208017545</v>
      </c>
      <c r="U24" s="53">
        <f t="shared" si="6"/>
        <v>-0.2616901500042883</v>
      </c>
      <c r="V24" s="53">
        <f t="shared" si="6"/>
        <v>0.12758990279744878</v>
      </c>
      <c r="W24" s="53">
        <f t="shared" si="6"/>
        <v>0.17896714258847013</v>
      </c>
      <c r="X24" s="53">
        <f t="shared" si="6"/>
        <v>-0.24322460956444344</v>
      </c>
      <c r="Y24" s="53">
        <f t="shared" si="6"/>
        <v>0.5271448295752329</v>
      </c>
      <c r="Z24" s="53">
        <f t="shared" si="6"/>
        <v>-0.44837376973790194</v>
      </c>
      <c r="AB24" t="s">
        <v>130</v>
      </c>
      <c r="AC24" t="s">
        <v>197</v>
      </c>
      <c r="AD24">
        <f>AVERAGE(AC4:AC18)</f>
        <v>1743.3093333333334</v>
      </c>
      <c r="AE24">
        <f>IF(X4&gt;62,1,0)</f>
        <v>0</v>
      </c>
    </row>
    <row r="25" spans="1:31" x14ac:dyDescent="0.45">
      <c r="B25" s="38" t="s">
        <v>8</v>
      </c>
      <c r="C25" s="52"/>
      <c r="D25" s="53"/>
      <c r="E25" s="53">
        <f>CORREL($E$3:$E$18,E3:E18)</f>
        <v>1.0000000000000002</v>
      </c>
      <c r="F25" s="53">
        <f t="shared" ref="F25:L25" si="7">CORREL($E$3:$E$18,F3:F18)</f>
        <v>-0.35914275835595993</v>
      </c>
      <c r="G25" s="53">
        <f>CORREL($E$3:$E$18,G3:G18)</f>
        <v>0.46316603426970188</v>
      </c>
      <c r="H25" s="53">
        <f t="shared" si="7"/>
        <v>-0.1582282328790125</v>
      </c>
      <c r="I25" s="53">
        <f t="shared" si="7"/>
        <v>-0.16322052311008281</v>
      </c>
      <c r="J25" s="53">
        <f t="shared" si="7"/>
        <v>-0.34047907289757051</v>
      </c>
      <c r="K25" s="53">
        <f t="shared" si="7"/>
        <v>-0.1074100417643339</v>
      </c>
      <c r="L25" s="53">
        <f t="shared" si="7"/>
        <v>-0.23097262586403089</v>
      </c>
      <c r="P25" s="38" t="s">
        <v>8</v>
      </c>
      <c r="Q25" s="52"/>
      <c r="R25" s="53"/>
      <c r="S25" s="53">
        <v>1</v>
      </c>
      <c r="T25" s="53">
        <f>CORREL($S$4:$S$18,T4:T18)</f>
        <v>-7.2198130644839917E-2</v>
      </c>
      <c r="U25" s="53">
        <f t="shared" ref="U25:Z25" si="8">CORREL($S$4:$S$18,U4:U18)</f>
        <v>0.44273822681556368</v>
      </c>
      <c r="V25" s="53">
        <f t="shared" si="8"/>
        <v>-8.0693524268230885E-2</v>
      </c>
      <c r="W25" s="53">
        <f t="shared" si="8"/>
        <v>-0.12974601137508116</v>
      </c>
      <c r="X25" s="53">
        <f t="shared" si="8"/>
        <v>-0.25861716892714454</v>
      </c>
      <c r="Y25" s="53">
        <f t="shared" si="8"/>
        <v>-4.899458591659888E-2</v>
      </c>
      <c r="Z25" s="53">
        <f t="shared" si="8"/>
        <v>-0.19500769329633819</v>
      </c>
    </row>
    <row r="26" spans="1:31" x14ac:dyDescent="0.45">
      <c r="B26" s="65" t="s">
        <v>9</v>
      </c>
      <c r="C26" s="52"/>
      <c r="D26" s="53"/>
      <c r="E26" s="53"/>
      <c r="F26" s="53">
        <f>CORREL($F$3:$F$18,F3:F18)</f>
        <v>1</v>
      </c>
      <c r="G26" s="53">
        <f t="shared" ref="G26:L26" si="9">CORREL($F$3:$F$18,G3:G18)</f>
        <v>-0.4699834744261388</v>
      </c>
      <c r="H26" s="53">
        <f t="shared" si="9"/>
        <v>0.34222843447181001</v>
      </c>
      <c r="I26" s="54">
        <f t="shared" si="9"/>
        <v>0.82265181409673671</v>
      </c>
      <c r="J26" s="53">
        <f t="shared" si="9"/>
        <v>0.29112032632949975</v>
      </c>
      <c r="K26" s="54">
        <f t="shared" si="9"/>
        <v>0.8895655925649828</v>
      </c>
      <c r="L26" s="53">
        <f t="shared" si="9"/>
        <v>-3.6321647535001805E-2</v>
      </c>
      <c r="P26" s="38" t="s">
        <v>9</v>
      </c>
      <c r="Q26" s="52"/>
      <c r="R26" s="53"/>
      <c r="S26" s="53"/>
      <c r="T26" s="53">
        <v>1</v>
      </c>
      <c r="U26" s="53">
        <f>CORREL($T$4:$T$18,U4:U18)</f>
        <v>-7.2824119193073578E-2</v>
      </c>
      <c r="V26" s="53">
        <f t="shared" ref="V26:Z26" si="10">CORREL($T$4:$T$18,V4:V18)</f>
        <v>3.1096433606396804E-2</v>
      </c>
      <c r="W26" s="53">
        <f t="shared" si="10"/>
        <v>-5.1272813373451735E-2</v>
      </c>
      <c r="X26" s="53">
        <f>CORREL($T$4:$T$18,X4:X18)</f>
        <v>0.36144065456986924</v>
      </c>
      <c r="Y26" s="53">
        <f t="shared" si="10"/>
        <v>-2.1556749249079181E-2</v>
      </c>
      <c r="Z26" s="53">
        <f t="shared" si="10"/>
        <v>0.17683785024018481</v>
      </c>
      <c r="AB26" t="s">
        <v>132</v>
      </c>
      <c r="AC26" t="s">
        <v>197</v>
      </c>
      <c r="AD26">
        <f>AVERAGE(Z4:Z18)</f>
        <v>44.645600000000009</v>
      </c>
    </row>
    <row r="27" spans="1:31" x14ac:dyDescent="0.45">
      <c r="B27" s="38" t="s">
        <v>15</v>
      </c>
      <c r="C27" s="52"/>
      <c r="D27" s="53"/>
      <c r="E27" s="53"/>
      <c r="F27" s="53"/>
      <c r="G27" s="53">
        <f>CORREL($G$3:$G$18,G3:G18)</f>
        <v>0.99999999999999989</v>
      </c>
      <c r="H27" s="53">
        <f t="shared" ref="H27:L27" si="11">CORREL($G$3:$G$18,H3:H18)</f>
        <v>-0.74655283514861004</v>
      </c>
      <c r="I27" s="53">
        <f t="shared" si="11"/>
        <v>-0.20185618007872064</v>
      </c>
      <c r="J27" s="53">
        <f t="shared" si="11"/>
        <v>-0.51725076986567298</v>
      </c>
      <c r="K27" s="53">
        <f t="shared" si="11"/>
        <v>-0.26143216014687287</v>
      </c>
      <c r="L27" s="53">
        <f t="shared" si="11"/>
        <v>-0.38950162130270255</v>
      </c>
      <c r="P27" s="38" t="s">
        <v>15</v>
      </c>
      <c r="Q27" s="52"/>
      <c r="R27" s="53"/>
      <c r="S27" s="53"/>
      <c r="T27" s="53"/>
      <c r="U27" s="53">
        <v>1</v>
      </c>
      <c r="V27" s="53">
        <f>CORREL($U$4:$U$18,V4:V18)</f>
        <v>-0.69854424567688211</v>
      </c>
      <c r="W27" s="53">
        <f t="shared" ref="W27:Z27" si="12">CORREL($U$4:$U$18,W4:W18)</f>
        <v>-0.1095276517600907</v>
      </c>
      <c r="X27" s="53">
        <f t="shared" si="12"/>
        <v>-0.59495199318331771</v>
      </c>
      <c r="Y27" s="53">
        <f t="shared" si="12"/>
        <v>-9.3778976122049856E-2</v>
      </c>
      <c r="Z27" s="53">
        <f t="shared" si="12"/>
        <v>-0.34182631264607599</v>
      </c>
    </row>
    <row r="28" spans="1:31" x14ac:dyDescent="0.45">
      <c r="B28" s="38" t="s">
        <v>16</v>
      </c>
      <c r="C28" s="52"/>
      <c r="D28" s="53"/>
      <c r="E28" s="53"/>
      <c r="F28" s="53"/>
      <c r="G28" s="53"/>
      <c r="H28" s="53">
        <f>CORREL($H$3:$H$18,H3:H18)</f>
        <v>1.0000000000000002</v>
      </c>
      <c r="I28" s="53">
        <f t="shared" ref="I28:L28" si="13">CORREL($H$3:$H$18,I3:I18)</f>
        <v>0.16656125735348074</v>
      </c>
      <c r="J28" s="53">
        <f t="shared" si="13"/>
        <v>0.70420527834278746</v>
      </c>
      <c r="K28" s="53">
        <f t="shared" si="13"/>
        <v>0.14615651965421109</v>
      </c>
      <c r="L28" s="53">
        <f t="shared" si="13"/>
        <v>0.55854560916002927</v>
      </c>
      <c r="P28" s="38" t="s">
        <v>16</v>
      </c>
      <c r="Q28" s="52"/>
      <c r="R28" s="53"/>
      <c r="S28" s="53"/>
      <c r="T28" s="53"/>
      <c r="U28" s="53"/>
      <c r="V28" s="53">
        <v>1</v>
      </c>
      <c r="W28" s="53">
        <f>CORREL($V$4:$V$18,W4:W18)</f>
        <v>0.10293307703448676</v>
      </c>
      <c r="X28" s="53">
        <f t="shared" ref="X28:Z28" si="14">CORREL($V$4:$V$18,X4:X18)</f>
        <v>0.64642177129441714</v>
      </c>
      <c r="Y28" s="53">
        <f t="shared" si="14"/>
        <v>3.1670313554254537E-2</v>
      </c>
      <c r="Z28" s="53">
        <f t="shared" si="14"/>
        <v>0.52937239694474014</v>
      </c>
    </row>
    <row r="29" spans="1:31" x14ac:dyDescent="0.45">
      <c r="B29" s="38" t="s">
        <v>129</v>
      </c>
      <c r="C29" s="52"/>
      <c r="D29" s="53"/>
      <c r="E29" s="53"/>
      <c r="F29" s="53"/>
      <c r="G29" s="53"/>
      <c r="H29" s="53"/>
      <c r="I29" s="53">
        <f>CORREL($I$3:$I$18,I3:I18)</f>
        <v>1</v>
      </c>
      <c r="J29" s="53">
        <f t="shared" ref="J29:L29" si="15">CORREL($I$3:$I$18,J3:J18)</f>
        <v>0.3002631355000524</v>
      </c>
      <c r="K29" s="53">
        <f t="shared" si="15"/>
        <v>0.74181002175919564</v>
      </c>
      <c r="L29" s="53">
        <f t="shared" si="15"/>
        <v>4.0320744947569376E-2</v>
      </c>
      <c r="P29" s="38" t="s">
        <v>129</v>
      </c>
      <c r="Q29" s="52"/>
      <c r="R29" s="53"/>
      <c r="S29" s="53"/>
      <c r="T29" s="53"/>
      <c r="U29" s="53"/>
      <c r="V29" s="53"/>
      <c r="W29" s="53">
        <v>1</v>
      </c>
      <c r="X29" s="53">
        <f>CORREL($W$4:$W$18,X4:X18)</f>
        <v>0.24573333495886598</v>
      </c>
      <c r="Y29" s="53">
        <f t="shared" ref="Y29:Z29" si="16">CORREL($W$4:$W$18,Y4:Y18)</f>
        <v>0.7322318272160524</v>
      </c>
      <c r="Z29" s="53">
        <f t="shared" si="16"/>
        <v>1.9810694059910088E-3</v>
      </c>
    </row>
    <row r="30" spans="1:31" x14ac:dyDescent="0.45">
      <c r="B30" s="65" t="s">
        <v>130</v>
      </c>
      <c r="C30" s="52"/>
      <c r="D30" s="53"/>
      <c r="E30" s="53"/>
      <c r="F30" s="53"/>
      <c r="G30" s="53"/>
      <c r="H30" s="53"/>
      <c r="I30" s="53"/>
      <c r="J30" s="53">
        <f>CORREL($J$3:$J$18,J3:J18)</f>
        <v>0.99999999999999989</v>
      </c>
      <c r="K30" s="53">
        <f t="shared" ref="K30:L30" si="17">CORREL($J$3:$J$18,K3:K18)</f>
        <v>-8.5472531763906595E-2</v>
      </c>
      <c r="L30" s="54">
        <f t="shared" si="17"/>
        <v>0.92721814303968186</v>
      </c>
      <c r="P30" s="38" t="s">
        <v>130</v>
      </c>
      <c r="Q30" s="52"/>
      <c r="R30" s="53"/>
      <c r="S30" s="53"/>
      <c r="T30" s="53"/>
      <c r="U30" s="53"/>
      <c r="V30" s="53"/>
      <c r="W30" s="53"/>
      <c r="X30" s="53">
        <v>1</v>
      </c>
      <c r="Y30" s="53">
        <f>CORREL($X$4:$X$18,Y4:Y18)</f>
        <v>-0.15204619830786026</v>
      </c>
      <c r="Z30" s="53">
        <f>CORREL($X$4:$X$18,Z4:Z18)</f>
        <v>0.79787679271123246</v>
      </c>
    </row>
    <row r="31" spans="1:31" x14ac:dyDescent="0.45">
      <c r="B31" s="38" t="s">
        <v>131</v>
      </c>
      <c r="C31" s="52"/>
      <c r="D31" s="53"/>
      <c r="E31" s="53"/>
      <c r="F31" s="53"/>
      <c r="G31" s="53"/>
      <c r="H31" s="53"/>
      <c r="I31" s="53"/>
      <c r="J31" s="53"/>
      <c r="K31" s="53">
        <f>CORREL($K$3:$K$18,K3:K18)</f>
        <v>0.99999999999999989</v>
      </c>
      <c r="L31" s="53">
        <f>CORREL($K$3:$K$18,L3:L18)</f>
        <v>-0.40078439997164034</v>
      </c>
      <c r="P31" s="38" t="s">
        <v>131</v>
      </c>
      <c r="Q31" s="52"/>
      <c r="R31" s="53"/>
      <c r="S31" s="53"/>
      <c r="T31" s="53"/>
      <c r="U31" s="53"/>
      <c r="V31" s="53"/>
      <c r="W31" s="53"/>
      <c r="X31" s="53"/>
      <c r="Y31" s="53">
        <v>1</v>
      </c>
      <c r="Z31" s="53">
        <f>CORREL($Y$4:$Y$18,Z4:Z18)</f>
        <v>-0.4942319197873028</v>
      </c>
    </row>
    <row r="32" spans="1:31" ht="14.65" thickBot="1" x14ac:dyDescent="0.5">
      <c r="B32" s="24" t="s">
        <v>132</v>
      </c>
      <c r="C32" s="52"/>
      <c r="D32" s="53"/>
      <c r="E32" s="53"/>
      <c r="F32" s="53"/>
      <c r="G32" s="53"/>
      <c r="H32" s="53"/>
      <c r="I32" s="53"/>
      <c r="J32" s="53"/>
      <c r="K32" s="53"/>
      <c r="L32" s="53">
        <f>CORREL($L$3:$L$18,L3:L18)</f>
        <v>0.99999999999999989</v>
      </c>
      <c r="P32" s="24" t="s">
        <v>132</v>
      </c>
      <c r="Q32" s="52"/>
      <c r="R32" s="53"/>
      <c r="S32" s="53"/>
      <c r="T32" s="53"/>
      <c r="U32" s="53"/>
      <c r="V32" s="53"/>
      <c r="W32" s="53"/>
      <c r="X32" s="53"/>
      <c r="Y32" s="53"/>
      <c r="Z32" s="53">
        <v>1</v>
      </c>
    </row>
  </sheetData>
  <pageMargins left="0.7" right="0.7" top="0.75" bottom="0.75" header="0.3" footer="0.3"/>
  <ignoredErrors>
    <ignoredError sqref="V28 X31:Y31 X30 S2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E7C52-B0C3-4A81-A87E-C73E13940798}">
  <dimension ref="A1:AI82"/>
  <sheetViews>
    <sheetView topLeftCell="L1" workbookViewId="0">
      <selection activeCell="S18" sqref="S18"/>
    </sheetView>
  </sheetViews>
  <sheetFormatPr defaultRowHeight="14.25" x14ac:dyDescent="0.45"/>
  <sheetData>
    <row r="1" spans="1:35" x14ac:dyDescent="0.45">
      <c r="B1" t="s">
        <v>137</v>
      </c>
      <c r="C1" t="s">
        <v>120</v>
      </c>
      <c r="D1" t="s">
        <v>117</v>
      </c>
      <c r="E1" t="s">
        <v>121</v>
      </c>
      <c r="F1" t="s">
        <v>138</v>
      </c>
      <c r="G1" t="s">
        <v>122</v>
      </c>
      <c r="H1" t="s">
        <v>123</v>
      </c>
      <c r="I1" t="s">
        <v>144</v>
      </c>
      <c r="J1" t="s">
        <v>124</v>
      </c>
      <c r="K1" t="s">
        <v>125</v>
      </c>
      <c r="L1" t="s">
        <v>145</v>
      </c>
      <c r="M1" t="s">
        <v>126</v>
      </c>
      <c r="N1" t="s">
        <v>127</v>
      </c>
      <c r="O1" t="s">
        <v>146</v>
      </c>
      <c r="P1" t="s">
        <v>140</v>
      </c>
      <c r="U1" t="s">
        <v>89</v>
      </c>
      <c r="V1" t="s">
        <v>88</v>
      </c>
    </row>
    <row r="2" spans="1:35" x14ac:dyDescent="0.45">
      <c r="A2" t="s">
        <v>0</v>
      </c>
      <c r="B2" t="s">
        <v>128</v>
      </c>
      <c r="C2" t="s">
        <v>6</v>
      </c>
      <c r="D2" t="s">
        <v>7</v>
      </c>
      <c r="E2" t="s">
        <v>8</v>
      </c>
      <c r="F2" t="s">
        <v>9</v>
      </c>
      <c r="G2" t="s">
        <v>15</v>
      </c>
      <c r="H2" t="s">
        <v>16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 t="s">
        <v>134</v>
      </c>
      <c r="O2" t="s">
        <v>136</v>
      </c>
      <c r="P2" t="s">
        <v>135</v>
      </c>
    </row>
    <row r="3" spans="1:35" x14ac:dyDescent="0.45">
      <c r="A3">
        <v>2007</v>
      </c>
      <c r="B3">
        <v>47.747999999999998</v>
      </c>
      <c r="C3">
        <v>1</v>
      </c>
      <c r="D3">
        <v>104.85</v>
      </c>
      <c r="E3">
        <v>127</v>
      </c>
      <c r="F3">
        <v>10.85</v>
      </c>
      <c r="G3">
        <v>3550.33</v>
      </c>
      <c r="H3">
        <v>7.8072999999999997</v>
      </c>
      <c r="I3">
        <v>4.82</v>
      </c>
      <c r="J3">
        <v>681.32</v>
      </c>
      <c r="K3">
        <v>1.41875</v>
      </c>
      <c r="L3">
        <v>8.76</v>
      </c>
      <c r="M3">
        <v>1299.7</v>
      </c>
      <c r="N3">
        <v>26.331099999999999</v>
      </c>
      <c r="O3">
        <v>9.01</v>
      </c>
      <c r="P3">
        <v>32.643000000000001</v>
      </c>
    </row>
    <row r="4" spans="1:35" x14ac:dyDescent="0.45">
      <c r="A4">
        <v>2008</v>
      </c>
      <c r="B4">
        <v>71.171999999999997</v>
      </c>
      <c r="C4">
        <v>1</v>
      </c>
      <c r="D4">
        <v>133.44</v>
      </c>
      <c r="E4">
        <v>120.3</v>
      </c>
      <c r="F4">
        <v>17.14</v>
      </c>
      <c r="G4">
        <v>4594.34</v>
      </c>
      <c r="H4" s="11">
        <v>7.2995999999999999</v>
      </c>
      <c r="I4">
        <v>5.93</v>
      </c>
      <c r="J4">
        <v>770.45</v>
      </c>
      <c r="K4">
        <v>1.1686399999999999</v>
      </c>
      <c r="L4">
        <v>10.44</v>
      </c>
      <c r="M4">
        <v>1660.85</v>
      </c>
      <c r="N4">
        <v>24.546199999999999</v>
      </c>
      <c r="O4">
        <v>14.11</v>
      </c>
      <c r="P4">
        <v>50.281999999999996</v>
      </c>
      <c r="S4" t="s">
        <v>90</v>
      </c>
      <c r="T4" cm="1">
        <f t="array" ref="T4:AI17">TRANSPOSE(C3:P18)</f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</row>
    <row r="5" spans="1:35" x14ac:dyDescent="0.45">
      <c r="A5">
        <v>2009</v>
      </c>
      <c r="B5">
        <v>43.195999999999998</v>
      </c>
      <c r="C5">
        <v>1</v>
      </c>
      <c r="D5">
        <v>115.31</v>
      </c>
      <c r="E5">
        <v>120.79</v>
      </c>
      <c r="F5">
        <v>7.32</v>
      </c>
      <c r="G5">
        <v>5101.6899999999996</v>
      </c>
      <c r="H5">
        <v>6.8367000000000004</v>
      </c>
      <c r="I5">
        <v>-0.73</v>
      </c>
      <c r="J5">
        <v>649.29</v>
      </c>
      <c r="K5">
        <v>1.6089199999999999</v>
      </c>
      <c r="L5">
        <v>6.25</v>
      </c>
      <c r="M5">
        <v>1222.6500000000001</v>
      </c>
      <c r="N5">
        <v>29.3916</v>
      </c>
      <c r="O5">
        <v>11.65</v>
      </c>
      <c r="P5">
        <v>30.003</v>
      </c>
      <c r="T5">
        <v>104.85</v>
      </c>
      <c r="U5">
        <v>133.44</v>
      </c>
      <c r="V5">
        <v>115.31</v>
      </c>
      <c r="W5">
        <v>148.05000000000001</v>
      </c>
      <c r="X5">
        <v>192.63</v>
      </c>
      <c r="Y5">
        <v>208</v>
      </c>
      <c r="Z5">
        <v>236.63</v>
      </c>
      <c r="AA5">
        <v>221.42</v>
      </c>
      <c r="AB5">
        <v>184.39</v>
      </c>
      <c r="AC5">
        <v>137.28</v>
      </c>
      <c r="AD5">
        <v>166.81</v>
      </c>
      <c r="AE5">
        <v>179.34</v>
      </c>
      <c r="AF5">
        <v>181.67</v>
      </c>
      <c r="AG5">
        <v>171.08</v>
      </c>
      <c r="AH5">
        <v>197.11</v>
      </c>
      <c r="AI5">
        <v>220.62</v>
      </c>
    </row>
    <row r="6" spans="1:35" x14ac:dyDescent="0.45">
      <c r="A6">
        <v>2010</v>
      </c>
      <c r="B6">
        <v>57.244</v>
      </c>
      <c r="C6">
        <v>1</v>
      </c>
      <c r="D6">
        <v>148.05000000000001</v>
      </c>
      <c r="E6">
        <v>148.46</v>
      </c>
      <c r="F6">
        <v>7.4</v>
      </c>
      <c r="G6">
        <v>6087.19</v>
      </c>
      <c r="H6">
        <v>6.8281000000000001</v>
      </c>
      <c r="I6">
        <v>3.18</v>
      </c>
      <c r="J6">
        <v>776.97</v>
      </c>
      <c r="K6">
        <v>1.4554199999999999</v>
      </c>
      <c r="L6">
        <v>8.57</v>
      </c>
      <c r="M6">
        <v>1524.92</v>
      </c>
      <c r="N6">
        <v>30.185099999999998</v>
      </c>
      <c r="O6">
        <v>6.85</v>
      </c>
      <c r="P6">
        <v>41.56</v>
      </c>
      <c r="T6">
        <v>127</v>
      </c>
      <c r="U6">
        <v>120.3</v>
      </c>
      <c r="V6">
        <v>120.79</v>
      </c>
      <c r="W6">
        <v>148.46</v>
      </c>
      <c r="X6">
        <v>146.72999999999999</v>
      </c>
      <c r="Y6">
        <v>149.13</v>
      </c>
      <c r="Z6">
        <v>152.19999999999999</v>
      </c>
      <c r="AA6">
        <v>178.81</v>
      </c>
      <c r="AB6">
        <v>222.19</v>
      </c>
      <c r="AC6">
        <v>341.9</v>
      </c>
      <c r="AD6">
        <v>326.17</v>
      </c>
      <c r="AE6">
        <v>345.09</v>
      </c>
      <c r="AF6">
        <v>383.04</v>
      </c>
      <c r="AG6">
        <v>414.08</v>
      </c>
      <c r="AH6">
        <v>426.7</v>
      </c>
      <c r="AI6">
        <v>461.71</v>
      </c>
    </row>
    <row r="7" spans="1:35" x14ac:dyDescent="0.45">
      <c r="A7">
        <v>2011</v>
      </c>
      <c r="B7">
        <v>88.108000000000004</v>
      </c>
      <c r="C7">
        <v>1</v>
      </c>
      <c r="D7">
        <v>192.63</v>
      </c>
      <c r="E7">
        <v>146.72999999999999</v>
      </c>
      <c r="F7">
        <v>8.42</v>
      </c>
      <c r="G7">
        <v>7551.55</v>
      </c>
      <c r="H7">
        <v>6.6215000000000002</v>
      </c>
      <c r="I7">
        <v>5.55</v>
      </c>
      <c r="J7">
        <v>838.79</v>
      </c>
      <c r="K7">
        <v>1.5657799999999999</v>
      </c>
      <c r="L7">
        <v>6.47</v>
      </c>
      <c r="M7">
        <v>2045.92</v>
      </c>
      <c r="N7">
        <v>30.3505</v>
      </c>
      <c r="O7">
        <v>8.44</v>
      </c>
      <c r="P7">
        <v>63.811</v>
      </c>
      <c r="T7">
        <v>10.85</v>
      </c>
      <c r="U7">
        <v>17.14</v>
      </c>
      <c r="V7">
        <v>7.32</v>
      </c>
      <c r="W7">
        <v>7.4</v>
      </c>
      <c r="X7">
        <v>8.42</v>
      </c>
      <c r="Y7">
        <v>5.0999999999999996</v>
      </c>
      <c r="Z7">
        <v>5.85</v>
      </c>
      <c r="AA7">
        <v>6.71</v>
      </c>
      <c r="AB7">
        <v>6.67</v>
      </c>
      <c r="AC7">
        <v>14.55</v>
      </c>
      <c r="AD7">
        <v>7.44</v>
      </c>
      <c r="AE7">
        <v>6.02</v>
      </c>
      <c r="AF7">
        <v>5.25</v>
      </c>
      <c r="AG7">
        <v>6.77</v>
      </c>
      <c r="AH7">
        <v>8.0399999999999991</v>
      </c>
      <c r="AI7">
        <v>8</v>
      </c>
    </row>
    <row r="8" spans="1:35" x14ac:dyDescent="0.45">
      <c r="A8">
        <v>2012</v>
      </c>
      <c r="B8">
        <v>86.45</v>
      </c>
      <c r="C8">
        <v>1</v>
      </c>
      <c r="D8">
        <v>208</v>
      </c>
      <c r="E8">
        <v>149.13</v>
      </c>
      <c r="F8">
        <v>5.0999999999999996</v>
      </c>
      <c r="G8">
        <v>8532.19</v>
      </c>
      <c r="H8">
        <v>6.3000999999999996</v>
      </c>
      <c r="I8">
        <v>2.62</v>
      </c>
      <c r="J8">
        <v>880.56</v>
      </c>
      <c r="K8">
        <v>1.881275</v>
      </c>
      <c r="L8">
        <v>8.89</v>
      </c>
      <c r="M8">
        <v>2208.29</v>
      </c>
      <c r="N8">
        <v>32.196100000000001</v>
      </c>
      <c r="O8">
        <v>5.07</v>
      </c>
      <c r="P8">
        <v>64.960999999999999</v>
      </c>
      <c r="T8">
        <v>3550.33</v>
      </c>
      <c r="U8">
        <v>4594.34</v>
      </c>
      <c r="V8">
        <v>5101.6899999999996</v>
      </c>
      <c r="W8">
        <v>6087.19</v>
      </c>
      <c r="X8">
        <v>7551.55</v>
      </c>
      <c r="Y8">
        <v>8532.19</v>
      </c>
      <c r="Z8">
        <v>9570.4699999999993</v>
      </c>
      <c r="AA8">
        <v>10475.620000000001</v>
      </c>
      <c r="AB8">
        <v>11061.57</v>
      </c>
      <c r="AC8">
        <v>11233.31</v>
      </c>
      <c r="AD8">
        <v>12310.49</v>
      </c>
      <c r="AE8">
        <v>13894.91</v>
      </c>
      <c r="AF8">
        <v>14279.97</v>
      </c>
      <c r="AG8">
        <v>14687.74</v>
      </c>
      <c r="AH8">
        <v>17820.46</v>
      </c>
      <c r="AI8">
        <v>17963.169999999998</v>
      </c>
    </row>
    <row r="9" spans="1:35" x14ac:dyDescent="0.45">
      <c r="A9">
        <v>2013</v>
      </c>
      <c r="B9">
        <v>84.7</v>
      </c>
      <c r="C9">
        <v>1</v>
      </c>
      <c r="D9">
        <v>236.63</v>
      </c>
      <c r="E9">
        <v>152.19999999999999</v>
      </c>
      <c r="F9">
        <v>5.85</v>
      </c>
      <c r="G9">
        <v>9570.4699999999993</v>
      </c>
      <c r="H9">
        <v>6.2896999999999998</v>
      </c>
      <c r="I9">
        <v>2.62</v>
      </c>
      <c r="J9">
        <v>957.8</v>
      </c>
      <c r="K9">
        <v>1.7762</v>
      </c>
      <c r="L9">
        <v>7.49</v>
      </c>
      <c r="M9">
        <v>2292.4699999999998</v>
      </c>
      <c r="N9">
        <v>30.372699999999998</v>
      </c>
      <c r="O9">
        <v>6.75</v>
      </c>
      <c r="P9">
        <v>63.372</v>
      </c>
      <c r="T9">
        <v>7.8072999999999997</v>
      </c>
      <c r="U9">
        <v>7.2995999999999999</v>
      </c>
      <c r="V9">
        <v>6.8367000000000004</v>
      </c>
      <c r="W9">
        <v>6.8281000000000001</v>
      </c>
      <c r="X9">
        <v>6.6215000000000002</v>
      </c>
      <c r="Y9">
        <v>6.3000999999999996</v>
      </c>
      <c r="Z9">
        <v>6.2896999999999998</v>
      </c>
      <c r="AA9">
        <v>6.0990000000000002</v>
      </c>
      <c r="AB9">
        <v>6.1247999999999996</v>
      </c>
      <c r="AC9">
        <v>6.5125999999999999</v>
      </c>
      <c r="AD9">
        <v>6.9551999999999996</v>
      </c>
      <c r="AE9">
        <v>6.4958999999999998</v>
      </c>
      <c r="AF9">
        <v>6.8556999999999997</v>
      </c>
      <c r="AG9">
        <v>6.97</v>
      </c>
      <c r="AH9">
        <v>6.4682000000000004</v>
      </c>
      <c r="AI9">
        <v>6.37</v>
      </c>
    </row>
    <row r="10" spans="1:35" x14ac:dyDescent="0.45">
      <c r="A10">
        <v>2014</v>
      </c>
      <c r="B10">
        <v>79.459999999999994</v>
      </c>
      <c r="C10">
        <v>1</v>
      </c>
      <c r="D10">
        <v>221.42</v>
      </c>
      <c r="E10">
        <v>178.81</v>
      </c>
      <c r="F10">
        <v>6.71</v>
      </c>
      <c r="G10">
        <v>10475.620000000001</v>
      </c>
      <c r="H10">
        <v>6.0990000000000002</v>
      </c>
      <c r="I10">
        <v>1.92</v>
      </c>
      <c r="J10">
        <v>938.93</v>
      </c>
      <c r="K10">
        <v>2.17448</v>
      </c>
      <c r="L10">
        <v>8.85</v>
      </c>
      <c r="M10">
        <v>2059.2399999999998</v>
      </c>
      <c r="N10">
        <v>32.658700000000003</v>
      </c>
      <c r="O10">
        <v>7.82</v>
      </c>
      <c r="P10">
        <v>59.31</v>
      </c>
      <c r="T10">
        <v>4.82</v>
      </c>
      <c r="U10">
        <v>5.93</v>
      </c>
      <c r="V10">
        <v>-0.73</v>
      </c>
      <c r="W10">
        <v>3.18</v>
      </c>
      <c r="X10">
        <v>5.55</v>
      </c>
      <c r="Y10">
        <v>2.62</v>
      </c>
      <c r="Z10">
        <v>2.62</v>
      </c>
      <c r="AA10">
        <v>1.92</v>
      </c>
      <c r="AB10">
        <v>1.44</v>
      </c>
      <c r="AC10">
        <v>2</v>
      </c>
      <c r="AD10">
        <v>1.59</v>
      </c>
      <c r="AE10">
        <v>2.0699999999999998</v>
      </c>
      <c r="AF10">
        <v>2.9</v>
      </c>
      <c r="AG10">
        <v>2.42</v>
      </c>
      <c r="AH10">
        <v>0.98</v>
      </c>
      <c r="AI10">
        <v>1.97</v>
      </c>
    </row>
    <row r="11" spans="1:35" x14ac:dyDescent="0.45">
      <c r="A11">
        <v>2015</v>
      </c>
      <c r="B11">
        <v>45.96</v>
      </c>
      <c r="C11">
        <v>1</v>
      </c>
      <c r="D11">
        <v>184.39</v>
      </c>
      <c r="E11">
        <v>222.19</v>
      </c>
      <c r="F11">
        <v>6.67</v>
      </c>
      <c r="G11">
        <v>11061.57</v>
      </c>
      <c r="H11">
        <v>6.1247999999999996</v>
      </c>
      <c r="I11">
        <v>1.44</v>
      </c>
      <c r="J11">
        <v>864.31</v>
      </c>
      <c r="K11">
        <v>2.3145389999999999</v>
      </c>
      <c r="L11">
        <v>7.67</v>
      </c>
      <c r="M11">
        <v>1363.48</v>
      </c>
      <c r="N11">
        <v>56.2376</v>
      </c>
      <c r="O11">
        <v>15.53</v>
      </c>
      <c r="P11">
        <v>30.36</v>
      </c>
      <c r="T11">
        <v>681.32</v>
      </c>
      <c r="U11">
        <v>770.45</v>
      </c>
      <c r="V11">
        <v>649.29</v>
      </c>
      <c r="W11">
        <v>776.97</v>
      </c>
      <c r="X11">
        <v>838.79</v>
      </c>
      <c r="Y11">
        <v>880.56</v>
      </c>
      <c r="Z11">
        <v>957.8</v>
      </c>
      <c r="AA11">
        <v>938.93</v>
      </c>
      <c r="AB11">
        <v>864.31</v>
      </c>
      <c r="AC11">
        <v>869.68</v>
      </c>
      <c r="AD11">
        <v>858.99</v>
      </c>
      <c r="AE11">
        <v>778.48</v>
      </c>
      <c r="AF11">
        <v>759.93</v>
      </c>
      <c r="AG11">
        <v>720.29</v>
      </c>
      <c r="AH11">
        <v>819.03</v>
      </c>
      <c r="AI11">
        <v>905.99</v>
      </c>
    </row>
    <row r="12" spans="1:35" x14ac:dyDescent="0.45">
      <c r="A12">
        <v>2016</v>
      </c>
      <c r="B12">
        <v>36.69</v>
      </c>
      <c r="C12">
        <v>1</v>
      </c>
      <c r="D12">
        <v>137.28</v>
      </c>
      <c r="E12">
        <v>341.9</v>
      </c>
      <c r="F12">
        <v>14.55</v>
      </c>
      <c r="G12">
        <v>11233.31</v>
      </c>
      <c r="H12">
        <v>6.5125999999999999</v>
      </c>
      <c r="I12">
        <v>2</v>
      </c>
      <c r="J12">
        <v>869.68</v>
      </c>
      <c r="K12">
        <v>2.99268</v>
      </c>
      <c r="L12">
        <v>7.78</v>
      </c>
      <c r="M12">
        <v>1276.79</v>
      </c>
      <c r="N12">
        <v>72.929900000000004</v>
      </c>
      <c r="O12">
        <v>7.04</v>
      </c>
      <c r="P12">
        <v>22.734000000000002</v>
      </c>
      <c r="T12">
        <v>1.41875</v>
      </c>
      <c r="U12">
        <v>1.1686399999999999</v>
      </c>
      <c r="V12">
        <v>1.6089199999999999</v>
      </c>
      <c r="W12">
        <v>1.4554199999999999</v>
      </c>
      <c r="X12">
        <v>1.5657799999999999</v>
      </c>
      <c r="Y12">
        <v>1.881275</v>
      </c>
      <c r="Z12">
        <v>1.7762</v>
      </c>
      <c r="AA12">
        <v>2.17448</v>
      </c>
      <c r="AB12">
        <v>2.3145389999999999</v>
      </c>
      <c r="AC12">
        <v>2.99268</v>
      </c>
      <c r="AD12">
        <v>3.5982500000000002</v>
      </c>
      <c r="AE12">
        <v>3.75345</v>
      </c>
      <c r="AF12">
        <v>5.3947399999999996</v>
      </c>
      <c r="AG12">
        <v>5.9245390000000002</v>
      </c>
      <c r="AH12">
        <v>7.3650000000000002</v>
      </c>
      <c r="AI12">
        <v>13.6105</v>
      </c>
    </row>
    <row r="13" spans="1:35" x14ac:dyDescent="0.45">
      <c r="A13">
        <v>2017</v>
      </c>
      <c r="B13">
        <v>48.3</v>
      </c>
      <c r="C13">
        <v>1</v>
      </c>
      <c r="D13">
        <v>166.81</v>
      </c>
      <c r="E13">
        <v>326.17</v>
      </c>
      <c r="F13">
        <v>7.44</v>
      </c>
      <c r="G13">
        <v>12310.49</v>
      </c>
      <c r="H13">
        <v>6.9551999999999996</v>
      </c>
      <c r="I13">
        <v>1.59</v>
      </c>
      <c r="J13">
        <v>858.99</v>
      </c>
      <c r="K13">
        <v>3.5982500000000002</v>
      </c>
      <c r="L13">
        <v>11.14</v>
      </c>
      <c r="M13">
        <v>1574.2</v>
      </c>
      <c r="N13">
        <v>60.6569</v>
      </c>
      <c r="O13">
        <v>3.68</v>
      </c>
      <c r="P13">
        <v>31.414999999999999</v>
      </c>
      <c r="T13">
        <v>8.76</v>
      </c>
      <c r="U13">
        <v>10.44</v>
      </c>
      <c r="V13">
        <v>6.25</v>
      </c>
      <c r="W13">
        <v>8.57</v>
      </c>
      <c r="X13">
        <v>6.47</v>
      </c>
      <c r="Y13">
        <v>8.89</v>
      </c>
      <c r="Z13">
        <v>7.49</v>
      </c>
      <c r="AA13">
        <v>8.85</v>
      </c>
      <c r="AB13">
        <v>7.67</v>
      </c>
      <c r="AC13">
        <v>7.78</v>
      </c>
      <c r="AD13">
        <v>11.14</v>
      </c>
      <c r="AE13">
        <v>16.329999999999998</v>
      </c>
      <c r="AF13">
        <v>15.18</v>
      </c>
      <c r="AG13">
        <v>12.28</v>
      </c>
      <c r="AH13">
        <v>19.600000000000001</v>
      </c>
      <c r="AI13">
        <v>72.31</v>
      </c>
    </row>
    <row r="14" spans="1:35" x14ac:dyDescent="0.45">
      <c r="A14">
        <v>2018</v>
      </c>
      <c r="B14">
        <v>60.96</v>
      </c>
      <c r="C14">
        <v>1</v>
      </c>
      <c r="D14">
        <v>179.34</v>
      </c>
      <c r="E14">
        <v>345.09</v>
      </c>
      <c r="F14">
        <v>6.02</v>
      </c>
      <c r="G14">
        <v>13894.91</v>
      </c>
      <c r="H14">
        <v>6.4958999999999998</v>
      </c>
      <c r="I14">
        <v>2.0699999999999998</v>
      </c>
      <c r="J14">
        <v>778.48</v>
      </c>
      <c r="K14">
        <v>3.75345</v>
      </c>
      <c r="L14">
        <v>16.329999999999998</v>
      </c>
      <c r="M14">
        <v>1657.33</v>
      </c>
      <c r="N14">
        <v>57.600200000000001</v>
      </c>
      <c r="O14">
        <v>2.88</v>
      </c>
      <c r="P14">
        <v>43.451000000000001</v>
      </c>
      <c r="T14">
        <v>1299.7</v>
      </c>
      <c r="U14">
        <v>1660.85</v>
      </c>
      <c r="V14">
        <v>1222.6500000000001</v>
      </c>
      <c r="W14">
        <v>1524.92</v>
      </c>
      <c r="X14">
        <v>2045.92</v>
      </c>
      <c r="Y14">
        <v>2208.29</v>
      </c>
      <c r="Z14">
        <v>2292.4699999999998</v>
      </c>
      <c r="AA14">
        <v>2059.2399999999998</v>
      </c>
      <c r="AB14">
        <v>1363.48</v>
      </c>
      <c r="AC14">
        <v>1276.79</v>
      </c>
      <c r="AD14">
        <v>1574.2</v>
      </c>
      <c r="AE14">
        <v>1657.33</v>
      </c>
      <c r="AF14">
        <v>1693.11</v>
      </c>
      <c r="AG14">
        <v>1493.08</v>
      </c>
      <c r="AH14">
        <v>1836.89</v>
      </c>
      <c r="AI14">
        <v>2240.42</v>
      </c>
    </row>
    <row r="15" spans="1:35" x14ac:dyDescent="0.45">
      <c r="A15">
        <v>2019</v>
      </c>
      <c r="B15">
        <v>57.31</v>
      </c>
      <c r="C15">
        <v>1</v>
      </c>
      <c r="D15">
        <v>181.67</v>
      </c>
      <c r="E15">
        <v>383.04</v>
      </c>
      <c r="F15">
        <v>5.25</v>
      </c>
      <c r="G15">
        <v>14279.97</v>
      </c>
      <c r="H15">
        <v>6.8556999999999997</v>
      </c>
      <c r="I15">
        <v>2.9</v>
      </c>
      <c r="J15">
        <v>759.93</v>
      </c>
      <c r="K15">
        <v>5.3947399999999996</v>
      </c>
      <c r="L15">
        <v>15.18</v>
      </c>
      <c r="M15">
        <v>1693.11</v>
      </c>
      <c r="N15">
        <v>69.470600000000005</v>
      </c>
      <c r="O15">
        <v>4.47</v>
      </c>
      <c r="P15">
        <v>40.048999999999999</v>
      </c>
      <c r="T15">
        <v>26.331099999999999</v>
      </c>
      <c r="U15">
        <v>24.546199999999999</v>
      </c>
      <c r="V15">
        <v>29.3916</v>
      </c>
      <c r="W15">
        <v>30.185099999999998</v>
      </c>
      <c r="X15">
        <v>30.3505</v>
      </c>
      <c r="Y15">
        <v>32.196100000000001</v>
      </c>
      <c r="Z15">
        <v>30.372699999999998</v>
      </c>
      <c r="AA15">
        <v>32.658700000000003</v>
      </c>
      <c r="AB15">
        <v>56.2376</v>
      </c>
      <c r="AC15">
        <v>72.929900000000004</v>
      </c>
      <c r="AD15">
        <v>60.6569</v>
      </c>
      <c r="AE15">
        <v>57.600200000000001</v>
      </c>
      <c r="AF15">
        <v>69.470600000000005</v>
      </c>
      <c r="AG15">
        <v>61.905700000000003</v>
      </c>
      <c r="AH15">
        <v>73.875699999999995</v>
      </c>
      <c r="AI15">
        <v>74.292599999999993</v>
      </c>
    </row>
    <row r="16" spans="1:35" x14ac:dyDescent="0.45">
      <c r="A16">
        <v>2020</v>
      </c>
      <c r="B16">
        <v>46.45</v>
      </c>
      <c r="C16">
        <v>1</v>
      </c>
      <c r="D16">
        <v>171.08</v>
      </c>
      <c r="E16">
        <v>414.08</v>
      </c>
      <c r="F16">
        <v>6.77</v>
      </c>
      <c r="G16">
        <v>14687.74</v>
      </c>
      <c r="H16">
        <v>6.97</v>
      </c>
      <c r="I16">
        <v>2.42</v>
      </c>
      <c r="J16">
        <v>720.29</v>
      </c>
      <c r="K16">
        <v>5.9245390000000002</v>
      </c>
      <c r="L16">
        <v>12.28</v>
      </c>
      <c r="M16">
        <v>1493.08</v>
      </c>
      <c r="N16">
        <v>61.905700000000003</v>
      </c>
      <c r="O16">
        <v>3.38</v>
      </c>
      <c r="P16">
        <v>30.472999999999999</v>
      </c>
      <c r="T16">
        <v>9.01</v>
      </c>
      <c r="U16">
        <v>14.11</v>
      </c>
      <c r="V16">
        <v>11.65</v>
      </c>
      <c r="W16">
        <v>6.85</v>
      </c>
      <c r="X16">
        <v>8.44</v>
      </c>
      <c r="Y16">
        <v>5.07</v>
      </c>
      <c r="Z16">
        <v>6.75</v>
      </c>
      <c r="AA16">
        <v>7.82</v>
      </c>
      <c r="AB16">
        <v>15.53</v>
      </c>
      <c r="AC16">
        <v>7.04</v>
      </c>
      <c r="AD16">
        <v>3.68</v>
      </c>
      <c r="AE16">
        <v>2.88</v>
      </c>
      <c r="AF16">
        <v>4.47</v>
      </c>
      <c r="AG16">
        <v>3.38</v>
      </c>
      <c r="AH16">
        <v>6.69</v>
      </c>
      <c r="AI16">
        <v>7</v>
      </c>
    </row>
    <row r="17" spans="1:35" x14ac:dyDescent="0.45">
      <c r="A17">
        <v>2021</v>
      </c>
      <c r="B17">
        <v>60.62</v>
      </c>
      <c r="C17">
        <v>1</v>
      </c>
      <c r="D17">
        <v>197.11</v>
      </c>
      <c r="E17">
        <v>426.7</v>
      </c>
      <c r="F17">
        <v>8.0399999999999991</v>
      </c>
      <c r="G17">
        <v>17820.46</v>
      </c>
      <c r="H17">
        <v>6.4682000000000004</v>
      </c>
      <c r="I17">
        <v>0.98</v>
      </c>
      <c r="J17">
        <v>819.03</v>
      </c>
      <c r="K17">
        <v>7.3650000000000002</v>
      </c>
      <c r="L17">
        <v>19.600000000000001</v>
      </c>
      <c r="M17">
        <v>1836.89</v>
      </c>
      <c r="N17">
        <v>73.875699999999995</v>
      </c>
      <c r="O17">
        <v>6.69</v>
      </c>
      <c r="P17">
        <v>39.573</v>
      </c>
      <c r="T17">
        <v>32.643000000000001</v>
      </c>
      <c r="U17">
        <v>50.281999999999996</v>
      </c>
      <c r="V17">
        <v>30.003</v>
      </c>
      <c r="W17">
        <v>41.56</v>
      </c>
      <c r="X17">
        <v>63.811</v>
      </c>
      <c r="Y17">
        <v>64.960999999999999</v>
      </c>
      <c r="Z17">
        <v>63.372</v>
      </c>
      <c r="AA17">
        <v>59.31</v>
      </c>
      <c r="AB17">
        <v>30.36</v>
      </c>
      <c r="AC17">
        <v>22.734000000000002</v>
      </c>
      <c r="AD17">
        <v>31.414999999999999</v>
      </c>
      <c r="AE17">
        <v>43.451000000000001</v>
      </c>
      <c r="AF17">
        <v>40.048999999999999</v>
      </c>
      <c r="AG17">
        <v>30.472999999999999</v>
      </c>
      <c r="AH17">
        <v>39.573</v>
      </c>
      <c r="AI17">
        <v>58.33</v>
      </c>
    </row>
    <row r="18" spans="1:35" x14ac:dyDescent="0.45">
      <c r="A18">
        <v>2022</v>
      </c>
      <c r="B18">
        <v>84.66</v>
      </c>
      <c r="C18">
        <v>1</v>
      </c>
      <c r="D18">
        <v>220.62</v>
      </c>
      <c r="E18">
        <v>461.71</v>
      </c>
      <c r="F18">
        <v>8</v>
      </c>
      <c r="G18">
        <v>17963.169999999998</v>
      </c>
      <c r="H18">
        <v>6.37</v>
      </c>
      <c r="I18">
        <v>1.97</v>
      </c>
      <c r="J18">
        <v>905.99</v>
      </c>
      <c r="K18">
        <v>13.6105</v>
      </c>
      <c r="L18">
        <v>72.31</v>
      </c>
      <c r="M18">
        <v>2240.42</v>
      </c>
      <c r="N18">
        <v>74.292599999999993</v>
      </c>
      <c r="O18">
        <v>7</v>
      </c>
      <c r="P18">
        <v>58.33</v>
      </c>
    </row>
    <row r="21" spans="1:35" x14ac:dyDescent="0.45">
      <c r="S21" t="s">
        <v>91</v>
      </c>
      <c r="T21" cm="1">
        <f t="array" ref="T21:AG34">MMULT(_xlfn.ANCHORARRAY(T4),C3:P18)</f>
        <v>16</v>
      </c>
      <c r="U21">
        <v>2798.6299999999997</v>
      </c>
      <c r="V21">
        <v>4064.3</v>
      </c>
      <c r="W21">
        <v>131.53</v>
      </c>
      <c r="X21">
        <v>168715</v>
      </c>
      <c r="Y21">
        <v>106.83440000000002</v>
      </c>
      <c r="Z21">
        <v>41.28</v>
      </c>
      <c r="AA21">
        <v>13070.810000000001</v>
      </c>
      <c r="AB21">
        <v>58.003163000000008</v>
      </c>
      <c r="AC21">
        <v>228.01</v>
      </c>
      <c r="AD21">
        <v>27449.340000000004</v>
      </c>
      <c r="AE21">
        <v>763.00120000000015</v>
      </c>
      <c r="AF21">
        <v>120.36999999999999</v>
      </c>
      <c r="AG21">
        <v>702.327</v>
      </c>
    </row>
    <row r="22" spans="1:35" x14ac:dyDescent="0.45">
      <c r="T22">
        <v>2798.6299999999997</v>
      </c>
      <c r="U22">
        <v>512037.6189</v>
      </c>
      <c r="V22">
        <v>730766.90079999983</v>
      </c>
      <c r="W22">
        <v>21926.883599999997</v>
      </c>
      <c r="X22">
        <v>30998151.707000002</v>
      </c>
      <c r="Y22">
        <v>18483.358885999998</v>
      </c>
      <c r="Z22">
        <v>7087.6414999999997</v>
      </c>
      <c r="AA22">
        <v>2327682.7104999996</v>
      </c>
      <c r="AB22">
        <v>10859.472694329999</v>
      </c>
      <c r="AC22">
        <v>43072.633900000001</v>
      </c>
      <c r="AD22">
        <v>4982381.4740000004</v>
      </c>
      <c r="AE22">
        <v>135849.18597400002</v>
      </c>
      <c r="AF22">
        <v>20407.864100000003</v>
      </c>
      <c r="AG22">
        <v>128586.65376000002</v>
      </c>
    </row>
    <row r="23" spans="1:35" x14ac:dyDescent="0.45">
      <c r="A23" t="s">
        <v>142</v>
      </c>
      <c r="B23" t="s">
        <v>139</v>
      </c>
      <c r="T23">
        <v>4064.3</v>
      </c>
      <c r="U23">
        <v>730766.90079999983</v>
      </c>
      <c r="V23">
        <v>1271307.8767999997</v>
      </c>
      <c r="W23">
        <v>32408.322</v>
      </c>
      <c r="X23">
        <v>50791954.480099991</v>
      </c>
      <c r="Y23">
        <v>26979.128372000003</v>
      </c>
      <c r="Z23">
        <v>9333.9208999999992</v>
      </c>
      <c r="AA23">
        <v>3336383.3597999997</v>
      </c>
      <c r="AB23">
        <v>19853.407340080001</v>
      </c>
      <c r="AC23">
        <v>75675.299499999994</v>
      </c>
      <c r="AD23">
        <v>6995462.0872999988</v>
      </c>
      <c r="AE23">
        <v>229205.816876</v>
      </c>
      <c r="AF23">
        <v>26936.115699999998</v>
      </c>
      <c r="AG23">
        <v>170825.25837</v>
      </c>
    </row>
    <row r="24" spans="1:35" x14ac:dyDescent="0.45">
      <c r="A24" t="s">
        <v>143</v>
      </c>
      <c r="B24" t="s">
        <v>141</v>
      </c>
      <c r="T24">
        <v>131.53</v>
      </c>
      <c r="U24">
        <v>21926.883599999997</v>
      </c>
      <c r="V24">
        <v>32408.322</v>
      </c>
      <c r="W24">
        <v>1245.8199</v>
      </c>
      <c r="X24">
        <v>1306884.9614999997</v>
      </c>
      <c r="Y24">
        <v>888.60591299999999</v>
      </c>
      <c r="Z24">
        <v>378.67220000000009</v>
      </c>
      <c r="AA24">
        <v>106752.07779999998</v>
      </c>
      <c r="AB24">
        <v>450.60956256000003</v>
      </c>
      <c r="AC24">
        <v>1830.6127000000001</v>
      </c>
      <c r="AD24">
        <v>219570.11070000002</v>
      </c>
      <c r="AE24">
        <v>6167.9010909999997</v>
      </c>
      <c r="AF24">
        <v>1071.3249999999998</v>
      </c>
      <c r="AG24">
        <v>5610.4119099999998</v>
      </c>
    </row>
    <row r="25" spans="1:35" x14ac:dyDescent="0.45">
      <c r="T25">
        <v>168715</v>
      </c>
      <c r="U25">
        <v>30998151.707000002</v>
      </c>
      <c r="V25">
        <v>50791954.480099991</v>
      </c>
      <c r="W25">
        <v>1306884.9614999997</v>
      </c>
      <c r="X25">
        <v>2081004403.0388</v>
      </c>
      <c r="Y25">
        <v>1112294.6867780001</v>
      </c>
      <c r="Z25">
        <v>385982.48250000004</v>
      </c>
      <c r="AA25">
        <v>139873061.84469998</v>
      </c>
      <c r="AB25">
        <v>790587.78093623999</v>
      </c>
      <c r="AC25">
        <v>3033833.6991999997</v>
      </c>
      <c r="AD25">
        <v>296487413.49760002</v>
      </c>
      <c r="AE25">
        <v>9217353.2094689999</v>
      </c>
      <c r="AF25">
        <v>1146085.5798999998</v>
      </c>
      <c r="AG25">
        <v>7371063.9479499999</v>
      </c>
    </row>
    <row r="26" spans="1:35" x14ac:dyDescent="0.45">
      <c r="T26">
        <v>106.83440000000002</v>
      </c>
      <c r="U26">
        <v>18483.358885999998</v>
      </c>
      <c r="V26">
        <v>26979.128372000003</v>
      </c>
      <c r="W26">
        <v>888.60591299999999</v>
      </c>
      <c r="X26">
        <v>1112294.6867780001</v>
      </c>
      <c r="Y26">
        <v>716.38985068</v>
      </c>
      <c r="Z26">
        <v>281.07192100000003</v>
      </c>
      <c r="AA26">
        <v>86828.00791</v>
      </c>
      <c r="AB26">
        <v>382.88935398070004</v>
      </c>
      <c r="AC26">
        <v>1504.037726</v>
      </c>
      <c r="AD26">
        <v>182027.70617500003</v>
      </c>
      <c r="AE26">
        <v>5060.1180548700004</v>
      </c>
      <c r="AF26">
        <v>805.073804</v>
      </c>
      <c r="AG26">
        <v>4652.1436714000001</v>
      </c>
    </row>
    <row r="27" spans="1:35" x14ac:dyDescent="0.45">
      <c r="A27" s="4" t="s">
        <v>110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T27">
        <v>41.28</v>
      </c>
      <c r="U27">
        <v>7087.6414999999997</v>
      </c>
      <c r="V27">
        <v>9333.9208999999992</v>
      </c>
      <c r="W27">
        <v>378.67220000000009</v>
      </c>
      <c r="X27">
        <v>385982.48250000004</v>
      </c>
      <c r="Y27">
        <v>281.07192100000003</v>
      </c>
      <c r="Z27">
        <v>149.25459999999998</v>
      </c>
      <c r="AA27">
        <v>33619.609700000001</v>
      </c>
      <c r="AB27">
        <v>126.49146983999999</v>
      </c>
      <c r="AC27">
        <v>536.15739999999994</v>
      </c>
      <c r="AD27">
        <v>72358.388099999996</v>
      </c>
      <c r="AE27">
        <v>1754.6378239999999</v>
      </c>
      <c r="AF27">
        <v>322.9486</v>
      </c>
      <c r="AG27">
        <v>1942.6870600000002</v>
      </c>
    </row>
    <row r="28" spans="1:35" x14ac:dyDescent="0.45">
      <c r="A28" s="4"/>
      <c r="B28" s="4" t="s">
        <v>128</v>
      </c>
      <c r="C28" s="4" t="s">
        <v>7</v>
      </c>
      <c r="D28" s="4" t="s">
        <v>8</v>
      </c>
      <c r="E28" s="4" t="s">
        <v>9</v>
      </c>
      <c r="F28" s="4" t="s">
        <v>15</v>
      </c>
      <c r="G28" s="4" t="s">
        <v>16</v>
      </c>
      <c r="H28" s="4" t="s">
        <v>129</v>
      </c>
      <c r="I28" s="4" t="s">
        <v>130</v>
      </c>
      <c r="J28" s="4" t="s">
        <v>131</v>
      </c>
      <c r="K28" s="4" t="s">
        <v>132</v>
      </c>
      <c r="L28" s="4" t="s">
        <v>133</v>
      </c>
      <c r="M28" s="4" t="s">
        <v>134</v>
      </c>
      <c r="N28" s="4" t="s">
        <v>136</v>
      </c>
      <c r="O28" s="4" t="s">
        <v>135</v>
      </c>
      <c r="T28">
        <v>13070.810000000001</v>
      </c>
      <c r="U28">
        <v>2327682.7104999996</v>
      </c>
      <c r="V28">
        <v>3336383.3597999997</v>
      </c>
      <c r="W28">
        <v>106752.07779999998</v>
      </c>
      <c r="X28">
        <v>139873061.84469998</v>
      </c>
      <c r="Y28">
        <v>86828.00791</v>
      </c>
      <c r="Z28">
        <v>33619.609700000001</v>
      </c>
      <c r="AA28">
        <v>10796184.311500002</v>
      </c>
      <c r="AB28">
        <v>48101.483247299999</v>
      </c>
      <c r="AC28">
        <v>191090.27739999999</v>
      </c>
      <c r="AD28">
        <v>22761274.306199998</v>
      </c>
      <c r="AE28">
        <v>627125.89958600001</v>
      </c>
      <c r="AF28">
        <v>97848.720199999982</v>
      </c>
      <c r="AG28">
        <v>584327.71016000002</v>
      </c>
    </row>
    <row r="29" spans="1:35" x14ac:dyDescent="0.45">
      <c r="A29" s="4" t="str" cm="1">
        <f t="array" ref="A29:A42">TRANSPOSE(B28:O28)</f>
        <v>y1</v>
      </c>
      <c r="B29" s="4">
        <f>CORREL($B$3:$B$18,B3:B18)</f>
        <v>1</v>
      </c>
      <c r="C29" s="4">
        <f t="shared" ref="C29:I29" si="0">CORREL($B$3:$B$18,D3:D18)</f>
        <v>0.71440556465964278</v>
      </c>
      <c r="D29" s="4">
        <f t="shared" si="0"/>
        <v>-0.20521608983330578</v>
      </c>
      <c r="E29" s="4">
        <f t="shared" si="0"/>
        <v>-0.20253952928903413</v>
      </c>
      <c r="F29" s="4">
        <f t="shared" si="0"/>
        <v>3.4445528523921423E-2</v>
      </c>
      <c r="G29" s="4">
        <f t="shared" si="0"/>
        <v>-0.39071145643596455</v>
      </c>
      <c r="H29" s="4">
        <f t="shared" si="0"/>
        <v>0.36546529920940196</v>
      </c>
      <c r="I29" s="4">
        <f t="shared" si="0"/>
        <v>0.57525251175302872</v>
      </c>
      <c r="J29" s="4">
        <f t="shared" ref="J29:O29" si="1">CORREL($B$3:$B$18,K3:K18)</f>
        <v>0.12655909783913119</v>
      </c>
      <c r="K29" s="4">
        <f t="shared" si="1"/>
        <v>0.30569707662512491</v>
      </c>
      <c r="L29" s="27">
        <f t="shared" si="1"/>
        <v>0.94427478376391072</v>
      </c>
      <c r="M29" s="4">
        <f>CORREL($B$3:$B$18,N3:N18)</f>
        <v>-0.32741392850285828</v>
      </c>
      <c r="N29" s="4">
        <f t="shared" si="1"/>
        <v>-7.7454011041428558E-2</v>
      </c>
      <c r="O29" s="27">
        <f t="shared" si="1"/>
        <v>0.99369084844205902</v>
      </c>
      <c r="T29">
        <v>58.003163000000008</v>
      </c>
      <c r="U29">
        <v>10859.472694329999</v>
      </c>
      <c r="V29">
        <v>19853.407340080001</v>
      </c>
      <c r="W29">
        <v>450.60956256000003</v>
      </c>
      <c r="X29">
        <v>790587.78093623999</v>
      </c>
      <c r="Y29">
        <v>382.88935398070004</v>
      </c>
      <c r="Z29">
        <v>126.49146983999999</v>
      </c>
      <c r="AA29">
        <v>48101.483247299999</v>
      </c>
      <c r="AB29">
        <v>367.00088590936696</v>
      </c>
      <c r="AC29">
        <v>1532.1492235000001</v>
      </c>
      <c r="AD29">
        <v>104742.50518289</v>
      </c>
      <c r="AE29">
        <v>3469.9899083702003</v>
      </c>
      <c r="AF29">
        <v>379.48255743999999</v>
      </c>
      <c r="AG29">
        <v>2573.8699428119999</v>
      </c>
    </row>
    <row r="30" spans="1:35" x14ac:dyDescent="0.45">
      <c r="A30" s="4" t="str">
        <v>x2</v>
      </c>
      <c r="B30" s="4"/>
      <c r="C30" s="4">
        <v>1</v>
      </c>
      <c r="D30" s="4">
        <f>CORREL($D$3:$D$18,E3:E18)</f>
        <v>0.27081267815122162</v>
      </c>
      <c r="E30" s="4">
        <f>CORREL($D$3:$D$18,F3:F18)</f>
        <v>-0.56084865268147321</v>
      </c>
      <c r="F30" s="4">
        <f>CORREL($D$3:$D$18,G3:G18)</f>
        <v>0.57045437556775824</v>
      </c>
      <c r="G30" s="4">
        <f>CORREL($D$3:$D$18,H3:H18)</f>
        <v>-0.77779051688018663</v>
      </c>
      <c r="H30" s="4">
        <f t="shared" ref="H30:O30" si="2">CORREL($D$3:$D$18,I3:I18)</f>
        <v>-0.1353760114915244</v>
      </c>
      <c r="I30" s="27">
        <f t="shared" si="2"/>
        <v>0.80232540068060099</v>
      </c>
      <c r="J30" s="4">
        <f t="shared" si="2"/>
        <v>0.3800144981112808</v>
      </c>
      <c r="K30" s="4">
        <f t="shared" si="2"/>
        <v>0.34451855487335709</v>
      </c>
      <c r="L30" s="27">
        <f t="shared" si="2"/>
        <v>0.86688781839291362</v>
      </c>
      <c r="M30" s="4">
        <f t="shared" si="2"/>
        <v>0.21005593919189208</v>
      </c>
      <c r="N30" s="4">
        <f t="shared" si="2"/>
        <v>-0.30563979273202679</v>
      </c>
      <c r="O30" s="4">
        <f t="shared" si="2"/>
        <v>0.69462032395010553</v>
      </c>
      <c r="T30">
        <v>228.01</v>
      </c>
      <c r="U30">
        <v>43072.633900000001</v>
      </c>
      <c r="V30">
        <v>75675.299499999994</v>
      </c>
      <c r="W30">
        <v>1830.6127000000001</v>
      </c>
      <c r="X30">
        <v>3033833.6991999997</v>
      </c>
      <c r="Y30">
        <v>1504.037726</v>
      </c>
      <c r="Z30">
        <v>536.15739999999994</v>
      </c>
      <c r="AA30">
        <v>191090.27739999999</v>
      </c>
      <c r="AB30">
        <v>1532.1492235000001</v>
      </c>
      <c r="AC30">
        <v>7057.8068999999996</v>
      </c>
      <c r="AD30">
        <v>424734.79879999999</v>
      </c>
      <c r="AE30">
        <v>13178.312128999998</v>
      </c>
      <c r="AF30">
        <v>1585.7635</v>
      </c>
      <c r="AG30">
        <v>10789.36996</v>
      </c>
    </row>
    <row r="31" spans="1:35" x14ac:dyDescent="0.45">
      <c r="A31" s="4" t="str">
        <v>x3</v>
      </c>
      <c r="B31" s="4"/>
      <c r="C31" s="4"/>
      <c r="D31" s="4">
        <v>1</v>
      </c>
      <c r="E31" s="4">
        <f>CORREL($E$3:$E$18,F3:F18)</f>
        <v>-0.1599291534670593</v>
      </c>
      <c r="F31" s="27">
        <f>CORREL($E$3:$E$18,G3:G18)</f>
        <v>0.93427853611592349</v>
      </c>
      <c r="G31" s="4">
        <f>CORREL($E$3:$E$18,H3:H18)</f>
        <v>-0.1863380792651643</v>
      </c>
      <c r="H31" s="4">
        <f t="shared" ref="H31:O31" si="3">CORREL($E$3:$E$18,I3:I18)</f>
        <v>-0.36045869795543778</v>
      </c>
      <c r="I31" s="4">
        <f t="shared" si="3"/>
        <v>9.6079850739088049E-2</v>
      </c>
      <c r="J31" s="27">
        <f t="shared" si="3"/>
        <v>0.83665827561666262</v>
      </c>
      <c r="K31" s="4">
        <f t="shared" si="3"/>
        <v>0.58866899129826045</v>
      </c>
      <c r="L31" s="4">
        <f t="shared" si="3"/>
        <v>3.3528955101491009E-2</v>
      </c>
      <c r="M31" s="27">
        <f t="shared" si="3"/>
        <v>0.95517146213380066</v>
      </c>
      <c r="N31" s="4">
        <f t="shared" si="3"/>
        <v>-0.5282648178675996</v>
      </c>
      <c r="O31" s="4">
        <f t="shared" si="3"/>
        <v>-0.28159584506500079</v>
      </c>
      <c r="T31">
        <v>27449.340000000004</v>
      </c>
      <c r="U31">
        <v>4982381.4740000004</v>
      </c>
      <c r="V31">
        <v>6995462.0872999988</v>
      </c>
      <c r="W31">
        <v>219570.11070000002</v>
      </c>
      <c r="X31">
        <v>296487413.49760002</v>
      </c>
      <c r="Y31">
        <v>182027.70617500003</v>
      </c>
      <c r="Z31">
        <v>72358.388099999996</v>
      </c>
      <c r="AA31">
        <v>22761274.306199998</v>
      </c>
      <c r="AB31">
        <v>104742.50518289</v>
      </c>
      <c r="AC31">
        <v>424734.79879999999</v>
      </c>
      <c r="AD31">
        <v>49029793.080799997</v>
      </c>
      <c r="AE31">
        <v>1299972.5478599998</v>
      </c>
      <c r="AF31">
        <v>201191.64800000002</v>
      </c>
      <c r="AG31">
        <v>1275981.5422899998</v>
      </c>
    </row>
    <row r="32" spans="1:35" x14ac:dyDescent="0.45">
      <c r="A32" s="4" t="str">
        <v>x4</v>
      </c>
      <c r="B32" s="4"/>
      <c r="C32" s="4"/>
      <c r="D32" s="4"/>
      <c r="E32" s="4">
        <v>1</v>
      </c>
      <c r="F32" s="4">
        <f>CORREL($F$3:$F$18,G3:G18)</f>
        <v>-0.35914275835595993</v>
      </c>
      <c r="G32" s="4">
        <f t="shared" ref="G32:O32" si="4">CORREL($F$3:$F$18,H3:H18)</f>
        <v>0.46316603426970188</v>
      </c>
      <c r="H32" s="4">
        <f>CORREL($F$3:$F$18,I3:I18)</f>
        <v>0.46883897291078691</v>
      </c>
      <c r="I32" s="4">
        <f>CORREL($F$3:$F$18,J3:J18)</f>
        <v>-0.1582282328790125</v>
      </c>
      <c r="J32" s="4">
        <f t="shared" si="4"/>
        <v>-0.16322052311008281</v>
      </c>
      <c r="K32" s="4">
        <f t="shared" si="4"/>
        <v>-5.5291025076771576E-2</v>
      </c>
      <c r="L32" s="4">
        <f t="shared" si="4"/>
        <v>-0.34047907289757051</v>
      </c>
      <c r="M32" s="4">
        <f t="shared" si="4"/>
        <v>-0.1074100417643339</v>
      </c>
      <c r="N32" s="4">
        <f t="shared" si="4"/>
        <v>0.45235311362202346</v>
      </c>
      <c r="O32" s="4">
        <f t="shared" si="4"/>
        <v>-0.23097262586403089</v>
      </c>
      <c r="T32">
        <v>763.00120000000015</v>
      </c>
      <c r="U32">
        <v>135849.18597400002</v>
      </c>
      <c r="V32">
        <v>229205.816876</v>
      </c>
      <c r="W32">
        <v>6167.9010909999997</v>
      </c>
      <c r="X32">
        <v>9217353.2094689999</v>
      </c>
      <c r="Y32">
        <v>5060.1180548700004</v>
      </c>
      <c r="Z32">
        <v>1754.6378239999999</v>
      </c>
      <c r="AA32">
        <v>627125.89958600001</v>
      </c>
      <c r="AB32">
        <v>3469.9899083702003</v>
      </c>
      <c r="AC32">
        <v>13178.312128999998</v>
      </c>
      <c r="AD32">
        <v>1299972.5478599998</v>
      </c>
      <c r="AE32">
        <v>42131.652418179998</v>
      </c>
      <c r="AF32">
        <v>5322.5232470000001</v>
      </c>
      <c r="AG32">
        <v>31819.375481400002</v>
      </c>
    </row>
    <row r="33" spans="1:33" x14ac:dyDescent="0.45">
      <c r="A33" s="4" t="str">
        <v>x5</v>
      </c>
      <c r="B33" s="4"/>
      <c r="C33" s="4"/>
      <c r="D33" s="4"/>
      <c r="E33" s="4"/>
      <c r="F33" s="4">
        <v>1</v>
      </c>
      <c r="G33" s="4">
        <f>CORREL($G$3:$G$18,H3:H18)</f>
        <v>-0.4699834744261388</v>
      </c>
      <c r="H33" s="4">
        <f t="shared" ref="H33:O33" si="5">CORREL($G$3:$G$18,I3:I18)</f>
        <v>-0.43392467171675164</v>
      </c>
      <c r="I33" s="4">
        <f t="shared" si="5"/>
        <v>0.34222843447181001</v>
      </c>
      <c r="J33" s="27">
        <f t="shared" si="5"/>
        <v>0.82265181409673671</v>
      </c>
      <c r="K33" s="4">
        <f t="shared" si="5"/>
        <v>0.58704566110223588</v>
      </c>
      <c r="L33" s="4">
        <f t="shared" si="5"/>
        <v>0.29112032632949975</v>
      </c>
      <c r="M33" s="27">
        <f t="shared" si="5"/>
        <v>0.8895655925649828</v>
      </c>
      <c r="N33" s="4">
        <f t="shared" si="5"/>
        <v>-0.50281162345217789</v>
      </c>
      <c r="O33" s="4">
        <f t="shared" si="5"/>
        <v>-3.6321647535001805E-2</v>
      </c>
      <c r="T33">
        <v>120.36999999999999</v>
      </c>
      <c r="U33">
        <v>20407.864100000003</v>
      </c>
      <c r="V33">
        <v>26936.115699999998</v>
      </c>
      <c r="W33">
        <v>1071.3249999999998</v>
      </c>
      <c r="X33">
        <v>1146085.5798999998</v>
      </c>
      <c r="Y33">
        <v>805.073804</v>
      </c>
      <c r="Z33">
        <v>322.9486</v>
      </c>
      <c r="AA33">
        <v>97848.720199999982</v>
      </c>
      <c r="AB33">
        <v>379.48255743999999</v>
      </c>
      <c r="AC33">
        <v>1585.7635</v>
      </c>
      <c r="AD33">
        <v>201191.64800000002</v>
      </c>
      <c r="AE33">
        <v>5322.5232470000001</v>
      </c>
      <c r="AF33">
        <v>1104.3113000000001</v>
      </c>
      <c r="AG33">
        <v>5224.6510900000012</v>
      </c>
    </row>
    <row r="34" spans="1:33" x14ac:dyDescent="0.45">
      <c r="A34" s="4" t="str">
        <v>x6</v>
      </c>
      <c r="B34" s="4"/>
      <c r="C34" s="4"/>
      <c r="D34" s="4"/>
      <c r="E34" s="4"/>
      <c r="F34" s="4"/>
      <c r="G34" s="4">
        <v>1</v>
      </c>
      <c r="H34" s="4">
        <f>CORREL($H$3:$H$18,I3:I18)</f>
        <v>0.47706569967522722</v>
      </c>
      <c r="I34" s="4">
        <f>CORREL($H$3:$H$18,J3:J18)</f>
        <v>-0.74655283514861004</v>
      </c>
      <c r="J34" s="4">
        <f t="shared" ref="J34:N34" si="6">CORREL($H$3:$H$18,K3:K18)</f>
        <v>-0.20185618007872064</v>
      </c>
      <c r="K34" s="4">
        <f t="shared" si="6"/>
        <v>-0.17116638627868286</v>
      </c>
      <c r="L34" s="4">
        <f t="shared" si="6"/>
        <v>-0.51725076986567298</v>
      </c>
      <c r="M34" s="4">
        <f t="shared" si="6"/>
        <v>-0.26143216014687287</v>
      </c>
      <c r="N34" s="4">
        <f t="shared" si="6"/>
        <v>5.4723523429994196E-2</v>
      </c>
      <c r="O34" s="4">
        <f>CORREL($H$3:$H$18,P3:P18)</f>
        <v>-0.38950162130270255</v>
      </c>
      <c r="T34">
        <v>702.327</v>
      </c>
      <c r="U34">
        <v>128586.65376000002</v>
      </c>
      <c r="V34">
        <v>170825.25837</v>
      </c>
      <c r="W34">
        <v>5610.4119099999998</v>
      </c>
      <c r="X34">
        <v>7371063.9479499999</v>
      </c>
      <c r="Y34">
        <v>4652.1436714000001</v>
      </c>
      <c r="Z34">
        <v>1942.6870600000002</v>
      </c>
      <c r="AA34">
        <v>584327.71016000002</v>
      </c>
      <c r="AB34">
        <v>2573.8699428119999</v>
      </c>
      <c r="AC34">
        <v>10789.36996</v>
      </c>
      <c r="AD34">
        <v>1275981.5422899998</v>
      </c>
      <c r="AE34">
        <v>31819.375481400002</v>
      </c>
      <c r="AF34">
        <v>5224.6510900000012</v>
      </c>
      <c r="AG34">
        <v>33861.113648999999</v>
      </c>
    </row>
    <row r="35" spans="1:33" x14ac:dyDescent="0.45">
      <c r="A35" s="4" t="str">
        <v>x7</v>
      </c>
      <c r="B35" s="4"/>
      <c r="C35" s="4"/>
      <c r="D35" s="4"/>
      <c r="E35" s="4"/>
      <c r="F35" s="4"/>
      <c r="G35" s="4"/>
      <c r="H35" s="4">
        <v>1</v>
      </c>
      <c r="I35" s="4">
        <f>CORREL($I$3:$I$18,J3:J18)</f>
        <v>-4.5834724898441648E-2</v>
      </c>
      <c r="J35" s="4">
        <f t="shared" ref="J35:O35" si="7">CORREL($I$3:$I$18,K3:K18)</f>
        <v>-0.28289419081846384</v>
      </c>
      <c r="K35" s="4">
        <f t="shared" si="7"/>
        <v>-0.1291368759739957</v>
      </c>
      <c r="L35" s="4">
        <f t="shared" si="7"/>
        <v>0.16907958900628484</v>
      </c>
      <c r="M35" s="4">
        <f t="shared" si="7"/>
        <v>-0.43157906588787848</v>
      </c>
      <c r="N35" s="4">
        <f t="shared" si="7"/>
        <v>0.13445460815755128</v>
      </c>
      <c r="O35" s="4">
        <f t="shared" si="7"/>
        <v>0.36296515914515715</v>
      </c>
    </row>
    <row r="36" spans="1:33" x14ac:dyDescent="0.45">
      <c r="A36" s="4" t="str">
        <v>x8</v>
      </c>
      <c r="B36" s="4"/>
      <c r="C36" s="4"/>
      <c r="D36" s="4"/>
      <c r="E36" s="4"/>
      <c r="F36" s="4"/>
      <c r="G36" s="4"/>
      <c r="H36" s="4"/>
      <c r="I36" s="4">
        <v>1</v>
      </c>
      <c r="J36" s="4">
        <f>CORREL($J$3:$J$18,K3:K18)</f>
        <v>0.16656125735348074</v>
      </c>
      <c r="K36" s="4">
        <f t="shared" ref="K36:O36" si="8">CORREL($J$3:$J$18,L3:L18)</f>
        <v>0.2272186507014094</v>
      </c>
      <c r="L36" s="4">
        <f>CORREL($J$3:$J$18,M3:M18)</f>
        <v>0.70420527834278746</v>
      </c>
      <c r="M36" s="4">
        <f t="shared" si="8"/>
        <v>0.14615651965421109</v>
      </c>
      <c r="N36" s="4">
        <f t="shared" si="8"/>
        <v>-9.9940464219099939E-2</v>
      </c>
      <c r="O36" s="4">
        <f t="shared" si="8"/>
        <v>0.55854560916002927</v>
      </c>
    </row>
    <row r="37" spans="1:33" x14ac:dyDescent="0.45">
      <c r="A37" s="4" t="str">
        <v>x9</v>
      </c>
      <c r="B37" s="4"/>
      <c r="C37" s="4"/>
      <c r="D37" s="4"/>
      <c r="E37" s="4"/>
      <c r="F37" s="4"/>
      <c r="G37" s="4"/>
      <c r="H37" s="4"/>
      <c r="I37" s="4"/>
      <c r="J37" s="4">
        <v>1</v>
      </c>
      <c r="K37" s="27">
        <f>CORREL($K$3:$K$18,L3:L18)</f>
        <v>0.91324510649781654</v>
      </c>
      <c r="L37" s="4">
        <f t="shared" ref="L37:O37" si="9">CORREL($K$3:$K$18,M3:M18)</f>
        <v>0.3002631355000524</v>
      </c>
      <c r="M37" s="4">
        <f t="shared" si="9"/>
        <v>0.74181002175919564</v>
      </c>
      <c r="N37" s="4">
        <f t="shared" si="9"/>
        <v>-0.32229145243079366</v>
      </c>
      <c r="O37" s="4">
        <f t="shared" si="9"/>
        <v>4.0320744947569376E-2</v>
      </c>
      <c r="S37" t="s">
        <v>92</v>
      </c>
      <c r="T37" cm="1">
        <f t="array" ref="T37:AG50">MINVERSE(_xlfn.ANCHORARRAY(T21))</f>
        <v>1179.3304555327827</v>
      </c>
      <c r="U37">
        <v>-3.3214497682898538</v>
      </c>
      <c r="V37">
        <v>1.3416816767662647</v>
      </c>
      <c r="W37">
        <v>-13.000362492176826</v>
      </c>
      <c r="X37">
        <v>-4.8195334962079801E-3</v>
      </c>
      <c r="Y37">
        <v>-165.29734697968215</v>
      </c>
      <c r="Z37">
        <v>24.40784530302771</v>
      </c>
      <c r="AA37">
        <v>-6.1730533349920215E-2</v>
      </c>
      <c r="AB37">
        <v>-27.986842914129884</v>
      </c>
      <c r="AC37">
        <v>2.5871677639810473</v>
      </c>
      <c r="AD37">
        <v>0.63472751727508225</v>
      </c>
      <c r="AE37">
        <v>-5.539473075768977</v>
      </c>
      <c r="AF37">
        <v>10.939731452262146</v>
      </c>
      <c r="AG37">
        <v>-12.136186983450692</v>
      </c>
    </row>
    <row r="38" spans="1:33" x14ac:dyDescent="0.45">
      <c r="A38" s="4" t="str">
        <v>x10</v>
      </c>
      <c r="B38" s="4"/>
      <c r="C38" s="4"/>
      <c r="D38" s="4"/>
      <c r="E38" s="4"/>
      <c r="F38" s="4"/>
      <c r="G38" s="4"/>
      <c r="H38" s="4"/>
      <c r="I38" s="4"/>
      <c r="J38" s="4"/>
      <c r="K38" s="4">
        <v>1</v>
      </c>
      <c r="L38" s="4">
        <f>CORREL($L$3:$L$18,M3:M18)</f>
        <v>0.39066879369402419</v>
      </c>
      <c r="M38" s="4">
        <f t="shared" ref="M38:O38" si="10">CORREL($L$3:$L$18,N3:N18)</f>
        <v>0.49274662527404356</v>
      </c>
      <c r="N38" s="4">
        <f>CORREL($L$3:$L$18,O3:O18)</f>
        <v>-0.14894206198443335</v>
      </c>
      <c r="O38" s="4">
        <f t="shared" si="10"/>
        <v>0.22975730919278123</v>
      </c>
      <c r="T38">
        <v>-3.3214497682752744</v>
      </c>
      <c r="U38">
        <v>3.3894080847917701E-2</v>
      </c>
      <c r="V38">
        <v>-1.5893131979691087E-2</v>
      </c>
      <c r="W38">
        <v>0.15581011522611241</v>
      </c>
      <c r="X38">
        <v>8.3661846117247891E-5</v>
      </c>
      <c r="Y38">
        <v>0.76883193837455299</v>
      </c>
      <c r="Z38">
        <v>-9.4413886545151898E-2</v>
      </c>
      <c r="AA38">
        <v>-3.6290143032981659E-3</v>
      </c>
      <c r="AB38">
        <v>0.18460459167596793</v>
      </c>
      <c r="AC38">
        <v>-3.1224241251693232E-3</v>
      </c>
      <c r="AD38">
        <v>-3.7599518063053334E-3</v>
      </c>
      <c r="AE38">
        <v>4.840095384329364E-2</v>
      </c>
      <c r="AF38">
        <v>-0.13651126854757692</v>
      </c>
      <c r="AG38">
        <v>4.2971686814718857E-2</v>
      </c>
    </row>
    <row r="39" spans="1:33" x14ac:dyDescent="0.45">
      <c r="A39" s="4" t="str">
        <v>x11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>
        <v>1</v>
      </c>
      <c r="M39" s="4">
        <f>CORREL($M$3:$M$18,N3:N18)</f>
        <v>-8.5472531763906595E-2</v>
      </c>
      <c r="N39" s="4">
        <f>CORREL($M$3:$M$18,O3:O18)</f>
        <v>-0.27070927023375985</v>
      </c>
      <c r="O39" s="27">
        <f t="shared" ref="O39" si="11">CORREL($M$3:$M$18,P3:P18)</f>
        <v>0.92721814303968186</v>
      </c>
      <c r="T39">
        <v>1.3416816767567525</v>
      </c>
      <c r="U39">
        <v>-1.5893131979676008E-2</v>
      </c>
      <c r="V39">
        <v>1.0377964470970714E-2</v>
      </c>
      <c r="W39">
        <v>-8.3632787876164114E-2</v>
      </c>
      <c r="X39">
        <v>-8.8440394845323213E-5</v>
      </c>
      <c r="Y39">
        <v>-0.38285064351069653</v>
      </c>
      <c r="Z39">
        <v>3.3538874045810227E-2</v>
      </c>
      <c r="AA39">
        <v>1.8044476288165733E-3</v>
      </c>
      <c r="AB39">
        <v>-0.12041345974555651</v>
      </c>
      <c r="AC39">
        <v>3.0117661535718158E-3</v>
      </c>
      <c r="AD39">
        <v>2.0006458901636716E-3</v>
      </c>
      <c r="AE39">
        <v>-2.6788536274949953E-2</v>
      </c>
      <c r="AF39">
        <v>8.1120245390447029E-2</v>
      </c>
      <c r="AG39">
        <v>-2.1724363796693839E-2</v>
      </c>
    </row>
    <row r="40" spans="1:33" x14ac:dyDescent="0.45">
      <c r="A40" s="4" t="str">
        <v>x12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>
        <v>1</v>
      </c>
      <c r="N40" s="4">
        <f>CORREL($N$3:$N$18,O3:O18)</f>
        <v>-0.39079896067425451</v>
      </c>
      <c r="O40" s="4">
        <f>CORREL($N$3:$N$18,P3:P18)</f>
        <v>-0.40078439997164034</v>
      </c>
      <c r="T40">
        <v>-13.000362492097967</v>
      </c>
      <c r="U40">
        <v>0.15581011522603289</v>
      </c>
      <c r="V40">
        <v>-8.3632787876193507E-2</v>
      </c>
      <c r="W40">
        <v>0.7732915908752096</v>
      </c>
      <c r="X40">
        <v>5.7427812268050519E-4</v>
      </c>
      <c r="Y40">
        <v>3.450744788562444</v>
      </c>
      <c r="Z40">
        <v>-0.38579491470565569</v>
      </c>
      <c r="AA40">
        <v>-1.7960766045268389E-2</v>
      </c>
      <c r="AB40">
        <v>0.93874811133543867</v>
      </c>
      <c r="AC40">
        <v>-1.509303472596478E-2</v>
      </c>
      <c r="AD40">
        <v>-1.7613723065378107E-2</v>
      </c>
      <c r="AE40">
        <v>0.23362994110739238</v>
      </c>
      <c r="AF40">
        <v>-0.69510143247636258</v>
      </c>
      <c r="AG40">
        <v>0.18961813534685643</v>
      </c>
    </row>
    <row r="41" spans="1:33" x14ac:dyDescent="0.45">
      <c r="A41" s="4" t="str">
        <v>x13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>
        <v>1</v>
      </c>
      <c r="O41" s="4">
        <f>CORREL($O$3:$O$18,P3:P18)</f>
        <v>-7.6056012501644718E-2</v>
      </c>
      <c r="T41">
        <v>-4.8195334961287604E-3</v>
      </c>
      <c r="U41">
        <v>8.3661846117005762E-5</v>
      </c>
      <c r="V41">
        <v>-8.8440394845248105E-5</v>
      </c>
      <c r="W41">
        <v>5.7427812267962981E-4</v>
      </c>
      <c r="X41">
        <v>1.1451015357348371E-6</v>
      </c>
      <c r="Y41">
        <v>2.3399689209192063E-3</v>
      </c>
      <c r="Z41">
        <v>-4.311214973666504E-5</v>
      </c>
      <c r="AA41">
        <v>-1.1365713066604123E-5</v>
      </c>
      <c r="AB41">
        <v>8.7250055624579987E-4</v>
      </c>
      <c r="AC41">
        <v>-1.3966944270508588E-5</v>
      </c>
      <c r="AD41">
        <v>-1.2976259733385264E-5</v>
      </c>
      <c r="AE41">
        <v>1.7495440814481133E-4</v>
      </c>
      <c r="AF41">
        <v>-6.1839635536365756E-4</v>
      </c>
      <c r="AG41">
        <v>1.1925180914693666E-4</v>
      </c>
    </row>
    <row r="42" spans="1:33" x14ac:dyDescent="0.45">
      <c r="A42" s="4" t="str">
        <v>x14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>
        <v>1</v>
      </c>
      <c r="T42">
        <v>-165.29734697946455</v>
      </c>
      <c r="U42">
        <v>0.76883193837591179</v>
      </c>
      <c r="V42">
        <v>-0.38285064351180742</v>
      </c>
      <c r="W42">
        <v>3.4507447885709914</v>
      </c>
      <c r="X42">
        <v>2.3399689209301793E-3</v>
      </c>
      <c r="Y42">
        <v>27.739223731533965</v>
      </c>
      <c r="Z42">
        <v>-3.6570026348032991</v>
      </c>
      <c r="AA42">
        <v>-3.8827107601867819E-2</v>
      </c>
      <c r="AB42">
        <v>5.7512443968202298</v>
      </c>
      <c r="AC42">
        <v>-0.33728523503249869</v>
      </c>
      <c r="AD42">
        <v>-0.11862365664518859</v>
      </c>
      <c r="AE42">
        <v>1.2455145572028936</v>
      </c>
      <c r="AF42">
        <v>-3.1054780420759176</v>
      </c>
      <c r="AG42">
        <v>1.8770869990968564</v>
      </c>
    </row>
    <row r="43" spans="1:33" x14ac:dyDescent="0.45">
      <c r="T43">
        <v>24.407845303016728</v>
      </c>
      <c r="U43">
        <v>-9.4413886545433034E-2</v>
      </c>
      <c r="V43">
        <v>3.3538874046004058E-2</v>
      </c>
      <c r="W43">
        <v>-0.38579491470723382</v>
      </c>
      <c r="X43">
        <v>-4.3112149738364906E-5</v>
      </c>
      <c r="Y43">
        <v>-3.6570026348064544</v>
      </c>
      <c r="Z43">
        <v>0.61825314572115964</v>
      </c>
      <c r="AA43">
        <v>2.7512096430829702E-3</v>
      </c>
      <c r="AB43">
        <v>-0.6301999880966368</v>
      </c>
      <c r="AC43">
        <v>4.9045437311588676E-2</v>
      </c>
      <c r="AD43">
        <v>1.4971434733615554E-2</v>
      </c>
      <c r="AE43">
        <v>-0.14168664668479194</v>
      </c>
      <c r="AF43">
        <v>0.30598440100223079</v>
      </c>
      <c r="AG43">
        <v>-0.27008591533971144</v>
      </c>
    </row>
    <row r="44" spans="1:33" x14ac:dyDescent="0.45">
      <c r="T44">
        <v>-6.1730533352291818E-2</v>
      </c>
      <c r="U44">
        <v>-3.6290143032902031E-3</v>
      </c>
      <c r="V44">
        <v>1.8044476288138808E-3</v>
      </c>
      <c r="W44">
        <v>-1.7960766045238441E-2</v>
      </c>
      <c r="X44">
        <v>-1.1365713066601119E-5</v>
      </c>
      <c r="Y44">
        <v>-3.8827107601528639E-2</v>
      </c>
      <c r="Z44">
        <v>2.7512096430311332E-3</v>
      </c>
      <c r="AA44">
        <v>6.7215938006565177E-4</v>
      </c>
      <c r="AB44">
        <v>-9.0507154313221403E-3</v>
      </c>
      <c r="AC44">
        <v>-1.4694303072309775E-3</v>
      </c>
      <c r="AD44">
        <v>2.1860817218649942E-4</v>
      </c>
      <c r="AE44">
        <v>-4.9749021938867996E-3</v>
      </c>
      <c r="AF44">
        <v>1.5231341108335298E-2</v>
      </c>
      <c r="AG44">
        <v>2.2887363495247435E-4</v>
      </c>
    </row>
    <row r="45" spans="1:33" x14ac:dyDescent="0.45">
      <c r="T45">
        <v>-27.986842914045305</v>
      </c>
      <c r="U45">
        <v>0.18460459167605067</v>
      </c>
      <c r="V45">
        <v>-0.12041345974569374</v>
      </c>
      <c r="W45">
        <v>0.93874811133633385</v>
      </c>
      <c r="X45">
        <v>8.7250055624757698E-4</v>
      </c>
      <c r="Y45">
        <v>5.7512443968135214</v>
      </c>
      <c r="Z45">
        <v>-0.63019998809508571</v>
      </c>
      <c r="AA45">
        <v>-9.050715431381199E-3</v>
      </c>
      <c r="AB45">
        <v>2.2574274884969552</v>
      </c>
      <c r="AC45">
        <v>-0.15766413749800573</v>
      </c>
      <c r="AD45">
        <v>-3.1757149857849012E-2</v>
      </c>
      <c r="AE45">
        <v>0.32309390195456117</v>
      </c>
      <c r="AF45">
        <v>-0.96118353809520607</v>
      </c>
      <c r="AG45">
        <v>0.46367729276421288</v>
      </c>
    </row>
    <row r="46" spans="1:33" x14ac:dyDescent="0.45">
      <c r="T46">
        <v>2.5871677639826478</v>
      </c>
      <c r="U46">
        <v>-3.1224241252062056E-3</v>
      </c>
      <c r="V46">
        <v>3.0117661535937596E-3</v>
      </c>
      <c r="W46">
        <v>-1.5093034726153979E-2</v>
      </c>
      <c r="X46">
        <v>-1.3966944270674766E-5</v>
      </c>
      <c r="Y46">
        <v>-0.33728523503319213</v>
      </c>
      <c r="Z46">
        <v>4.9045437311648704E-2</v>
      </c>
      <c r="AA46">
        <v>-1.469430307225875E-3</v>
      </c>
      <c r="AB46">
        <v>-0.15766413749822547</v>
      </c>
      <c r="AC46">
        <v>1.9854678277680414E-2</v>
      </c>
      <c r="AD46">
        <v>1.8282484380328819E-3</v>
      </c>
      <c r="AE46">
        <v>-9.7332636027374284E-3</v>
      </c>
      <c r="AF46">
        <v>2.2520012064484295E-2</v>
      </c>
      <c r="AG46">
        <v>-4.0138087881646772E-2</v>
      </c>
    </row>
    <row r="47" spans="1:33" x14ac:dyDescent="0.45">
      <c r="T47">
        <v>0.63472751727371868</v>
      </c>
      <c r="U47">
        <v>-3.7599518063091749E-3</v>
      </c>
      <c r="V47">
        <v>2.0006458901675431E-3</v>
      </c>
      <c r="W47">
        <v>-1.7613723065406189E-2</v>
      </c>
      <c r="X47">
        <v>-1.2976259733428069E-5</v>
      </c>
      <c r="Y47">
        <v>-0.1186236566451182</v>
      </c>
      <c r="Z47">
        <v>1.49714347335923E-2</v>
      </c>
      <c r="AA47">
        <v>2.1860817218786533E-4</v>
      </c>
      <c r="AB47">
        <v>-3.1757149857863244E-2</v>
      </c>
      <c r="AC47">
        <v>1.8282484380289991E-3</v>
      </c>
      <c r="AD47">
        <v>5.8771500380153672E-4</v>
      </c>
      <c r="AE47">
        <v>-6.0093582924244807E-3</v>
      </c>
      <c r="AF47">
        <v>1.6593027689955304E-2</v>
      </c>
      <c r="AG47">
        <v>-8.7990867753657259E-3</v>
      </c>
    </row>
    <row r="48" spans="1:33" x14ac:dyDescent="0.45">
      <c r="T48">
        <v>-5.5394730757450601</v>
      </c>
      <c r="U48">
        <v>4.8400953843284161E-2</v>
      </c>
      <c r="V48">
        <v>-2.6788536274968498E-2</v>
      </c>
      <c r="W48">
        <v>0.23362994110747218</v>
      </c>
      <c r="X48">
        <v>1.7495440814515546E-4</v>
      </c>
      <c r="Y48">
        <v>1.2455145572005224</v>
      </c>
      <c r="Z48">
        <v>-0.14168664668432523</v>
      </c>
      <c r="AA48">
        <v>-4.9749021938982263E-3</v>
      </c>
      <c r="AB48">
        <v>0.32309390195437904</v>
      </c>
      <c r="AC48">
        <v>-9.7332636026789595E-3</v>
      </c>
      <c r="AD48">
        <v>-6.0093582924173796E-3</v>
      </c>
      <c r="AE48">
        <v>8.0211425888116777E-2</v>
      </c>
      <c r="AF48">
        <v>-0.21624325620282014</v>
      </c>
      <c r="AG48">
        <v>7.5286328154828858E-2</v>
      </c>
    </row>
    <row r="49" spans="18:35" x14ac:dyDescent="0.45">
      <c r="T49">
        <v>10.939731452186594</v>
      </c>
      <c r="U49">
        <v>-0.13651126854747414</v>
      </c>
      <c r="V49">
        <v>8.1120245390457729E-2</v>
      </c>
      <c r="W49">
        <v>-0.69510143247621869</v>
      </c>
      <c r="X49">
        <v>-6.1839635536434343E-4</v>
      </c>
      <c r="Y49">
        <v>-3.1054780420673485</v>
      </c>
      <c r="Z49">
        <v>0.3059844010007034</v>
      </c>
      <c r="AA49">
        <v>1.523134110835961E-2</v>
      </c>
      <c r="AB49">
        <v>-0.96118353809419621</v>
      </c>
      <c r="AC49">
        <v>2.2520012064306174E-2</v>
      </c>
      <c r="AD49">
        <v>1.6593027689926015E-2</v>
      </c>
      <c r="AE49">
        <v>-0.21624325620270016</v>
      </c>
      <c r="AF49">
        <v>0.66379383358100985</v>
      </c>
      <c r="AG49">
        <v>-0.18030295284319356</v>
      </c>
    </row>
    <row r="50" spans="18:35" x14ac:dyDescent="0.45">
      <c r="T50">
        <v>-12.136186983442938</v>
      </c>
      <c r="U50">
        <v>4.2971686814846026E-2</v>
      </c>
      <c r="V50">
        <v>-2.1724363796783826E-2</v>
      </c>
      <c r="W50">
        <v>0.18961813534758357</v>
      </c>
      <c r="X50">
        <v>1.1925180914774082E-4</v>
      </c>
      <c r="Y50">
        <v>1.8770869990980148</v>
      </c>
      <c r="Z50">
        <v>-0.27008591533965992</v>
      </c>
      <c r="AA50">
        <v>2.2887363492760476E-4</v>
      </c>
      <c r="AB50">
        <v>0.46367729276489772</v>
      </c>
      <c r="AC50">
        <v>-4.0138087881612841E-2</v>
      </c>
      <c r="AD50">
        <v>-8.7990867753755444E-3</v>
      </c>
      <c r="AE50">
        <v>7.5286328155040522E-2</v>
      </c>
      <c r="AF50">
        <v>-0.18030295284390199</v>
      </c>
      <c r="AG50">
        <v>0.1606336036272194</v>
      </c>
    </row>
    <row r="53" spans="18:35" x14ac:dyDescent="0.45">
      <c r="R53" t="s">
        <v>93</v>
      </c>
      <c r="T53" cm="1">
        <f t="array" ref="T53:AI66">MMULT(_xlfn.ANCHORARRAY(T37),_xlfn.ANCHORARRAY(T4))</f>
        <v>-7.1756372074527235</v>
      </c>
      <c r="U53">
        <v>-0.22903796086791317</v>
      </c>
      <c r="V53">
        <v>-1.6390412426292755</v>
      </c>
      <c r="W53">
        <v>14.918924322815599</v>
      </c>
      <c r="X53">
        <v>0.99753002716443007</v>
      </c>
      <c r="Y53">
        <v>10.079737892331309</v>
      </c>
      <c r="Z53">
        <v>1.8161928956362772</v>
      </c>
      <c r="AA53">
        <v>-19.229633437474035</v>
      </c>
      <c r="AB53">
        <v>4.7702829181166635</v>
      </c>
      <c r="AC53">
        <v>1.3072509780952259</v>
      </c>
      <c r="AD53">
        <v>-6.7532458608177421</v>
      </c>
      <c r="AE53">
        <v>4.4030346389276929</v>
      </c>
      <c r="AF53">
        <v>-15.60852442393724</v>
      </c>
      <c r="AG53">
        <v>8.2260075002795361</v>
      </c>
      <c r="AH53">
        <v>5.1091189246416775</v>
      </c>
      <c r="AI53">
        <v>7.0400350556383273E-3</v>
      </c>
    </row>
    <row r="54" spans="18:35" x14ac:dyDescent="0.45">
      <c r="T54">
        <v>7.1344959008908582E-2</v>
      </c>
      <c r="U54">
        <v>-3.8283760763166974E-2</v>
      </c>
      <c r="V54">
        <v>5.3033917001397146E-3</v>
      </c>
      <c r="W54">
        <v>-5.0794032820963952E-2</v>
      </c>
      <c r="X54">
        <v>-2.2699899190645301E-2</v>
      </c>
      <c r="Y54">
        <v>-5.822124821519159E-2</v>
      </c>
      <c r="Z54">
        <v>6.1381544847123326E-2</v>
      </c>
      <c r="AA54">
        <v>5.6850433160553049E-2</v>
      </c>
      <c r="AB54">
        <v>-1.8677514413688145E-2</v>
      </c>
      <c r="AC54">
        <v>3.9947269410554709E-2</v>
      </c>
      <c r="AD54">
        <v>-8.8321176809563529E-2</v>
      </c>
      <c r="AE54">
        <v>1.905700397207144E-2</v>
      </c>
      <c r="AF54">
        <v>5.605278573441419E-2</v>
      </c>
      <c r="AG54">
        <v>-1.8098345985539055E-2</v>
      </c>
      <c r="AH54">
        <v>-1.5711496317579066E-2</v>
      </c>
      <c r="AI54">
        <v>8.700866828315057E-4</v>
      </c>
    </row>
    <row r="55" spans="18:35" x14ac:dyDescent="0.45">
      <c r="T55">
        <v>-5.3926941721400112E-2</v>
      </c>
      <c r="U55">
        <v>3.2246697384398226E-2</v>
      </c>
      <c r="V55">
        <v>5.9773412104986434E-3</v>
      </c>
      <c r="W55">
        <v>1.2270874218409888E-2</v>
      </c>
      <c r="X55">
        <v>5.006696517562137E-3</v>
      </c>
      <c r="Y55">
        <v>2.3064447907843011E-2</v>
      </c>
      <c r="Z55">
        <v>-1.4790286194839686E-2</v>
      </c>
      <c r="AA55">
        <v>-3.006013340559055E-2</v>
      </c>
      <c r="AB55">
        <v>9.883165042315345E-3</v>
      </c>
      <c r="AC55">
        <v>-1.8223379831565356E-2</v>
      </c>
      <c r="AD55">
        <v>4.5915099354532307E-2</v>
      </c>
      <c r="AE55">
        <v>-1.2806576570179917E-2</v>
      </c>
      <c r="AF55">
        <v>-1.3653327438991503E-2</v>
      </c>
      <c r="AG55">
        <v>3.1760776418698677E-2</v>
      </c>
      <c r="AH55">
        <v>-2.5655716990049426E-2</v>
      </c>
      <c r="AI55">
        <v>2.9912640981848426E-3</v>
      </c>
    </row>
    <row r="56" spans="18:35" x14ac:dyDescent="0.45">
      <c r="T56">
        <v>0.37414607276140099</v>
      </c>
      <c r="U56">
        <v>-0.16705717843815115</v>
      </c>
      <c r="V56">
        <v>4.5318880047302557E-3</v>
      </c>
      <c r="W56">
        <v>-0.20183961546538676</v>
      </c>
      <c r="X56">
        <v>-0.10785485767562264</v>
      </c>
      <c r="Y56">
        <v>-0.25540645407638607</v>
      </c>
      <c r="Z56">
        <v>0.2464309782331533</v>
      </c>
      <c r="AA56">
        <v>0.2683456634823056</v>
      </c>
      <c r="AB56">
        <v>-0.1450096837932966</v>
      </c>
      <c r="AC56">
        <v>0.23804470444424908</v>
      </c>
      <c r="AD56">
        <v>-0.45382169601759337</v>
      </c>
      <c r="AE56">
        <v>0.13120345936028777</v>
      </c>
      <c r="AF56">
        <v>0.15149868788278287</v>
      </c>
      <c r="AG56">
        <v>-0.1544683134516438</v>
      </c>
      <c r="AH56">
        <v>8.4735573861089541E-2</v>
      </c>
      <c r="AI56">
        <v>-1.3479229110821223E-2</v>
      </c>
    </row>
    <row r="57" spans="18:35" x14ac:dyDescent="0.45">
      <c r="T57">
        <v>5.1223067569728959E-4</v>
      </c>
      <c r="U57">
        <v>-2.3517902248044835E-4</v>
      </c>
      <c r="V57">
        <v>-1.9318814541689202E-4</v>
      </c>
      <c r="W57">
        <v>2.9984113050569167E-5</v>
      </c>
      <c r="X57">
        <v>-4.88584070153621E-5</v>
      </c>
      <c r="Y57">
        <v>-1.8085160565105892E-4</v>
      </c>
      <c r="Z57">
        <v>-5.1578390887526381E-5</v>
      </c>
      <c r="AA57">
        <v>2.6012966355502647E-4</v>
      </c>
      <c r="AB57">
        <v>-2.5135426229972238E-5</v>
      </c>
      <c r="AC57">
        <v>-3.3193835062861679E-5</v>
      </c>
      <c r="AD57">
        <v>-2.5830030997245259E-4</v>
      </c>
      <c r="AE57">
        <v>3.1460508792226574E-4</v>
      </c>
      <c r="AF57">
        <v>-1.5943364395743041E-4</v>
      </c>
      <c r="AG57">
        <v>-4.0509310930589336E-4</v>
      </c>
      <c r="AH57">
        <v>5.6445816914202362E-4</v>
      </c>
      <c r="AI57">
        <v>-9.0595813383628418E-5</v>
      </c>
    </row>
    <row r="58" spans="18:35" x14ac:dyDescent="0.45">
      <c r="T58">
        <v>2.0478515333723522</v>
      </c>
      <c r="U58">
        <v>-0.65828117638761796</v>
      </c>
      <c r="V58">
        <v>0.27082593734063209</v>
      </c>
      <c r="W58">
        <v>-1.9974630789810845</v>
      </c>
      <c r="X58">
        <v>-0.33715668805514554</v>
      </c>
      <c r="Y58">
        <v>-1.7628658167040783</v>
      </c>
      <c r="Z58">
        <v>0.21473121989389199</v>
      </c>
      <c r="AA58">
        <v>2.8196551199959998</v>
      </c>
      <c r="AB58">
        <v>-0.83680114135851369</v>
      </c>
      <c r="AC58">
        <v>0.19494263368241604</v>
      </c>
      <c r="AD58">
        <v>-0.38878478720658904</v>
      </c>
      <c r="AE58">
        <v>-1.0699716801426007E-2</v>
      </c>
      <c r="AF58">
        <v>2.2051345251414602</v>
      </c>
      <c r="AG58">
        <v>-1.414903749543015</v>
      </c>
      <c r="AH58">
        <v>-0.26543290855430257</v>
      </c>
      <c r="AI58">
        <v>-8.0751905813372105E-2</v>
      </c>
    </row>
    <row r="59" spans="18:35" x14ac:dyDescent="0.45">
      <c r="T59">
        <v>-6.4178057815128753E-2</v>
      </c>
      <c r="U59">
        <v>2.4616273569026959E-2</v>
      </c>
      <c r="V59">
        <v>-0.24429415353444917</v>
      </c>
      <c r="W59">
        <v>0.35275998586473278</v>
      </c>
      <c r="X59">
        <v>0.10097236200402904</v>
      </c>
      <c r="Y59">
        <v>0.19519656008211328</v>
      </c>
      <c r="Z59">
        <v>-2.9059304907086414E-2</v>
      </c>
      <c r="AA59">
        <v>-0.43414872325864273</v>
      </c>
      <c r="AB59">
        <v>0.18532412346742788</v>
      </c>
      <c r="AC59">
        <v>-7.9608457875442795E-2</v>
      </c>
      <c r="AD59">
        <v>1.8753578427492812E-3</v>
      </c>
      <c r="AE59">
        <v>2.673494071370186E-2</v>
      </c>
      <c r="AF59">
        <v>-0.32525714670957484</v>
      </c>
      <c r="AG59">
        <v>0.14164744942845786</v>
      </c>
      <c r="AH59">
        <v>0.15635101891084524</v>
      </c>
      <c r="AI59">
        <v>-8.9322277850953924E-3</v>
      </c>
    </row>
    <row r="60" spans="18:35" x14ac:dyDescent="0.45">
      <c r="T60">
        <v>-8.0896080515008295E-3</v>
      </c>
      <c r="U60">
        <v>3.2458856903188824E-3</v>
      </c>
      <c r="V60">
        <v>-1.0942519304976764E-3</v>
      </c>
      <c r="W60">
        <v>3.9415357357464372E-3</v>
      </c>
      <c r="X60">
        <v>4.6393220950504566E-3</v>
      </c>
      <c r="Y60">
        <v>3.0060401710715057E-3</v>
      </c>
      <c r="Z60">
        <v>-1.2596107967934981E-2</v>
      </c>
      <c r="AA60">
        <v>5.0845478809964147E-3</v>
      </c>
      <c r="AB60">
        <v>1.196222398351929E-3</v>
      </c>
      <c r="AC60">
        <v>-4.57272841858305E-3</v>
      </c>
      <c r="AD60">
        <v>1.6303037674131445E-2</v>
      </c>
      <c r="AE60">
        <v>-7.5755015166633719E-3</v>
      </c>
      <c r="AF60">
        <v>-3.2121329822616604E-3</v>
      </c>
      <c r="AG60">
        <v>1.4701819225710682E-3</v>
      </c>
      <c r="AH60">
        <v>-2.430829820308348E-3</v>
      </c>
      <c r="AI60">
        <v>6.8438711947497663E-4</v>
      </c>
    </row>
    <row r="61" spans="18:35" x14ac:dyDescent="0.45">
      <c r="T61">
        <v>0.58700580805873237</v>
      </c>
      <c r="U61">
        <v>-0.53737103716311907</v>
      </c>
      <c r="V61">
        <v>9.9822501994335511E-3</v>
      </c>
      <c r="W61">
        <v>-9.4847843421987932E-2</v>
      </c>
      <c r="X61">
        <v>0.21421249237656426</v>
      </c>
      <c r="Y61">
        <v>-0.33548342287000921</v>
      </c>
      <c r="Z61">
        <v>-0.19933978412428743</v>
      </c>
      <c r="AA61">
        <v>0.81890831763664451</v>
      </c>
      <c r="AB61">
        <v>-0.25901392968835601</v>
      </c>
      <c r="AC61">
        <v>0.2897290389742011</v>
      </c>
      <c r="AD61">
        <v>-0.51700492555409738</v>
      </c>
      <c r="AE61">
        <v>-0.39384688237230137</v>
      </c>
      <c r="AF61">
        <v>0.27352052946047323</v>
      </c>
      <c r="AG61">
        <v>-0.14883086439598792</v>
      </c>
      <c r="AH61">
        <v>0.27475367959797836</v>
      </c>
      <c r="AI61">
        <v>1.7626573283418878E-2</v>
      </c>
    </row>
    <row r="62" spans="18:35" x14ac:dyDescent="0.45">
      <c r="T62">
        <v>-6.3054063431404739E-3</v>
      </c>
      <c r="U62">
        <v>2.6729054652627759E-2</v>
      </c>
      <c r="V62">
        <v>-8.8816948568746223E-3</v>
      </c>
      <c r="W62">
        <v>7.4989635281101918E-3</v>
      </c>
      <c r="X62">
        <v>-4.3168813412607143E-2</v>
      </c>
      <c r="Y62">
        <v>1.0946157125512279E-2</v>
      </c>
      <c r="Z62">
        <v>5.7017509022621482E-2</v>
      </c>
      <c r="AA62">
        <v>-8.0560282196095123E-2</v>
      </c>
      <c r="AB62">
        <v>2.4132762829557342E-2</v>
      </c>
      <c r="AC62">
        <v>-1.1585475665277345E-2</v>
      </c>
      <c r="AD62">
        <v>-2.2572641616800393E-3</v>
      </c>
      <c r="AE62">
        <v>7.0856963274876339E-2</v>
      </c>
      <c r="AF62">
        <v>-2.8639677881951764E-2</v>
      </c>
      <c r="AG62">
        <v>-7.9367157476302186E-3</v>
      </c>
      <c r="AH62">
        <v>-2.1020079757274157E-2</v>
      </c>
      <c r="AI62">
        <v>1.3173999589790153E-2</v>
      </c>
    </row>
    <row r="63" spans="18:35" x14ac:dyDescent="0.45">
      <c r="T63">
        <v>-8.7715741383155299E-3</v>
      </c>
      <c r="U63">
        <v>5.728447623608135E-3</v>
      </c>
      <c r="V63">
        <v>-7.045109526288007E-4</v>
      </c>
      <c r="W63">
        <v>5.4845700564331579E-3</v>
      </c>
      <c r="X63">
        <v>-6.0284457340242792E-4</v>
      </c>
      <c r="Y63">
        <v>8.255469982350494E-3</v>
      </c>
      <c r="Z63">
        <v>1.2524136880301961E-3</v>
      </c>
      <c r="AA63">
        <v>-1.4673957788083558E-2</v>
      </c>
      <c r="AB63">
        <v>3.3448135659721601E-3</v>
      </c>
      <c r="AC63">
        <v>-3.8622551169341379E-3</v>
      </c>
      <c r="AD63">
        <v>7.2334374739065899E-3</v>
      </c>
      <c r="AE63">
        <v>-8.9968397111755971E-4</v>
      </c>
      <c r="AF63">
        <v>-7.6924291821662827E-3</v>
      </c>
      <c r="AG63">
        <v>4.6971102213038685E-3</v>
      </c>
      <c r="AH63">
        <v>1.2245063813711154E-3</v>
      </c>
      <c r="AI63">
        <v>-1.3513270372134123E-5</v>
      </c>
    </row>
    <row r="64" spans="18:35" x14ac:dyDescent="0.45">
      <c r="T64">
        <v>0.12496743471149863</v>
      </c>
      <c r="U64">
        <v>-7.8087656061453181E-2</v>
      </c>
      <c r="V64">
        <v>5.8556594747711799E-3</v>
      </c>
      <c r="W64">
        <v>-7.6454997609496367E-2</v>
      </c>
      <c r="X64">
        <v>-8.7095377770349813E-3</v>
      </c>
      <c r="Y64">
        <v>-6.0133881337857353E-2</v>
      </c>
      <c r="Z64">
        <v>4.7637479116233727E-2</v>
      </c>
      <c r="AA64">
        <v>7.6612389577285889E-2</v>
      </c>
      <c r="AB64">
        <v>-3.0890159481787638E-2</v>
      </c>
      <c r="AC64">
        <v>6.9755355968294408E-2</v>
      </c>
      <c r="AD64">
        <v>-0.11828223634995583</v>
      </c>
      <c r="AE64">
        <v>2.1273470823128804E-2</v>
      </c>
      <c r="AF64">
        <v>0.10637633591629436</v>
      </c>
      <c r="AG64">
        <v>-9.4245149512809157E-2</v>
      </c>
      <c r="AH64">
        <v>1.7711650799287604E-2</v>
      </c>
      <c r="AI64">
        <v>-3.3861582559238101E-3</v>
      </c>
    </row>
    <row r="65" spans="18:35" x14ac:dyDescent="0.45">
      <c r="T65">
        <v>-0.40091754908240773</v>
      </c>
      <c r="U65">
        <v>0.27054750910217074</v>
      </c>
      <c r="V65">
        <v>3.867099451715017E-2</v>
      </c>
      <c r="W65">
        <v>9.0497211133151012E-2</v>
      </c>
      <c r="X65">
        <v>5.7648530832066669E-2</v>
      </c>
      <c r="Y65">
        <v>0.19527850824811743</v>
      </c>
      <c r="Z65">
        <v>-0.15638644011790959</v>
      </c>
      <c r="AA65">
        <v>-0.26222573201610011</v>
      </c>
      <c r="AB65">
        <v>0.14656284383822005</v>
      </c>
      <c r="AC65">
        <v>-0.20425718463515619</v>
      </c>
      <c r="AD65">
        <v>0.38876133126797718</v>
      </c>
      <c r="AE65">
        <v>-0.12583111221233167</v>
      </c>
      <c r="AF65">
        <v>-0.12205749704450408</v>
      </c>
      <c r="AG65">
        <v>0.17251154594804419</v>
      </c>
      <c r="AH65">
        <v>-0.10240988257785855</v>
      </c>
      <c r="AI65">
        <v>1.3606922798164334E-2</v>
      </c>
    </row>
    <row r="66" spans="18:35" x14ac:dyDescent="0.45">
      <c r="T66">
        <v>7.1708002739172549E-2</v>
      </c>
      <c r="U66">
        <v>-5.1073006078004468E-2</v>
      </c>
      <c r="V66">
        <v>3.873102677218565E-2</v>
      </c>
      <c r="W66">
        <v>-0.10811163164260584</v>
      </c>
      <c r="X66">
        <v>5.0592746546927359E-2</v>
      </c>
      <c r="Y66">
        <v>-0.10429997569865002</v>
      </c>
      <c r="Z66">
        <v>-0.10519505531537732</v>
      </c>
      <c r="AA66">
        <v>0.26989673351601695</v>
      </c>
      <c r="AB66">
        <v>-7.1417377301187024E-2</v>
      </c>
      <c r="AC66">
        <v>3.144776578912678E-2</v>
      </c>
      <c r="AD66">
        <v>-3.3238272426384441E-2</v>
      </c>
      <c r="AE66">
        <v>-1.6676062456599361E-2</v>
      </c>
      <c r="AF66">
        <v>0.15875848101548051</v>
      </c>
      <c r="AG66">
        <v>-8.7762491219864458E-2</v>
      </c>
      <c r="AH66">
        <v>-4.4348354057254902E-2</v>
      </c>
      <c r="AI66">
        <v>9.8746981760378105E-4</v>
      </c>
    </row>
    <row r="68" spans="18:35" x14ac:dyDescent="0.45">
      <c r="R68" t="s">
        <v>88</v>
      </c>
    </row>
    <row r="69" spans="18:35" x14ac:dyDescent="0.45">
      <c r="S69" t="s">
        <v>6</v>
      </c>
      <c r="T69" cm="1">
        <f t="array" ref="T69:T82">MMULT(_xlfn.ANCHORARRAY(T53),B3:B18)</f>
        <v>16.740815076670529</v>
      </c>
      <c r="U69" t="str" cm="1">
        <f t="array" ref="U69:U82">TRANSPOSE(C1:P1)</f>
        <v>Constant</v>
      </c>
    </row>
    <row r="70" spans="18:35" x14ac:dyDescent="0.45">
      <c r="S70" t="s">
        <v>7</v>
      </c>
      <c r="T70">
        <v>-0.31764189814301363</v>
      </c>
      <c r="U70" t="str">
        <v>GDP kz</v>
      </c>
    </row>
    <row r="71" spans="18:35" x14ac:dyDescent="0.45">
      <c r="S71" t="s">
        <v>8</v>
      </c>
      <c r="T71">
        <v>8.7957159073485836E-2</v>
      </c>
      <c r="U71" t="str">
        <v>KZ exchange rat</v>
      </c>
    </row>
    <row r="72" spans="18:35" x14ac:dyDescent="0.45">
      <c r="S72" t="s">
        <v>9</v>
      </c>
      <c r="T72">
        <v>-1.1200821158287178</v>
      </c>
      <c r="U72" t="str">
        <v>KZ inflation %</v>
      </c>
    </row>
    <row r="73" spans="18:35" x14ac:dyDescent="0.45">
      <c r="S73" t="s">
        <v>15</v>
      </c>
      <c r="T73">
        <v>3.7627065727812575E-4</v>
      </c>
      <c r="U73" t="str">
        <v>GDP of main trading partner China</v>
      </c>
    </row>
    <row r="74" spans="18:35" x14ac:dyDescent="0.45">
      <c r="S74" t="s">
        <v>16</v>
      </c>
      <c r="T74">
        <v>-4.5934873180197631</v>
      </c>
      <c r="U74" t="str">
        <v>CH exchange</v>
      </c>
    </row>
    <row r="75" spans="18:35" x14ac:dyDescent="0.45">
      <c r="S75" t="s">
        <v>129</v>
      </c>
      <c r="T75">
        <v>1.1187501823928756</v>
      </c>
      <c r="U75" t="str">
        <v>CH inlfation %</v>
      </c>
    </row>
    <row r="76" spans="18:35" x14ac:dyDescent="0.45">
      <c r="S76" t="s">
        <v>130</v>
      </c>
      <c r="T76">
        <v>3.650197192818664E-2</v>
      </c>
      <c r="U76" t="str">
        <v>GDP of Turkey</v>
      </c>
    </row>
    <row r="77" spans="18:35" x14ac:dyDescent="0.45">
      <c r="S77" t="s">
        <v>131</v>
      </c>
      <c r="T77">
        <v>-0.50229120633808311</v>
      </c>
      <c r="U77" t="str">
        <v>TUR exch</v>
      </c>
    </row>
    <row r="78" spans="18:35" x14ac:dyDescent="0.45">
      <c r="S78" t="s">
        <v>132</v>
      </c>
      <c r="T78">
        <v>-5.6694340704656287E-2</v>
      </c>
      <c r="U78" t="str">
        <v>TUR inlfation %</v>
      </c>
    </row>
    <row r="79" spans="18:35" x14ac:dyDescent="0.45">
      <c r="S79" t="s">
        <v>133</v>
      </c>
      <c r="T79">
        <v>3.0028312428507661E-2</v>
      </c>
      <c r="U79" t="str">
        <v>GDP of RU</v>
      </c>
    </row>
    <row r="80" spans="18:35" x14ac:dyDescent="0.45">
      <c r="S80" t="s">
        <v>134</v>
      </c>
      <c r="T80">
        <v>-0.32863766387955834</v>
      </c>
      <c r="U80" t="str">
        <v>RU exch</v>
      </c>
    </row>
    <row r="81" spans="19:21" x14ac:dyDescent="0.45">
      <c r="S81" t="s">
        <v>136</v>
      </c>
      <c r="T81">
        <v>1.1522475203262388</v>
      </c>
      <c r="U81" t="str">
        <v>RU inlfation %</v>
      </c>
    </row>
    <row r="82" spans="19:21" x14ac:dyDescent="0.45">
      <c r="S82" t="s">
        <v>135</v>
      </c>
      <c r="T82">
        <v>0.91667233262077552</v>
      </c>
      <c r="U82" t="str">
        <v>KZ raw material export bil USD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B5BD7-6FEE-46FA-9982-1756A309CF70}">
  <dimension ref="A1:Y90"/>
  <sheetViews>
    <sheetView topLeftCell="A69" workbookViewId="0">
      <selection activeCell="G88" sqref="G88"/>
    </sheetView>
  </sheetViews>
  <sheetFormatPr defaultRowHeight="14.25" x14ac:dyDescent="0.45"/>
  <cols>
    <col min="1" max="1" width="13.06640625" customWidth="1"/>
    <col min="2" max="2" width="14.3984375" customWidth="1"/>
    <col min="3" max="3" width="9" customWidth="1"/>
    <col min="4" max="4" width="15" customWidth="1"/>
    <col min="5" max="5" width="15" bestFit="1" customWidth="1"/>
    <col min="6" max="6" width="12.19921875" customWidth="1"/>
  </cols>
  <sheetData>
    <row r="1" spans="1:25" x14ac:dyDescent="0.45">
      <c r="B1" t="s">
        <v>87</v>
      </c>
      <c r="C1" t="s">
        <v>10</v>
      </c>
      <c r="D1" s="7" t="s">
        <v>11</v>
      </c>
      <c r="E1" s="7" t="s">
        <v>12</v>
      </c>
      <c r="F1" s="7" t="s">
        <v>103</v>
      </c>
      <c r="K1" t="s">
        <v>89</v>
      </c>
      <c r="L1" t="s">
        <v>88</v>
      </c>
    </row>
    <row r="2" spans="1:25" x14ac:dyDescent="0.45">
      <c r="A2" t="s">
        <v>0</v>
      </c>
      <c r="B2" t="s">
        <v>5</v>
      </c>
      <c r="C2" t="s">
        <v>6</v>
      </c>
      <c r="D2" t="s">
        <v>7</v>
      </c>
      <c r="E2" t="s">
        <v>8</v>
      </c>
      <c r="F2" t="s">
        <v>109</v>
      </c>
      <c r="G2" t="s">
        <v>9</v>
      </c>
    </row>
    <row r="3" spans="1:25" x14ac:dyDescent="0.45">
      <c r="A3" s="29">
        <v>2007</v>
      </c>
      <c r="B3" s="29">
        <f>'Kz Export'!B3-'Kz Net export'!B23</f>
        <v>15.061</v>
      </c>
      <c r="C3" s="29">
        <v>1</v>
      </c>
      <c r="D3" s="29">
        <v>127</v>
      </c>
      <c r="E3" s="29">
        <v>104.85</v>
      </c>
      <c r="F3" s="29" t="e">
        <f t="shared" ref="F3:F17" si="0">G3-G2</f>
        <v>#VALUE!</v>
      </c>
      <c r="G3" s="29">
        <v>3550.33</v>
      </c>
    </row>
    <row r="4" spans="1:25" x14ac:dyDescent="0.45">
      <c r="A4">
        <v>2008</v>
      </c>
      <c r="B4">
        <f>'Kz Export'!B4-'Kz Net export'!B24</f>
        <v>33.356999999999999</v>
      </c>
      <c r="C4">
        <v>1</v>
      </c>
      <c r="D4">
        <v>120.3</v>
      </c>
      <c r="E4">
        <v>133.44</v>
      </c>
      <c r="F4">
        <v>1044.01</v>
      </c>
      <c r="G4" s="29">
        <v>4594.34</v>
      </c>
      <c r="J4" t="s">
        <v>90</v>
      </c>
      <c r="K4" cm="1">
        <f t="array" ref="K4:Y7">TRANSPOSE(C4:F18)</f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</row>
    <row r="5" spans="1:25" x14ac:dyDescent="0.45">
      <c r="A5">
        <v>2009</v>
      </c>
      <c r="B5">
        <f>'Kz Export'!B5-'Kz Net export'!B25</f>
        <v>14.786999999999999</v>
      </c>
      <c r="C5">
        <v>1</v>
      </c>
      <c r="D5">
        <v>120.79</v>
      </c>
      <c r="E5">
        <v>115.31</v>
      </c>
      <c r="F5">
        <f t="shared" si="0"/>
        <v>507.34999999999945</v>
      </c>
      <c r="G5" s="29">
        <v>5101.6899999999996</v>
      </c>
      <c r="K5">
        <v>120.3</v>
      </c>
      <c r="L5">
        <v>120.79</v>
      </c>
      <c r="M5">
        <v>148.46</v>
      </c>
      <c r="N5">
        <v>146.72999999999999</v>
      </c>
      <c r="O5">
        <v>149.13</v>
      </c>
      <c r="P5">
        <v>152.19999999999999</v>
      </c>
      <c r="Q5">
        <v>178.81</v>
      </c>
      <c r="R5">
        <v>222.19</v>
      </c>
      <c r="S5">
        <v>341.9</v>
      </c>
      <c r="T5">
        <v>326.17</v>
      </c>
      <c r="U5">
        <v>345.09</v>
      </c>
      <c r="V5">
        <v>383.04</v>
      </c>
      <c r="W5">
        <v>414.08</v>
      </c>
      <c r="X5">
        <v>426.7</v>
      </c>
      <c r="Y5">
        <v>461.71</v>
      </c>
    </row>
    <row r="6" spans="1:25" x14ac:dyDescent="0.45">
      <c r="A6">
        <v>2010</v>
      </c>
      <c r="B6">
        <f>'Kz Export'!B6-'Kz Net export'!B26</f>
        <v>33.22</v>
      </c>
      <c r="C6">
        <v>1</v>
      </c>
      <c r="D6">
        <v>148.46</v>
      </c>
      <c r="E6">
        <v>148.05000000000001</v>
      </c>
      <c r="F6">
        <f t="shared" si="0"/>
        <v>985.5</v>
      </c>
      <c r="G6" s="29">
        <v>6087.19</v>
      </c>
      <c r="K6">
        <v>133.44</v>
      </c>
      <c r="L6">
        <v>115.31</v>
      </c>
      <c r="M6">
        <v>148.05000000000001</v>
      </c>
      <c r="N6">
        <v>192.63</v>
      </c>
      <c r="O6">
        <v>208</v>
      </c>
      <c r="P6">
        <v>236.63</v>
      </c>
      <c r="Q6">
        <v>221.42</v>
      </c>
      <c r="R6">
        <v>184.39</v>
      </c>
      <c r="S6">
        <v>137.28</v>
      </c>
      <c r="T6">
        <v>166.81</v>
      </c>
      <c r="U6">
        <v>179.34</v>
      </c>
      <c r="V6">
        <v>181.67</v>
      </c>
      <c r="W6">
        <v>171.08</v>
      </c>
      <c r="X6">
        <v>197.11</v>
      </c>
      <c r="Y6">
        <v>220.62</v>
      </c>
    </row>
    <row r="7" spans="1:25" x14ac:dyDescent="0.45">
      <c r="A7">
        <v>2011</v>
      </c>
      <c r="B7">
        <f>'Kz Export'!B7-'Kz Net export'!B27</f>
        <v>50.098000000000006</v>
      </c>
      <c r="C7">
        <v>1</v>
      </c>
      <c r="D7">
        <v>146.72999999999999</v>
      </c>
      <c r="E7">
        <v>192.63</v>
      </c>
      <c r="F7">
        <f t="shared" si="0"/>
        <v>1464.3600000000006</v>
      </c>
      <c r="G7" s="29">
        <v>7551.55</v>
      </c>
      <c r="K7">
        <v>1044.01</v>
      </c>
      <c r="L7">
        <v>507.34999999999945</v>
      </c>
      <c r="M7">
        <v>985.5</v>
      </c>
      <c r="N7">
        <v>1464.3600000000006</v>
      </c>
      <c r="O7">
        <v>980.64000000000033</v>
      </c>
      <c r="P7">
        <v>1038.2799999999988</v>
      </c>
      <c r="Q7">
        <v>905.15000000000146</v>
      </c>
      <c r="R7">
        <v>585.94999999999891</v>
      </c>
      <c r="S7">
        <v>171.73999999999978</v>
      </c>
      <c r="T7">
        <v>1077.1800000000003</v>
      </c>
      <c r="U7">
        <v>1584.42</v>
      </c>
      <c r="V7">
        <v>385.05999999999949</v>
      </c>
      <c r="W7">
        <v>407.77000000000044</v>
      </c>
      <c r="X7">
        <v>3132.7199999999993</v>
      </c>
      <c r="Y7">
        <v>142.70999999999913</v>
      </c>
    </row>
    <row r="8" spans="1:25" x14ac:dyDescent="0.45">
      <c r="A8">
        <v>2012</v>
      </c>
      <c r="B8">
        <f>'Kz Export'!B8-'Kz Net export'!B28</f>
        <v>41.912000000000006</v>
      </c>
      <c r="C8">
        <v>1</v>
      </c>
      <c r="D8">
        <v>149.13</v>
      </c>
      <c r="E8">
        <v>208</v>
      </c>
      <c r="F8">
        <f t="shared" si="0"/>
        <v>980.64000000000033</v>
      </c>
      <c r="G8" s="29">
        <v>8532.19</v>
      </c>
    </row>
    <row r="9" spans="1:25" x14ac:dyDescent="0.45">
      <c r="A9">
        <v>2013</v>
      </c>
      <c r="B9">
        <f>'Kz Export'!B9-'Kz Net export'!B29</f>
        <v>35.895000000000003</v>
      </c>
      <c r="C9">
        <v>1</v>
      </c>
      <c r="D9">
        <v>152.19999999999999</v>
      </c>
      <c r="E9">
        <v>236.63</v>
      </c>
      <c r="F9">
        <f t="shared" si="0"/>
        <v>1038.2799999999988</v>
      </c>
      <c r="G9" s="29">
        <v>9570.4699999999993</v>
      </c>
      <c r="K9" t="s">
        <v>91</v>
      </c>
    </row>
    <row r="10" spans="1:25" x14ac:dyDescent="0.45">
      <c r="A10">
        <v>2014</v>
      </c>
      <c r="B10">
        <f>'Kz Export'!B10-'Kz Net export'!B30</f>
        <v>38.164999999999992</v>
      </c>
      <c r="C10">
        <v>1</v>
      </c>
      <c r="D10">
        <v>178.81</v>
      </c>
      <c r="E10">
        <v>221.42</v>
      </c>
      <c r="F10">
        <f t="shared" si="0"/>
        <v>905.15000000000146</v>
      </c>
      <c r="G10" s="29">
        <v>10475.620000000001</v>
      </c>
      <c r="K10" cm="1">
        <f t="array" ref="K10:N13">MMULT(_xlfn.ANCHORARRAY(K4),C4:F18)</f>
        <v>15</v>
      </c>
      <c r="L10">
        <v>3937.2999999999997</v>
      </c>
      <c r="M10">
        <v>2693.7799999999997</v>
      </c>
      <c r="N10">
        <v>14412.839999999998</v>
      </c>
    </row>
    <row r="11" spans="1:25" x14ac:dyDescent="0.45">
      <c r="A11">
        <v>2015</v>
      </c>
      <c r="B11">
        <f>'Kz Export'!B11-'Kz Net export'!B31</f>
        <v>15.393000000000001</v>
      </c>
      <c r="C11">
        <v>1</v>
      </c>
      <c r="D11">
        <v>222.19</v>
      </c>
      <c r="E11">
        <v>184.39</v>
      </c>
      <c r="F11">
        <f t="shared" si="0"/>
        <v>585.94999999999891</v>
      </c>
      <c r="G11" s="29">
        <v>11061.57</v>
      </c>
      <c r="K11">
        <v>3937.2999999999997</v>
      </c>
      <c r="L11">
        <v>1255178.8768</v>
      </c>
      <c r="M11">
        <v>717450.95079999988</v>
      </c>
      <c r="N11">
        <v>3820155.4899999993</v>
      </c>
    </row>
    <row r="12" spans="1:25" x14ac:dyDescent="0.45">
      <c r="A12">
        <v>2016</v>
      </c>
      <c r="B12">
        <f>'Kz Export'!B12-'Kz Net export'!B32</f>
        <v>11.514999999999997</v>
      </c>
      <c r="C12">
        <v>1</v>
      </c>
      <c r="D12">
        <v>341.9</v>
      </c>
      <c r="E12">
        <v>137.28</v>
      </c>
      <c r="F12">
        <f t="shared" si="0"/>
        <v>171.73999999999978</v>
      </c>
      <c r="G12" s="29">
        <v>11233.31</v>
      </c>
      <c r="K12">
        <v>2693.7799999999997</v>
      </c>
      <c r="L12">
        <v>717450.95079999988</v>
      </c>
      <c r="M12">
        <v>501044.09640000004</v>
      </c>
      <c r="N12">
        <v>2660022.1215999997</v>
      </c>
    </row>
    <row r="13" spans="1:25" x14ac:dyDescent="0.45">
      <c r="A13">
        <v>2017</v>
      </c>
      <c r="B13">
        <f>'Kz Export'!B13-'Kz Net export'!B33</f>
        <v>18.700999999999997</v>
      </c>
      <c r="C13">
        <v>1</v>
      </c>
      <c r="D13">
        <v>326.17</v>
      </c>
      <c r="E13">
        <v>166.81</v>
      </c>
      <c r="F13">
        <f t="shared" si="0"/>
        <v>1077.1800000000003</v>
      </c>
      <c r="G13" s="29">
        <v>12310.49</v>
      </c>
      <c r="K13">
        <v>14412.839999999998</v>
      </c>
      <c r="L13">
        <v>3820155.4899999993</v>
      </c>
      <c r="M13">
        <v>2660022.1215999997</v>
      </c>
      <c r="N13">
        <v>21514281.890599996</v>
      </c>
    </row>
    <row r="14" spans="1:25" x14ac:dyDescent="0.45">
      <c r="A14">
        <v>2018</v>
      </c>
      <c r="B14">
        <f>'Kz Export'!B14-'Kz Net export'!B34</f>
        <v>27.613</v>
      </c>
      <c r="C14">
        <v>1</v>
      </c>
      <c r="D14">
        <v>345.09</v>
      </c>
      <c r="E14">
        <v>179.34</v>
      </c>
      <c r="F14">
        <f t="shared" si="0"/>
        <v>1584.42</v>
      </c>
      <c r="G14" s="29">
        <v>13894.91</v>
      </c>
    </row>
    <row r="15" spans="1:25" x14ac:dyDescent="0.45">
      <c r="A15">
        <v>2019</v>
      </c>
      <c r="B15">
        <f>'Kz Export'!B15-'Kz Net export'!B35</f>
        <v>17.600999999999999</v>
      </c>
      <c r="C15">
        <v>1</v>
      </c>
      <c r="D15">
        <v>383.04</v>
      </c>
      <c r="E15">
        <v>181.67</v>
      </c>
      <c r="F15">
        <f t="shared" si="0"/>
        <v>385.05999999999949</v>
      </c>
      <c r="G15" s="29">
        <v>14279.97</v>
      </c>
      <c r="K15" t="s">
        <v>92</v>
      </c>
    </row>
    <row r="16" spans="1:25" x14ac:dyDescent="0.45">
      <c r="A16">
        <v>2020</v>
      </c>
      <c r="B16">
        <f>'Kz Export'!B16-'Kz Net export'!B36</f>
        <v>7.5220000000000056</v>
      </c>
      <c r="C16">
        <v>1</v>
      </c>
      <c r="D16">
        <v>414.08</v>
      </c>
      <c r="E16">
        <v>171.08</v>
      </c>
      <c r="F16">
        <f t="shared" si="0"/>
        <v>407.77000000000044</v>
      </c>
      <c r="G16" s="29">
        <v>14687.74</v>
      </c>
      <c r="K16" cm="1">
        <f t="array" ref="K16:N19">MINVERSE(_xlfn.ANCHORARRAY(K10))</f>
        <v>2.0506448033049764</v>
      </c>
      <c r="L16">
        <v>-7.1891835743683472E-4</v>
      </c>
      <c r="M16">
        <v>-9.8368595805648894E-3</v>
      </c>
      <c r="N16">
        <v>-2.9885796269473243E-5</v>
      </c>
    </row>
    <row r="17" spans="1:25" x14ac:dyDescent="0.45">
      <c r="A17">
        <v>2021</v>
      </c>
      <c r="B17">
        <f>'Kz Export'!B17-'Kz Net export'!B37</f>
        <v>19.204999999999998</v>
      </c>
      <c r="C17">
        <v>1</v>
      </c>
      <c r="D17">
        <v>426.7</v>
      </c>
      <c r="E17">
        <v>197.11</v>
      </c>
      <c r="F17">
        <f t="shared" si="0"/>
        <v>3132.7199999999993</v>
      </c>
      <c r="G17" s="29">
        <v>17820.46</v>
      </c>
      <c r="K17">
        <v>-7.1891835743683569E-4</v>
      </c>
      <c r="L17">
        <v>4.6411747837629516E-6</v>
      </c>
      <c r="M17">
        <v>-2.8008071929915475E-6</v>
      </c>
      <c r="N17">
        <v>3.8046828924370436E-9</v>
      </c>
    </row>
    <row r="18" spans="1:25" x14ac:dyDescent="0.45">
      <c r="A18">
        <v>2022</v>
      </c>
      <c r="B18">
        <f>'Kz Export'!B18-'Kz Net export'!B38</f>
        <v>35.069999999999993</v>
      </c>
      <c r="C18">
        <v>1</v>
      </c>
      <c r="D18">
        <v>461.71</v>
      </c>
      <c r="E18">
        <v>220.62</v>
      </c>
      <c r="F18">
        <f>G18-G17</f>
        <v>142.70999999999913</v>
      </c>
      <c r="G18" s="29">
        <v>17963.169999999998</v>
      </c>
      <c r="K18">
        <v>-9.836859580564886E-3</v>
      </c>
      <c r="L18">
        <v>-2.800807192991553E-6</v>
      </c>
      <c r="M18">
        <v>6.1893776082083349E-5</v>
      </c>
      <c r="N18">
        <v>-5.6530872922723937E-7</v>
      </c>
    </row>
    <row r="19" spans="1:25" x14ac:dyDescent="0.45">
      <c r="K19">
        <v>-2.9885796269473388E-5</v>
      </c>
      <c r="L19">
        <v>3.8046828924372918E-9</v>
      </c>
      <c r="M19">
        <v>-5.6530872922723895E-7</v>
      </c>
      <c r="N19">
        <v>1.3572093457690914E-7</v>
      </c>
    </row>
    <row r="21" spans="1:25" x14ac:dyDescent="0.45">
      <c r="K21" t="s">
        <v>93</v>
      </c>
    </row>
    <row r="22" spans="1:25" x14ac:dyDescent="0.45">
      <c r="B22" t="s">
        <v>84</v>
      </c>
      <c r="K22" cm="1">
        <f t="array" ref="K22:Y25">MMULT(_xlfn.ANCHORARRAY(K16),_xlfn.ANCHORARRAY(K4))</f>
        <v>0.62032731231145366</v>
      </c>
      <c r="L22">
        <v>0.81435581793792644</v>
      </c>
      <c r="M22">
        <v>0.45811467083370611</v>
      </c>
      <c r="N22">
        <v>6.5200870888891677E-3</v>
      </c>
      <c r="O22">
        <v>-0.13194149135077202</v>
      </c>
      <c r="P22">
        <v>-0.41750047779664828</v>
      </c>
      <c r="Q22">
        <v>-0.28303356501029558</v>
      </c>
      <c r="R22">
        <v>5.9578213081628542E-2</v>
      </c>
      <c r="S22">
        <v>0.44930994702605542</v>
      </c>
      <c r="T22">
        <v>0.1430762740002236</v>
      </c>
      <c r="U22">
        <v>-8.9407831666868942E-3</v>
      </c>
      <c r="V22">
        <v>-2.3299789040375343E-2</v>
      </c>
      <c r="W22">
        <v>5.7878621669687325E-2</v>
      </c>
      <c r="X22">
        <v>-0.28868488342777077</v>
      </c>
      <c r="Y22">
        <v>-0.45575995415702697</v>
      </c>
    </row>
    <row r="23" spans="1:25" x14ac:dyDescent="0.45">
      <c r="A23">
        <v>2007</v>
      </c>
      <c r="B23">
        <v>32.686999999999998</v>
      </c>
      <c r="K23">
        <v>-5.3035261579641136E-4</v>
      </c>
      <c r="L23">
        <v>-4.7934162686448615E-4</v>
      </c>
      <c r="M23">
        <v>-4.4079953897128987E-4</v>
      </c>
      <c r="N23">
        <v>-5.7186684556089049E-4</v>
      </c>
      <c r="O23">
        <v>-6.0561683384486914E-4</v>
      </c>
      <c r="P23">
        <v>-6.7133623527214489E-4</v>
      </c>
      <c r="Q23">
        <v>-5.0574081430428131E-4</v>
      </c>
      <c r="R23">
        <v>-2.0190721660743333E-4</v>
      </c>
      <c r="S23">
        <v>4.8405790591778488E-4</v>
      </c>
      <c r="T23">
        <v>3.3178930223828153E-4</v>
      </c>
      <c r="U23">
        <v>3.8643610236925217E-4</v>
      </c>
      <c r="V23">
        <v>5.5147962017951257E-4</v>
      </c>
      <c r="W23">
        <v>7.2528863798978214E-4</v>
      </c>
      <c r="X23">
        <v>7.2132282317504748E-4</v>
      </c>
      <c r="Y23">
        <v>8.0658733535214112E-4</v>
      </c>
    </row>
    <row r="24" spans="1:25" x14ac:dyDescent="0.45">
      <c r="A24">
        <v>2008</v>
      </c>
      <c r="B24">
        <v>37.814999999999998</v>
      </c>
      <c r="K24">
        <v>-2.5048791718890987E-3</v>
      </c>
      <c r="L24">
        <v>-3.3250071451547442E-3</v>
      </c>
      <c r="M24">
        <v>-1.6464056201374161E-3</v>
      </c>
      <c r="N24">
        <v>8.4696057596797796E-4</v>
      </c>
      <c r="O24">
        <v>2.0649971155882185E-3</v>
      </c>
      <c r="P24">
        <v>3.7958330515831234E-3</v>
      </c>
      <c r="Q24">
        <v>2.8551587890911522E-3</v>
      </c>
      <c r="R24">
        <v>6.2217979110896766E-4</v>
      </c>
      <c r="S24">
        <v>-2.3947641004577829E-3</v>
      </c>
      <c r="T24">
        <v>-1.0348373313996163E-3</v>
      </c>
      <c r="U24">
        <v>-5.9904678899573517E-4</v>
      </c>
      <c r="V24">
        <v>1.1688375378746956E-4</v>
      </c>
      <c r="W24">
        <v>-6.383465514330001E-4</v>
      </c>
      <c r="X24">
        <v>-6.0303576849968926E-4</v>
      </c>
      <c r="Y24">
        <v>2.4443094008401952E-3</v>
      </c>
    </row>
    <row r="25" spans="1:25" x14ac:dyDescent="0.45">
      <c r="A25">
        <v>2009</v>
      </c>
      <c r="B25">
        <v>28.408999999999999</v>
      </c>
      <c r="K25">
        <v>3.6831123162042956E-5</v>
      </c>
      <c r="L25">
        <v>-2.5753962032494027E-5</v>
      </c>
      <c r="M25">
        <v>2.0738070616189075E-5</v>
      </c>
      <c r="N25">
        <v>6.0521352097333642E-5</v>
      </c>
      <c r="O25">
        <v>-1.3809242305489708E-5</v>
      </c>
      <c r="P25">
        <v>-2.2159396177772936E-5</v>
      </c>
      <c r="Q25">
        <v>-3.1528335814682418E-5</v>
      </c>
      <c r="R25">
        <v>-5.3752028744473554E-5</v>
      </c>
      <c r="S25">
        <v>-8.288184423262609E-5</v>
      </c>
      <c r="T25">
        <v>2.3251904334712189E-5</v>
      </c>
      <c r="U25">
        <v>8.508365741261115E-5</v>
      </c>
      <c r="V25">
        <v>-7.886738430488215E-5</v>
      </c>
      <c r="W25">
        <v>-6.9680445081142701E-5</v>
      </c>
      <c r="X25">
        <v>2.8548534447052321E-4</v>
      </c>
      <c r="Y25">
        <v>-1.3347881339984902E-4</v>
      </c>
    </row>
    <row r="26" spans="1:25" x14ac:dyDescent="0.45">
      <c r="A26">
        <v>2010</v>
      </c>
      <c r="B26">
        <v>24.024000000000001</v>
      </c>
    </row>
    <row r="27" spans="1:25" x14ac:dyDescent="0.45">
      <c r="A27">
        <v>2011</v>
      </c>
      <c r="B27">
        <v>38.01</v>
      </c>
      <c r="K27" t="s">
        <v>88</v>
      </c>
    </row>
    <row r="28" spans="1:25" x14ac:dyDescent="0.45">
      <c r="A28">
        <v>2012</v>
      </c>
      <c r="B28">
        <v>44.537999999999997</v>
      </c>
      <c r="J28" t="s">
        <v>6</v>
      </c>
      <c r="K28" s="18" cm="1">
        <f t="array" ref="K28:K31">MMULT(_xlfn.ANCHORARRAY(K22),B4:B18)</f>
        <v>3.9785105353234496</v>
      </c>
      <c r="L28" t="s">
        <v>10</v>
      </c>
    </row>
    <row r="29" spans="1:25" x14ac:dyDescent="0.45">
      <c r="A29">
        <v>2013</v>
      </c>
      <c r="B29">
        <v>48.805</v>
      </c>
      <c r="J29" t="s">
        <v>7</v>
      </c>
      <c r="K29" s="18">
        <v>-6.0209910401324077E-2</v>
      </c>
      <c r="L29" t="s">
        <v>104</v>
      </c>
    </row>
    <row r="30" spans="1:25" x14ac:dyDescent="0.45">
      <c r="A30">
        <v>2014</v>
      </c>
      <c r="B30">
        <v>41.295000000000002</v>
      </c>
      <c r="J30" t="s">
        <v>8</v>
      </c>
      <c r="K30" s="18">
        <v>0.20428581265523321</v>
      </c>
      <c r="L30" t="s">
        <v>105</v>
      </c>
    </row>
    <row r="31" spans="1:25" x14ac:dyDescent="0.45">
      <c r="A31">
        <v>2015</v>
      </c>
      <c r="B31">
        <v>30.567</v>
      </c>
      <c r="J31" t="s">
        <v>9</v>
      </c>
      <c r="K31" s="18">
        <v>1.8830283121762208E-3</v>
      </c>
      <c r="L31" t="s">
        <v>106</v>
      </c>
    </row>
    <row r="32" spans="1:25" x14ac:dyDescent="0.45">
      <c r="A32">
        <v>2016</v>
      </c>
      <c r="B32">
        <v>25.175000000000001</v>
      </c>
    </row>
    <row r="33" spans="1:14" x14ac:dyDescent="0.45">
      <c r="A33">
        <v>2017</v>
      </c>
      <c r="B33">
        <v>29.599</v>
      </c>
    </row>
    <row r="34" spans="1:14" x14ac:dyDescent="0.45">
      <c r="A34">
        <v>2018</v>
      </c>
      <c r="B34">
        <v>33.347000000000001</v>
      </c>
    </row>
    <row r="35" spans="1:14" x14ac:dyDescent="0.45">
      <c r="A35">
        <v>2019</v>
      </c>
      <c r="B35">
        <v>39.709000000000003</v>
      </c>
    </row>
    <row r="36" spans="1:14" x14ac:dyDescent="0.45">
      <c r="A36">
        <v>2020</v>
      </c>
      <c r="B36">
        <v>38.927999999999997</v>
      </c>
    </row>
    <row r="37" spans="1:14" x14ac:dyDescent="0.45">
      <c r="A37">
        <v>2021</v>
      </c>
      <c r="B37">
        <v>41.414999999999999</v>
      </c>
    </row>
    <row r="38" spans="1:14" x14ac:dyDescent="0.45">
      <c r="A38">
        <v>2022</v>
      </c>
      <c r="B38">
        <v>49.59</v>
      </c>
    </row>
    <row r="41" spans="1:14" x14ac:dyDescent="0.45">
      <c r="A41" t="s">
        <v>85</v>
      </c>
    </row>
    <row r="44" spans="1:14" x14ac:dyDescent="0.45">
      <c r="J44" t="s">
        <v>110</v>
      </c>
    </row>
    <row r="45" spans="1:14" x14ac:dyDescent="0.45">
      <c r="A45" s="4" t="s">
        <v>107</v>
      </c>
      <c r="B45" s="4"/>
      <c r="C45" s="4"/>
      <c r="D45" s="4"/>
      <c r="E45" s="4"/>
      <c r="J45" s="4" t="s">
        <v>108</v>
      </c>
      <c r="K45" s="4" t="s">
        <v>5</v>
      </c>
      <c r="L45" s="4" t="s">
        <v>7</v>
      </c>
      <c r="M45" s="4" t="s">
        <v>8</v>
      </c>
      <c r="N45" s="4" t="s">
        <v>9</v>
      </c>
    </row>
    <row r="46" spans="1:14" x14ac:dyDescent="0.45">
      <c r="A46" s="28"/>
      <c r="B46" s="28" t="s">
        <v>6</v>
      </c>
      <c r="C46" s="28" t="s">
        <v>7</v>
      </c>
      <c r="D46" s="28" t="s">
        <v>8</v>
      </c>
      <c r="E46" s="28" t="s">
        <v>109</v>
      </c>
      <c r="J46" s="4" t="s">
        <v>5</v>
      </c>
      <c r="K46" s="4">
        <f>CORREL(B3:B18,B3:B18)</f>
        <v>1</v>
      </c>
      <c r="L46" s="4">
        <f>CORREL(D3:D18,B3:B18)</f>
        <v>-0.40876356161182154</v>
      </c>
      <c r="M46" s="4">
        <f>CORREL(E3:E18,B3:B18)</f>
        <v>0.52984331212546121</v>
      </c>
      <c r="N46" s="4" t="e">
        <f>CORREL(F3:F18,B3:B18)</f>
        <v>#VALUE!</v>
      </c>
    </row>
    <row r="47" spans="1:14" x14ac:dyDescent="0.45">
      <c r="A47" s="28" t="s">
        <v>94</v>
      </c>
      <c r="B47" s="4">
        <f>K16</f>
        <v>2.0506448033049764</v>
      </c>
      <c r="C47" s="4">
        <f>L17</f>
        <v>4.6411747837629516E-6</v>
      </c>
      <c r="D47" s="4">
        <f>M18</f>
        <v>6.1893776082083349E-5</v>
      </c>
      <c r="E47" s="4">
        <f>N19</f>
        <v>1.3572093457690914E-7</v>
      </c>
      <c r="J47" s="4" t="s">
        <v>7</v>
      </c>
      <c r="K47" s="4">
        <f>L46</f>
        <v>-0.40876356161182154</v>
      </c>
      <c r="L47" s="4">
        <v>1</v>
      </c>
      <c r="M47" s="4">
        <f>CORREL(E3:E18,D3:D18)</f>
        <v>0.27081267815122162</v>
      </c>
      <c r="N47" s="27" t="e">
        <f>CORREL(F3:F18,D3:D18)</f>
        <v>#VALUE!</v>
      </c>
    </row>
    <row r="48" spans="1:14" x14ac:dyDescent="0.45">
      <c r="A48" s="28" t="s">
        <v>95</v>
      </c>
      <c r="B48" s="4">
        <f>B47*2</f>
        <v>4.1012896066099529</v>
      </c>
      <c r="C48" s="4">
        <f t="shared" ref="C48:E48" si="1">C47*2</f>
        <v>9.2823495675259032E-6</v>
      </c>
      <c r="D48" s="4">
        <f t="shared" si="1"/>
        <v>1.237875521641667E-4</v>
      </c>
      <c r="E48" s="4">
        <f t="shared" si="1"/>
        <v>2.7144186915381828E-7</v>
      </c>
      <c r="J48" s="4" t="s">
        <v>8</v>
      </c>
      <c r="K48" s="4">
        <f>M46</f>
        <v>0.52984331212546121</v>
      </c>
      <c r="L48" s="4">
        <f>M47</f>
        <v>0.27081267815122162</v>
      </c>
      <c r="M48" s="4">
        <v>1</v>
      </c>
      <c r="N48" s="4" t="e">
        <f>CORREL(F3:F18,E3:E18)</f>
        <v>#VALUE!</v>
      </c>
    </row>
    <row r="49" spans="1:14" x14ac:dyDescent="0.45">
      <c r="A49" s="28" t="s">
        <v>96</v>
      </c>
      <c r="B49" s="4">
        <f>POWER(B48,0.5)</f>
        <v>2.0251640937489368</v>
      </c>
      <c r="C49" s="4">
        <f t="shared" ref="C49:E49" si="2">POWER(C48,0.5)</f>
        <v>3.0466948596021069E-3</v>
      </c>
      <c r="D49" s="4">
        <f t="shared" si="2"/>
        <v>1.1125985446879153E-2</v>
      </c>
      <c r="E49" s="4">
        <f t="shared" si="2"/>
        <v>5.2100083412007919E-4</v>
      </c>
      <c r="J49" s="4" t="s">
        <v>9</v>
      </c>
      <c r="K49" s="4" t="e">
        <f>N46</f>
        <v>#VALUE!</v>
      </c>
      <c r="L49" s="27" t="e">
        <f>N47</f>
        <v>#VALUE!</v>
      </c>
      <c r="M49" s="4" t="e">
        <f>N48</f>
        <v>#VALUE!</v>
      </c>
      <c r="N49" s="4">
        <v>1</v>
      </c>
    </row>
    <row r="50" spans="1:14" x14ac:dyDescent="0.45">
      <c r="A50" s="28" t="s">
        <v>97</v>
      </c>
      <c r="B50" s="4">
        <f>ABS(K28)</f>
        <v>3.9785105353234496</v>
      </c>
      <c r="C50" s="4">
        <f>ABS(K29)</f>
        <v>6.0209910401324077E-2</v>
      </c>
      <c r="D50" s="4">
        <f>ABS(K30)</f>
        <v>0.20428581265523321</v>
      </c>
      <c r="E50" s="4">
        <f>ABS(K31)</f>
        <v>1.8830283121762208E-3</v>
      </c>
    </row>
    <row r="51" spans="1:14" x14ac:dyDescent="0.45">
      <c r="A51" s="28" t="s">
        <v>98</v>
      </c>
      <c r="B51" s="4">
        <f>B50/B49</f>
        <v>1.9645373664306496</v>
      </c>
      <c r="C51" s="4">
        <f t="shared" ref="C51:E51" si="3">C50/C49</f>
        <v>19.76236977312109</v>
      </c>
      <c r="D51" s="4">
        <f t="shared" si="3"/>
        <v>18.361143256082141</v>
      </c>
      <c r="E51" s="4">
        <f t="shared" si="3"/>
        <v>3.6142520104722604</v>
      </c>
    </row>
    <row r="52" spans="1:14" x14ac:dyDescent="0.45">
      <c r="A52" s="28" t="s">
        <v>99</v>
      </c>
      <c r="B52" s="4">
        <v>2.145</v>
      </c>
      <c r="C52" s="4">
        <v>2.145</v>
      </c>
      <c r="D52" s="4">
        <v>2.145</v>
      </c>
      <c r="E52" s="4">
        <v>2.145</v>
      </c>
      <c r="J52" t="s">
        <v>111</v>
      </c>
    </row>
    <row r="53" spans="1:14" x14ac:dyDescent="0.45">
      <c r="A53" s="31" t="s">
        <v>100</v>
      </c>
      <c r="B53" s="13" t="s">
        <v>112</v>
      </c>
      <c r="C53" s="13" t="s">
        <v>113</v>
      </c>
      <c r="D53" s="13" t="s">
        <v>114</v>
      </c>
      <c r="E53" s="13" t="s">
        <v>115</v>
      </c>
      <c r="J53" s="4" t="s">
        <v>108</v>
      </c>
      <c r="K53" s="4" t="s">
        <v>5</v>
      </c>
      <c r="L53" s="4" t="s">
        <v>7</v>
      </c>
      <c r="M53" s="4" t="s">
        <v>8</v>
      </c>
      <c r="N53" s="4" t="s">
        <v>109</v>
      </c>
    </row>
    <row r="54" spans="1:14" x14ac:dyDescent="0.45">
      <c r="A54" s="28" t="s">
        <v>101</v>
      </c>
      <c r="B54" s="32" t="s">
        <v>116</v>
      </c>
      <c r="C54" s="15" t="s">
        <v>102</v>
      </c>
      <c r="D54" s="15" t="s">
        <v>102</v>
      </c>
      <c r="E54" s="15" t="s">
        <v>102</v>
      </c>
      <c r="J54" s="4" t="s">
        <v>5</v>
      </c>
      <c r="K54" s="4">
        <f>CORREL(B11:B26,B11:B26)</f>
        <v>0.99999999999999978</v>
      </c>
      <c r="L54" s="4">
        <f>CORREL(D4:D18,B4:B18)</f>
        <v>-0.50263655359142445</v>
      </c>
      <c r="M54" s="4">
        <f>CORREL(E4:E18,B4:B18)</f>
        <v>0.49054395347233209</v>
      </c>
      <c r="N54" s="4">
        <f>CORREL(F4:F18,B4:B18)</f>
        <v>0.20567565626553191</v>
      </c>
    </row>
    <row r="55" spans="1:14" x14ac:dyDescent="0.45">
      <c r="J55" s="4" t="s">
        <v>7</v>
      </c>
      <c r="K55" s="4">
        <f>L54</f>
        <v>-0.50263655359142445</v>
      </c>
      <c r="L55" s="4">
        <v>1</v>
      </c>
      <c r="M55" s="4">
        <f>CORREL(E4:E18,D4:D18)</f>
        <v>0.16753621436882649</v>
      </c>
      <c r="N55" s="30">
        <f>CORREL(F4:F18,D4:D18)</f>
        <v>2.8365262292078756E-2</v>
      </c>
    </row>
    <row r="56" spans="1:14" x14ac:dyDescent="0.45">
      <c r="J56" s="4" t="s">
        <v>8</v>
      </c>
      <c r="K56" s="4">
        <f>M54</f>
        <v>0.49054395347233209</v>
      </c>
      <c r="L56" s="4">
        <f>M55</f>
        <v>0.16753621436882649</v>
      </c>
      <c r="M56" s="4">
        <v>1</v>
      </c>
      <c r="N56" s="4">
        <f>CORREL(F4:F18,E4:E18)</f>
        <v>0.19696480797361396</v>
      </c>
    </row>
    <row r="57" spans="1:14" x14ac:dyDescent="0.45">
      <c r="J57" s="4" t="s">
        <v>109</v>
      </c>
      <c r="K57" s="4">
        <f>N54</f>
        <v>0.20567565626553191</v>
      </c>
      <c r="L57" s="30">
        <f>N55</f>
        <v>2.8365262292078756E-2</v>
      </c>
      <c r="M57" s="4">
        <f>N56</f>
        <v>0.19696480797361396</v>
      </c>
      <c r="N57" s="4">
        <v>1</v>
      </c>
    </row>
    <row r="60" spans="1:14" x14ac:dyDescent="0.45">
      <c r="A60" s="4"/>
      <c r="B60" s="4" t="s">
        <v>6</v>
      </c>
      <c r="C60" s="28" t="s">
        <v>7</v>
      </c>
      <c r="D60" s="28" t="s">
        <v>8</v>
      </c>
      <c r="E60" s="28" t="s">
        <v>9</v>
      </c>
    </row>
    <row r="61" spans="1:14" x14ac:dyDescent="0.45">
      <c r="A61" s="4" t="s">
        <v>94</v>
      </c>
      <c r="B61" s="4" t="s">
        <v>154</v>
      </c>
      <c r="C61" s="4" t="s">
        <v>154</v>
      </c>
      <c r="D61" s="4" t="s">
        <v>154</v>
      </c>
      <c r="E61" s="4" t="s">
        <v>154</v>
      </c>
    </row>
    <row r="62" spans="1:14" x14ac:dyDescent="0.45">
      <c r="A62" s="4" t="s">
        <v>95</v>
      </c>
      <c r="B62" s="4" t="s">
        <v>155</v>
      </c>
      <c r="C62" s="4" t="s">
        <v>156</v>
      </c>
      <c r="D62" s="4" t="s">
        <v>157</v>
      </c>
      <c r="E62" s="4" t="s">
        <v>158</v>
      </c>
    </row>
    <row r="63" spans="1:14" x14ac:dyDescent="0.45">
      <c r="A63" s="4" t="s">
        <v>96</v>
      </c>
      <c r="B63" s="4" t="s">
        <v>159</v>
      </c>
      <c r="C63" s="4" t="s">
        <v>159</v>
      </c>
      <c r="D63" s="4" t="s">
        <v>159</v>
      </c>
      <c r="E63" s="4" t="s">
        <v>159</v>
      </c>
    </row>
    <row r="64" spans="1:14" x14ac:dyDescent="0.45">
      <c r="A64" s="4" t="s">
        <v>97</v>
      </c>
      <c r="B64" s="4" t="s">
        <v>160</v>
      </c>
      <c r="C64" s="4">
        <f>ABS(K43)</f>
        <v>0</v>
      </c>
      <c r="D64" s="4">
        <f>ABS(K44)</f>
        <v>0</v>
      </c>
      <c r="E64" s="4" t="e">
        <f>ABS(K45)</f>
        <v>#VALUE!</v>
      </c>
    </row>
    <row r="65" spans="1:7" x14ac:dyDescent="0.45">
      <c r="A65" s="4" t="s">
        <v>98</v>
      </c>
      <c r="B65" s="4" t="s">
        <v>161</v>
      </c>
      <c r="C65" s="4" t="e">
        <f t="shared" ref="C65:E65" si="4">C64/C63</f>
        <v>#VALUE!</v>
      </c>
      <c r="D65" s="4" t="e">
        <f t="shared" si="4"/>
        <v>#VALUE!</v>
      </c>
      <c r="E65" s="4" t="e">
        <f t="shared" si="4"/>
        <v>#VALUE!</v>
      </c>
    </row>
    <row r="66" spans="1:7" ht="28.5" x14ac:dyDescent="0.45">
      <c r="A66" s="4" t="s">
        <v>99</v>
      </c>
      <c r="B66" s="34" t="s">
        <v>162</v>
      </c>
      <c r="C66" s="4">
        <v>2.145</v>
      </c>
      <c r="D66" s="4">
        <v>2.145</v>
      </c>
      <c r="E66" s="4">
        <v>2.145</v>
      </c>
    </row>
    <row r="67" spans="1:7" x14ac:dyDescent="0.45">
      <c r="A67" s="13" t="s">
        <v>100</v>
      </c>
      <c r="B67" s="13" t="s">
        <v>163</v>
      </c>
      <c r="C67" s="13" t="s">
        <v>113</v>
      </c>
      <c r="D67" s="13" t="s">
        <v>114</v>
      </c>
      <c r="E67" s="13" t="s">
        <v>115</v>
      </c>
    </row>
    <row r="68" spans="1:7" x14ac:dyDescent="0.45">
      <c r="A68" s="4" t="s">
        <v>101</v>
      </c>
      <c r="B68" s="32" t="s">
        <v>164</v>
      </c>
      <c r="C68" s="15" t="s">
        <v>102</v>
      </c>
      <c r="D68" s="15" t="s">
        <v>102</v>
      </c>
      <c r="E68" s="15" t="s">
        <v>102</v>
      </c>
    </row>
    <row r="72" spans="1:7" ht="35.65" customHeight="1" x14ac:dyDescent="0.45"/>
    <row r="73" spans="1:7" ht="63.4" customHeight="1" x14ac:dyDescent="0.45">
      <c r="A73" s="34"/>
      <c r="B73" s="34" t="s">
        <v>87</v>
      </c>
      <c r="C73" s="34" t="s">
        <v>10</v>
      </c>
      <c r="D73" s="34" t="s">
        <v>202</v>
      </c>
      <c r="E73" s="34" t="s">
        <v>105</v>
      </c>
      <c r="F73" s="34" t="s">
        <v>204</v>
      </c>
      <c r="G73" s="4"/>
    </row>
    <row r="74" spans="1:7" x14ac:dyDescent="0.45">
      <c r="A74" s="4" t="s">
        <v>0</v>
      </c>
      <c r="B74" s="4" t="s">
        <v>5</v>
      </c>
      <c r="C74" s="4" t="s">
        <v>6</v>
      </c>
      <c r="D74" s="4" t="s">
        <v>7</v>
      </c>
      <c r="E74" s="4" t="s">
        <v>8</v>
      </c>
      <c r="F74" s="4" t="s">
        <v>9</v>
      </c>
    </row>
    <row r="75" spans="1:7" x14ac:dyDescent="0.45">
      <c r="A75" s="4">
        <v>2007</v>
      </c>
      <c r="B75" s="4">
        <v>15.061</v>
      </c>
      <c r="C75" s="4">
        <v>1</v>
      </c>
      <c r="D75" s="4">
        <v>127</v>
      </c>
      <c r="E75" s="4">
        <v>104.85</v>
      </c>
      <c r="F75" s="4">
        <v>3550.33</v>
      </c>
    </row>
    <row r="76" spans="1:7" x14ac:dyDescent="0.45">
      <c r="A76" s="4">
        <v>2008</v>
      </c>
      <c r="B76" s="4">
        <v>33.356999999999999</v>
      </c>
      <c r="C76" s="4">
        <v>1</v>
      </c>
      <c r="D76" s="4">
        <v>120.3</v>
      </c>
      <c r="E76" s="4">
        <v>133.44</v>
      </c>
      <c r="F76" s="4">
        <v>4594.34</v>
      </c>
    </row>
    <row r="77" spans="1:7" x14ac:dyDescent="0.45">
      <c r="A77" s="4">
        <v>2009</v>
      </c>
      <c r="B77" s="4">
        <v>14.786999999999999</v>
      </c>
      <c r="C77" s="4">
        <v>1</v>
      </c>
      <c r="D77" s="4">
        <v>120.79</v>
      </c>
      <c r="E77" s="4">
        <v>115.31</v>
      </c>
      <c r="F77" s="4">
        <v>5101.6899999999996</v>
      </c>
    </row>
    <row r="78" spans="1:7" x14ac:dyDescent="0.45">
      <c r="A78" s="4">
        <v>2010</v>
      </c>
      <c r="B78" s="4">
        <v>33.22</v>
      </c>
      <c r="C78" s="4">
        <v>1</v>
      </c>
      <c r="D78" s="4">
        <v>148.46</v>
      </c>
      <c r="E78" s="4">
        <v>148.05000000000001</v>
      </c>
      <c r="F78" s="4">
        <v>6087.19</v>
      </c>
    </row>
    <row r="79" spans="1:7" x14ac:dyDescent="0.45">
      <c r="A79" s="4">
        <v>2011</v>
      </c>
      <c r="B79" s="4">
        <v>50.098000000000006</v>
      </c>
      <c r="C79" s="4">
        <v>1</v>
      </c>
      <c r="D79" s="4">
        <v>146.72999999999999</v>
      </c>
      <c r="E79" s="4">
        <v>192.63</v>
      </c>
      <c r="F79" s="4">
        <v>7551.55</v>
      </c>
    </row>
    <row r="80" spans="1:7" x14ac:dyDescent="0.45">
      <c r="A80" s="4">
        <v>2012</v>
      </c>
      <c r="B80" s="4">
        <v>41.912000000000006</v>
      </c>
      <c r="C80" s="4">
        <v>1</v>
      </c>
      <c r="D80" s="4">
        <v>149.13</v>
      </c>
      <c r="E80" s="4">
        <v>208</v>
      </c>
      <c r="F80" s="4">
        <v>8532.19</v>
      </c>
    </row>
    <row r="81" spans="1:6" x14ac:dyDescent="0.45">
      <c r="A81" s="4">
        <v>2013</v>
      </c>
      <c r="B81" s="4">
        <v>35.895000000000003</v>
      </c>
      <c r="C81" s="4">
        <v>1</v>
      </c>
      <c r="D81" s="4">
        <v>152.19999999999999</v>
      </c>
      <c r="E81" s="4">
        <v>236.63</v>
      </c>
      <c r="F81" s="4">
        <v>9570.4699999999993</v>
      </c>
    </row>
    <row r="82" spans="1:6" x14ac:dyDescent="0.45">
      <c r="A82" s="4">
        <v>2014</v>
      </c>
      <c r="B82" s="4">
        <v>38.164999999999992</v>
      </c>
      <c r="C82" s="4">
        <v>1</v>
      </c>
      <c r="D82" s="4">
        <v>178.81</v>
      </c>
      <c r="E82" s="4">
        <v>221.42</v>
      </c>
      <c r="F82" s="4">
        <v>10475.620000000001</v>
      </c>
    </row>
    <row r="83" spans="1:6" x14ac:dyDescent="0.45">
      <c r="A83" s="4">
        <v>2015</v>
      </c>
      <c r="B83" s="4">
        <v>15.393000000000001</v>
      </c>
      <c r="C83" s="4">
        <v>1</v>
      </c>
      <c r="D83" s="4">
        <v>222.19</v>
      </c>
      <c r="E83" s="4">
        <v>184.39</v>
      </c>
      <c r="F83" s="4">
        <v>11061.57</v>
      </c>
    </row>
    <row r="84" spans="1:6" x14ac:dyDescent="0.45">
      <c r="A84" s="4">
        <v>2016</v>
      </c>
      <c r="B84" s="4">
        <v>11.514999999999997</v>
      </c>
      <c r="C84" s="4">
        <v>1</v>
      </c>
      <c r="D84" s="4">
        <v>341.9</v>
      </c>
      <c r="E84" s="4">
        <v>137.28</v>
      </c>
      <c r="F84" s="4">
        <v>11233.31</v>
      </c>
    </row>
    <row r="85" spans="1:6" x14ac:dyDescent="0.45">
      <c r="A85" s="4">
        <v>2017</v>
      </c>
      <c r="B85" s="4">
        <v>18.700999999999997</v>
      </c>
      <c r="C85" s="4">
        <v>1</v>
      </c>
      <c r="D85" s="4">
        <v>326.17</v>
      </c>
      <c r="E85" s="4">
        <v>166.81</v>
      </c>
      <c r="F85" s="4">
        <v>12310.49</v>
      </c>
    </row>
    <row r="86" spans="1:6" x14ac:dyDescent="0.45">
      <c r="A86" s="4">
        <v>2018</v>
      </c>
      <c r="B86" s="4">
        <v>27.613</v>
      </c>
      <c r="C86" s="4">
        <v>1</v>
      </c>
      <c r="D86" s="4">
        <v>345.09</v>
      </c>
      <c r="E86" s="4">
        <v>179.34</v>
      </c>
      <c r="F86" s="4">
        <v>13894.91</v>
      </c>
    </row>
    <row r="87" spans="1:6" x14ac:dyDescent="0.45">
      <c r="A87" s="4">
        <v>2019</v>
      </c>
      <c r="B87" s="4">
        <v>17.600999999999999</v>
      </c>
      <c r="C87" s="4">
        <v>1</v>
      </c>
      <c r="D87" s="4">
        <v>383.04</v>
      </c>
      <c r="E87" s="4">
        <v>181.67</v>
      </c>
      <c r="F87" s="4">
        <v>14279.97</v>
      </c>
    </row>
    <row r="88" spans="1:6" x14ac:dyDescent="0.45">
      <c r="A88" s="4">
        <v>2020</v>
      </c>
      <c r="B88" s="4">
        <v>7.5220000000000056</v>
      </c>
      <c r="C88" s="4">
        <v>1</v>
      </c>
      <c r="D88" s="4">
        <v>414.08</v>
      </c>
      <c r="E88" s="4">
        <v>171.08</v>
      </c>
      <c r="F88" s="4">
        <v>14687.74</v>
      </c>
    </row>
    <row r="89" spans="1:6" x14ac:dyDescent="0.45">
      <c r="A89" s="4">
        <v>2021</v>
      </c>
      <c r="B89" s="4">
        <v>19.204999999999998</v>
      </c>
      <c r="C89" s="4">
        <v>1</v>
      </c>
      <c r="D89" s="4">
        <v>426.7</v>
      </c>
      <c r="E89" s="4">
        <v>197.11</v>
      </c>
      <c r="F89" s="4">
        <v>17820.46</v>
      </c>
    </row>
    <row r="90" spans="1:6" x14ac:dyDescent="0.45">
      <c r="A90" s="4">
        <v>2022</v>
      </c>
      <c r="B90" s="4">
        <v>35.069999999999993</v>
      </c>
      <c r="C90" s="4">
        <v>1</v>
      </c>
      <c r="D90" s="4">
        <v>461.71</v>
      </c>
      <c r="E90" s="4">
        <v>220.62</v>
      </c>
      <c r="F90" s="4">
        <v>17963.169999999998</v>
      </c>
    </row>
  </sheetData>
  <phoneticPr fontId="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E523C-97FF-4859-9531-45268826F139}">
  <dimension ref="A1:H22"/>
  <sheetViews>
    <sheetView workbookViewId="0">
      <selection sqref="A1:F18"/>
    </sheetView>
  </sheetViews>
  <sheetFormatPr defaultRowHeight="14.25" x14ac:dyDescent="0.45"/>
  <sheetData>
    <row r="1" spans="1:8" ht="85.5" x14ac:dyDescent="0.45">
      <c r="A1" s="4"/>
      <c r="B1" s="34" t="s">
        <v>86</v>
      </c>
      <c r="C1" s="34" t="s">
        <v>10</v>
      </c>
      <c r="D1" s="34" t="s">
        <v>202</v>
      </c>
      <c r="E1" s="34" t="s">
        <v>105</v>
      </c>
      <c r="F1" s="34" t="s">
        <v>203</v>
      </c>
      <c r="G1" t="s">
        <v>13</v>
      </c>
      <c r="H1" t="s">
        <v>14</v>
      </c>
    </row>
    <row r="2" spans="1:8" x14ac:dyDescent="0.45">
      <c r="A2" s="4" t="s">
        <v>0</v>
      </c>
      <c r="B2" s="4" t="s">
        <v>5</v>
      </c>
      <c r="C2" s="4" t="s">
        <v>6</v>
      </c>
      <c r="D2" s="4" t="s">
        <v>7</v>
      </c>
      <c r="E2" s="4" t="s">
        <v>8</v>
      </c>
      <c r="F2" s="4" t="s">
        <v>9</v>
      </c>
      <c r="G2" t="s">
        <v>15</v>
      </c>
      <c r="H2" t="s">
        <v>16</v>
      </c>
    </row>
    <row r="3" spans="1:8" x14ac:dyDescent="0.45">
      <c r="A3" s="4">
        <v>2007</v>
      </c>
      <c r="B3" s="4">
        <v>47.747999999999998</v>
      </c>
      <c r="C3" s="4">
        <v>1</v>
      </c>
      <c r="D3" s="4">
        <v>127</v>
      </c>
      <c r="E3" s="4">
        <v>104.85</v>
      </c>
      <c r="F3" s="4">
        <v>3550.33</v>
      </c>
    </row>
    <row r="4" spans="1:8" x14ac:dyDescent="0.45">
      <c r="A4" s="4">
        <v>2008</v>
      </c>
      <c r="B4" s="4">
        <v>71.171999999999997</v>
      </c>
      <c r="C4" s="4">
        <v>1</v>
      </c>
      <c r="D4" s="4">
        <v>120.3</v>
      </c>
      <c r="E4" s="4">
        <v>133.44</v>
      </c>
      <c r="F4" s="4">
        <v>4594.34</v>
      </c>
    </row>
    <row r="5" spans="1:8" x14ac:dyDescent="0.45">
      <c r="A5" s="4">
        <v>2009</v>
      </c>
      <c r="B5" s="4">
        <v>43.195999999999998</v>
      </c>
      <c r="C5" s="4">
        <v>1</v>
      </c>
      <c r="D5" s="4">
        <v>120.79</v>
      </c>
      <c r="E5" s="4">
        <v>115.31</v>
      </c>
      <c r="F5" s="4">
        <v>5101.6899999999996</v>
      </c>
    </row>
    <row r="6" spans="1:8" x14ac:dyDescent="0.45">
      <c r="A6" s="4">
        <v>2010</v>
      </c>
      <c r="B6" s="4">
        <v>57.244</v>
      </c>
      <c r="C6" s="4">
        <v>1</v>
      </c>
      <c r="D6" s="4">
        <v>148.46</v>
      </c>
      <c r="E6" s="4">
        <v>148.05000000000001</v>
      </c>
      <c r="F6" s="4">
        <v>6087.19</v>
      </c>
    </row>
    <row r="7" spans="1:8" x14ac:dyDescent="0.45">
      <c r="A7" s="4">
        <v>2011</v>
      </c>
      <c r="B7" s="4">
        <v>88.108000000000004</v>
      </c>
      <c r="C7" s="4">
        <v>1</v>
      </c>
      <c r="D7" s="4">
        <v>146.72999999999999</v>
      </c>
      <c r="E7" s="4">
        <v>192.63</v>
      </c>
      <c r="F7" s="4">
        <v>7551.55</v>
      </c>
    </row>
    <row r="8" spans="1:8" x14ac:dyDescent="0.45">
      <c r="A8" s="4">
        <v>2012</v>
      </c>
      <c r="B8" s="4">
        <v>86.45</v>
      </c>
      <c r="C8" s="4">
        <v>1</v>
      </c>
      <c r="D8" s="4">
        <v>149.13</v>
      </c>
      <c r="E8" s="4">
        <v>208</v>
      </c>
      <c r="F8" s="4">
        <v>8532.19</v>
      </c>
    </row>
    <row r="9" spans="1:8" x14ac:dyDescent="0.45">
      <c r="A9" s="4">
        <v>2013</v>
      </c>
      <c r="B9" s="4">
        <v>84.7</v>
      </c>
      <c r="C9" s="4">
        <v>1</v>
      </c>
      <c r="D9" s="4">
        <v>152.19999999999999</v>
      </c>
      <c r="E9" s="4">
        <v>236.63</v>
      </c>
      <c r="F9" s="4">
        <v>9570.4699999999993</v>
      </c>
    </row>
    <row r="10" spans="1:8" x14ac:dyDescent="0.45">
      <c r="A10" s="4">
        <v>2014</v>
      </c>
      <c r="B10" s="4">
        <v>79.459999999999994</v>
      </c>
      <c r="C10" s="4">
        <v>1</v>
      </c>
      <c r="D10" s="4">
        <v>178.81</v>
      </c>
      <c r="E10" s="4">
        <v>221.42</v>
      </c>
      <c r="F10" s="4">
        <v>10475.620000000001</v>
      </c>
    </row>
    <row r="11" spans="1:8" x14ac:dyDescent="0.45">
      <c r="A11" s="4">
        <v>2015</v>
      </c>
      <c r="B11" s="4">
        <v>45.96</v>
      </c>
      <c r="C11" s="4">
        <v>1</v>
      </c>
      <c r="D11" s="4">
        <v>222.19</v>
      </c>
      <c r="E11" s="4">
        <v>184.39</v>
      </c>
      <c r="F11" s="4">
        <v>11061.57</v>
      </c>
    </row>
    <row r="12" spans="1:8" x14ac:dyDescent="0.45">
      <c r="A12" s="4">
        <v>2016</v>
      </c>
      <c r="B12" s="4">
        <v>36.69</v>
      </c>
      <c r="C12" s="4">
        <v>1</v>
      </c>
      <c r="D12" s="4">
        <v>341.9</v>
      </c>
      <c r="E12" s="4">
        <v>137.28</v>
      </c>
      <c r="F12" s="4">
        <v>11233.31</v>
      </c>
    </row>
    <row r="13" spans="1:8" x14ac:dyDescent="0.45">
      <c r="A13" s="4">
        <v>2017</v>
      </c>
      <c r="B13" s="4">
        <v>48.3</v>
      </c>
      <c r="C13" s="4">
        <v>1</v>
      </c>
      <c r="D13" s="4">
        <v>326.17</v>
      </c>
      <c r="E13" s="4">
        <v>166.81</v>
      </c>
      <c r="F13" s="4">
        <v>12310.49</v>
      </c>
    </row>
    <row r="14" spans="1:8" x14ac:dyDescent="0.45">
      <c r="A14" s="4">
        <v>2018</v>
      </c>
      <c r="B14" s="4">
        <v>60.96</v>
      </c>
      <c r="C14" s="4">
        <v>1</v>
      </c>
      <c r="D14" s="4">
        <v>345.09</v>
      </c>
      <c r="E14" s="4">
        <v>179.34</v>
      </c>
      <c r="F14" s="4">
        <v>13894.91</v>
      </c>
    </row>
    <row r="15" spans="1:8" x14ac:dyDescent="0.45">
      <c r="A15" s="4">
        <v>2019</v>
      </c>
      <c r="B15" s="4">
        <v>57.31</v>
      </c>
      <c r="C15" s="4">
        <v>1</v>
      </c>
      <c r="D15" s="4">
        <v>383.04</v>
      </c>
      <c r="E15" s="4">
        <v>181.67</v>
      </c>
      <c r="F15" s="4">
        <v>14279.97</v>
      </c>
    </row>
    <row r="16" spans="1:8" x14ac:dyDescent="0.45">
      <c r="A16" s="4">
        <v>2020</v>
      </c>
      <c r="B16" s="4">
        <v>46.45</v>
      </c>
      <c r="C16" s="4">
        <v>1</v>
      </c>
      <c r="D16" s="4">
        <v>414.08</v>
      </c>
      <c r="E16" s="4">
        <v>171.08</v>
      </c>
      <c r="F16" s="4">
        <v>14687.74</v>
      </c>
    </row>
    <row r="17" spans="1:6" x14ac:dyDescent="0.45">
      <c r="A17" s="4">
        <v>2021</v>
      </c>
      <c r="B17" s="4">
        <v>60.62</v>
      </c>
      <c r="C17" s="4">
        <v>1</v>
      </c>
      <c r="D17" s="4">
        <v>426.7</v>
      </c>
      <c r="E17" s="4">
        <v>197.11</v>
      </c>
      <c r="F17" s="4">
        <v>17820.46</v>
      </c>
    </row>
    <row r="18" spans="1:6" x14ac:dyDescent="0.45">
      <c r="A18" s="4">
        <v>2022</v>
      </c>
      <c r="B18" s="4">
        <v>84.66</v>
      </c>
      <c r="C18" s="4">
        <v>1</v>
      </c>
      <c r="D18" s="4">
        <v>461.71</v>
      </c>
      <c r="E18" s="4">
        <v>220.62</v>
      </c>
      <c r="F18" s="4">
        <v>17963.169999999998</v>
      </c>
    </row>
    <row r="22" spans="1:6" x14ac:dyDescent="0.45">
      <c r="A22" s="8" t="s">
        <v>83</v>
      </c>
    </row>
  </sheetData>
  <hyperlinks>
    <hyperlink ref="A22" r:id="rId1" xr:uid="{991CEDB1-E0B3-4BE5-881B-48FA7923E2B1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98E7-9EB6-4335-B2A4-74BABF6C3C8C}">
  <dimension ref="A1:E34"/>
  <sheetViews>
    <sheetView zoomScale="97" workbookViewId="0">
      <selection sqref="A1:E17"/>
    </sheetView>
  </sheetViews>
  <sheetFormatPr defaultRowHeight="14.25" x14ac:dyDescent="0.45"/>
  <cols>
    <col min="1" max="1" width="14.6640625" customWidth="1"/>
    <col min="2" max="2" width="11.73046875" customWidth="1"/>
  </cols>
  <sheetData>
    <row r="1" spans="1:5" ht="71.25" x14ac:dyDescent="0.45">
      <c r="A1" s="34" t="s">
        <v>0</v>
      </c>
      <c r="B1" s="34" t="s">
        <v>209</v>
      </c>
      <c r="C1" s="34" t="s">
        <v>210</v>
      </c>
      <c r="D1" s="34" t="s">
        <v>211</v>
      </c>
      <c r="E1" s="34" t="s">
        <v>212</v>
      </c>
    </row>
    <row r="2" spans="1:5" x14ac:dyDescent="0.45">
      <c r="A2" s="4">
        <v>2007</v>
      </c>
      <c r="B2" s="4">
        <v>127</v>
      </c>
      <c r="C2" s="4">
        <v>1.41875</v>
      </c>
      <c r="D2" s="4">
        <v>26.331099999999999</v>
      </c>
      <c r="E2" s="4">
        <v>7.8072999999999997</v>
      </c>
    </row>
    <row r="3" spans="1:5" x14ac:dyDescent="0.45">
      <c r="A3" s="4">
        <v>2008</v>
      </c>
      <c r="B3" s="4">
        <v>120.3</v>
      </c>
      <c r="C3" s="4">
        <v>1.1686399999999999</v>
      </c>
      <c r="D3" s="4">
        <v>24.546199999999999</v>
      </c>
      <c r="E3" s="35">
        <v>7.2995999999999999</v>
      </c>
    </row>
    <row r="4" spans="1:5" x14ac:dyDescent="0.45">
      <c r="A4" s="4">
        <v>2009</v>
      </c>
      <c r="B4" s="4">
        <v>120.79</v>
      </c>
      <c r="C4" s="4">
        <v>1.6089199999999999</v>
      </c>
      <c r="D4" s="4">
        <v>29.3916</v>
      </c>
      <c r="E4" s="4">
        <v>6.8367000000000004</v>
      </c>
    </row>
    <row r="5" spans="1:5" x14ac:dyDescent="0.45">
      <c r="A5" s="4">
        <v>2010</v>
      </c>
      <c r="B5" s="4">
        <v>148.46</v>
      </c>
      <c r="C5" s="4">
        <v>1.4554199999999999</v>
      </c>
      <c r="D5" s="4">
        <v>30.185099999999998</v>
      </c>
      <c r="E5" s="4">
        <v>6.8281000000000001</v>
      </c>
    </row>
    <row r="6" spans="1:5" x14ac:dyDescent="0.45">
      <c r="A6" s="4">
        <v>2011</v>
      </c>
      <c r="B6" s="4">
        <v>146.72999999999999</v>
      </c>
      <c r="C6" s="4">
        <v>1.5657799999999999</v>
      </c>
      <c r="D6" s="4">
        <v>30.3505</v>
      </c>
      <c r="E6" s="4">
        <v>6.6215000000000002</v>
      </c>
    </row>
    <row r="7" spans="1:5" x14ac:dyDescent="0.45">
      <c r="A7" s="4">
        <v>2012</v>
      </c>
      <c r="B7" s="4">
        <v>149.13</v>
      </c>
      <c r="C7" s="4">
        <v>1.881275</v>
      </c>
      <c r="D7" s="4">
        <v>32.196100000000001</v>
      </c>
      <c r="E7" s="4">
        <v>6.3000999999999996</v>
      </c>
    </row>
    <row r="8" spans="1:5" x14ac:dyDescent="0.45">
      <c r="A8" s="4">
        <v>2013</v>
      </c>
      <c r="B8" s="4">
        <v>152.19999999999999</v>
      </c>
      <c r="C8" s="4">
        <v>1.7762</v>
      </c>
      <c r="D8" s="4">
        <v>30.372699999999998</v>
      </c>
      <c r="E8" s="4">
        <v>6.2896999999999998</v>
      </c>
    </row>
    <row r="9" spans="1:5" x14ac:dyDescent="0.45">
      <c r="A9" s="4">
        <v>2014</v>
      </c>
      <c r="B9" s="4">
        <v>178.81</v>
      </c>
      <c r="C9" s="4">
        <v>2.17448</v>
      </c>
      <c r="D9" s="4">
        <v>32.658700000000003</v>
      </c>
      <c r="E9" s="4">
        <v>6.0990000000000002</v>
      </c>
    </row>
    <row r="10" spans="1:5" x14ac:dyDescent="0.45">
      <c r="A10" s="4">
        <v>2015</v>
      </c>
      <c r="B10" s="4">
        <v>222.19</v>
      </c>
      <c r="C10" s="4">
        <v>2.3145389999999999</v>
      </c>
      <c r="D10" s="4">
        <v>56.2376</v>
      </c>
      <c r="E10" s="4">
        <v>6.1247999999999996</v>
      </c>
    </row>
    <row r="11" spans="1:5" x14ac:dyDescent="0.45">
      <c r="A11" s="4">
        <v>2016</v>
      </c>
      <c r="B11" s="4">
        <v>341.9</v>
      </c>
      <c r="C11" s="4">
        <v>2.99268</v>
      </c>
      <c r="D11" s="4">
        <v>72.929900000000004</v>
      </c>
      <c r="E11" s="4">
        <v>6.5125999999999999</v>
      </c>
    </row>
    <row r="12" spans="1:5" x14ac:dyDescent="0.45">
      <c r="A12" s="4">
        <v>2017</v>
      </c>
      <c r="B12" s="4">
        <v>326.17</v>
      </c>
      <c r="C12" s="4">
        <v>3.5982500000000002</v>
      </c>
      <c r="D12" s="4">
        <v>60.6569</v>
      </c>
      <c r="E12" s="4">
        <v>6.9551999999999996</v>
      </c>
    </row>
    <row r="13" spans="1:5" x14ac:dyDescent="0.45">
      <c r="A13" s="4">
        <v>2018</v>
      </c>
      <c r="B13" s="4">
        <v>345.09</v>
      </c>
      <c r="C13" s="4">
        <v>3.75345</v>
      </c>
      <c r="D13" s="4">
        <v>57.600200000000001</v>
      </c>
      <c r="E13" s="4">
        <v>6.4958999999999998</v>
      </c>
    </row>
    <row r="14" spans="1:5" x14ac:dyDescent="0.45">
      <c r="A14" s="4">
        <v>2019</v>
      </c>
      <c r="B14" s="4">
        <v>383.04</v>
      </c>
      <c r="C14" s="4">
        <v>5.3947399999999996</v>
      </c>
      <c r="D14" s="4">
        <v>69.470600000000005</v>
      </c>
      <c r="E14" s="4">
        <v>6.8556999999999997</v>
      </c>
    </row>
    <row r="15" spans="1:5" x14ac:dyDescent="0.45">
      <c r="A15" s="4">
        <v>2020</v>
      </c>
      <c r="B15" s="4">
        <v>414.08</v>
      </c>
      <c r="C15" s="4">
        <v>5.9245390000000002</v>
      </c>
      <c r="D15" s="4">
        <v>61.905700000000003</v>
      </c>
      <c r="E15" s="4">
        <v>6.97</v>
      </c>
    </row>
    <row r="16" spans="1:5" x14ac:dyDescent="0.45">
      <c r="A16" s="4">
        <v>2021</v>
      </c>
      <c r="B16" s="4">
        <v>426.7</v>
      </c>
      <c r="C16" s="4">
        <v>7.3650000000000002</v>
      </c>
      <c r="D16" s="4">
        <v>73.875699999999995</v>
      </c>
      <c r="E16" s="4">
        <v>6.4682000000000004</v>
      </c>
    </row>
    <row r="17" spans="1:5" x14ac:dyDescent="0.45">
      <c r="A17" s="4">
        <v>2022</v>
      </c>
      <c r="B17" s="4">
        <v>461.71</v>
      </c>
      <c r="C17" s="4">
        <v>13.6105</v>
      </c>
      <c r="D17" s="4">
        <v>74.292599999999993</v>
      </c>
      <c r="E17" s="4">
        <v>6.37</v>
      </c>
    </row>
    <row r="19" spans="1:5" x14ac:dyDescent="0.45">
      <c r="A19" t="s">
        <v>42</v>
      </c>
    </row>
    <row r="20" spans="1:5" x14ac:dyDescent="0.45">
      <c r="A20" t="s">
        <v>44</v>
      </c>
    </row>
    <row r="24" spans="1:5" x14ac:dyDescent="0.45">
      <c r="A24" s="8" t="s">
        <v>43</v>
      </c>
    </row>
    <row r="25" spans="1:5" x14ac:dyDescent="0.45">
      <c r="A25" s="8" t="s">
        <v>45</v>
      </c>
    </row>
    <row r="26" spans="1:5" x14ac:dyDescent="0.45">
      <c r="A26" s="8" t="s">
        <v>46</v>
      </c>
    </row>
    <row r="27" spans="1:5" x14ac:dyDescent="0.45">
      <c r="A27" s="8" t="s">
        <v>47</v>
      </c>
    </row>
    <row r="30" spans="1:5" x14ac:dyDescent="0.45">
      <c r="A30" t="s">
        <v>58</v>
      </c>
    </row>
    <row r="31" spans="1:5" x14ac:dyDescent="0.45">
      <c r="A31" s="4" t="s">
        <v>59</v>
      </c>
      <c r="B31" s="4" t="s">
        <v>63</v>
      </c>
    </row>
    <row r="32" spans="1:5" x14ac:dyDescent="0.45">
      <c r="A32" s="4" t="s">
        <v>60</v>
      </c>
      <c r="B32" s="4">
        <v>0.83665999999999996</v>
      </c>
    </row>
    <row r="33" spans="1:2" x14ac:dyDescent="0.45">
      <c r="A33" s="4" t="s">
        <v>61</v>
      </c>
      <c r="B33" s="15">
        <v>0.95516999999999996</v>
      </c>
    </row>
    <row r="34" spans="1:2" x14ac:dyDescent="0.45">
      <c r="A34" s="4" t="s">
        <v>62</v>
      </c>
      <c r="B34" s="16">
        <v>-0.18634000000000001</v>
      </c>
    </row>
  </sheetData>
  <hyperlinks>
    <hyperlink ref="A25" r:id="rId1" xr:uid="{72FA9E77-EC9B-431B-826E-C647A1C577DC}"/>
    <hyperlink ref="A24" r:id="rId2" xr:uid="{47139A77-4A31-4EC3-8F67-6F8300D7BBCE}"/>
    <hyperlink ref="A26" r:id="rId3" xr:uid="{11BD21E4-FCD8-4EC7-B7D6-E7D01A8A84B7}"/>
    <hyperlink ref="A27" r:id="rId4" xr:uid="{5C073464-2D35-4793-A2ED-6139C1FD315D}"/>
  </hyperlinks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C5547-EBCA-4E33-BA99-97E911870D31}">
  <dimension ref="A1:E35"/>
  <sheetViews>
    <sheetView zoomScale="105" workbookViewId="0">
      <selection sqref="A1:E17"/>
    </sheetView>
  </sheetViews>
  <sheetFormatPr defaultRowHeight="14.25" x14ac:dyDescent="0.45"/>
  <cols>
    <col min="1" max="1" width="9.86328125" customWidth="1"/>
    <col min="2" max="2" width="10.53125" customWidth="1"/>
    <col min="9" max="9" width="14.265625" bestFit="1" customWidth="1"/>
  </cols>
  <sheetData>
    <row r="1" spans="1:5" ht="42.75" x14ac:dyDescent="0.45">
      <c r="A1" s="34" t="s">
        <v>0</v>
      </c>
      <c r="B1" s="34" t="s">
        <v>205</v>
      </c>
      <c r="C1" s="34" t="s">
        <v>206</v>
      </c>
      <c r="D1" s="34" t="s">
        <v>207</v>
      </c>
      <c r="E1" s="34" t="s">
        <v>208</v>
      </c>
    </row>
    <row r="2" spans="1:5" x14ac:dyDescent="0.45">
      <c r="A2" s="4">
        <v>2007</v>
      </c>
      <c r="B2" s="4">
        <v>104.85</v>
      </c>
      <c r="C2" s="4">
        <v>681.32</v>
      </c>
      <c r="D2" s="4">
        <v>1299.7</v>
      </c>
      <c r="E2" s="4">
        <v>3550.33</v>
      </c>
    </row>
    <row r="3" spans="1:5" x14ac:dyDescent="0.45">
      <c r="A3" s="4">
        <v>2008</v>
      </c>
      <c r="B3" s="4">
        <v>133.44</v>
      </c>
      <c r="C3" s="4">
        <v>770.45</v>
      </c>
      <c r="D3" s="4">
        <v>1660.85</v>
      </c>
      <c r="E3" s="4">
        <v>4594.34</v>
      </c>
    </row>
    <row r="4" spans="1:5" x14ac:dyDescent="0.45">
      <c r="A4" s="4">
        <v>2009</v>
      </c>
      <c r="B4" s="4">
        <v>115.31</v>
      </c>
      <c r="C4" s="4">
        <v>649.29</v>
      </c>
      <c r="D4" s="4">
        <v>1222.6500000000001</v>
      </c>
      <c r="E4" s="4">
        <v>5101.6899999999996</v>
      </c>
    </row>
    <row r="5" spans="1:5" x14ac:dyDescent="0.45">
      <c r="A5" s="4">
        <v>2010</v>
      </c>
      <c r="B5" s="4">
        <v>148.05000000000001</v>
      </c>
      <c r="C5" s="4">
        <v>776.97</v>
      </c>
      <c r="D5" s="4">
        <v>1524.92</v>
      </c>
      <c r="E5" s="4">
        <v>6087.19</v>
      </c>
    </row>
    <row r="6" spans="1:5" x14ac:dyDescent="0.45">
      <c r="A6" s="4">
        <v>2011</v>
      </c>
      <c r="B6" s="4">
        <v>192.63</v>
      </c>
      <c r="C6" s="4">
        <v>838.79</v>
      </c>
      <c r="D6" s="4">
        <v>2045.92</v>
      </c>
      <c r="E6" s="4">
        <v>7551.55</v>
      </c>
    </row>
    <row r="7" spans="1:5" x14ac:dyDescent="0.45">
      <c r="A7" s="4">
        <v>2012</v>
      </c>
      <c r="B7" s="4">
        <v>208</v>
      </c>
      <c r="C7" s="4">
        <v>880.56</v>
      </c>
      <c r="D7" s="4">
        <v>2208.29</v>
      </c>
      <c r="E7" s="4">
        <v>8532.19</v>
      </c>
    </row>
    <row r="8" spans="1:5" x14ac:dyDescent="0.45">
      <c r="A8" s="4">
        <v>2013</v>
      </c>
      <c r="B8" s="4">
        <v>236.63</v>
      </c>
      <c r="C8" s="4">
        <v>957.8</v>
      </c>
      <c r="D8" s="4">
        <v>2292.4699999999998</v>
      </c>
      <c r="E8" s="4">
        <v>9570.4699999999993</v>
      </c>
    </row>
    <row r="9" spans="1:5" x14ac:dyDescent="0.45">
      <c r="A9" s="4">
        <v>2014</v>
      </c>
      <c r="B9" s="4">
        <v>221.42</v>
      </c>
      <c r="C9" s="4">
        <v>938.93</v>
      </c>
      <c r="D9" s="4">
        <v>2059.2399999999998</v>
      </c>
      <c r="E9" s="4">
        <v>10475.620000000001</v>
      </c>
    </row>
    <row r="10" spans="1:5" x14ac:dyDescent="0.45">
      <c r="A10" s="4">
        <v>2015</v>
      </c>
      <c r="B10" s="4">
        <v>184.39</v>
      </c>
      <c r="C10" s="4">
        <v>864.31</v>
      </c>
      <c r="D10" s="4">
        <v>1363.48</v>
      </c>
      <c r="E10" s="4">
        <v>11061.57</v>
      </c>
    </row>
    <row r="11" spans="1:5" x14ac:dyDescent="0.45">
      <c r="A11" s="4">
        <v>2016</v>
      </c>
      <c r="B11" s="4">
        <v>137.28</v>
      </c>
      <c r="C11" s="4">
        <v>869.68</v>
      </c>
      <c r="D11" s="4">
        <v>1276.79</v>
      </c>
      <c r="E11" s="4">
        <v>11233.31</v>
      </c>
    </row>
    <row r="12" spans="1:5" x14ac:dyDescent="0.45">
      <c r="A12" s="4">
        <v>2017</v>
      </c>
      <c r="B12" s="4">
        <v>166.81</v>
      </c>
      <c r="C12" s="4">
        <v>858.99</v>
      </c>
      <c r="D12" s="4">
        <v>1574.2</v>
      </c>
      <c r="E12" s="4">
        <v>12310.49</v>
      </c>
    </row>
    <row r="13" spans="1:5" x14ac:dyDescent="0.45">
      <c r="A13" s="4">
        <v>2018</v>
      </c>
      <c r="B13" s="4">
        <v>179.34</v>
      </c>
      <c r="C13" s="4">
        <v>778.48</v>
      </c>
      <c r="D13" s="4">
        <v>1657.33</v>
      </c>
      <c r="E13" s="4">
        <v>13894.91</v>
      </c>
    </row>
    <row r="14" spans="1:5" x14ac:dyDescent="0.45">
      <c r="A14" s="4">
        <v>2019</v>
      </c>
      <c r="B14" s="4">
        <v>181.67</v>
      </c>
      <c r="C14" s="4">
        <v>759.93</v>
      </c>
      <c r="D14" s="4">
        <v>1693.11</v>
      </c>
      <c r="E14" s="4">
        <v>14279.97</v>
      </c>
    </row>
    <row r="15" spans="1:5" x14ac:dyDescent="0.45">
      <c r="A15" s="4">
        <v>2020</v>
      </c>
      <c r="B15" s="4">
        <v>171.08</v>
      </c>
      <c r="C15" s="4">
        <v>720.29</v>
      </c>
      <c r="D15" s="4">
        <v>1493.08</v>
      </c>
      <c r="E15" s="4">
        <v>14687.74</v>
      </c>
    </row>
    <row r="16" spans="1:5" x14ac:dyDescent="0.45">
      <c r="A16" s="4">
        <v>2021</v>
      </c>
      <c r="B16" s="4">
        <v>197.11</v>
      </c>
      <c r="C16" s="4">
        <v>819.03</v>
      </c>
      <c r="D16" s="4">
        <v>1836.89</v>
      </c>
      <c r="E16" s="4">
        <v>17820.46</v>
      </c>
    </row>
    <row r="17" spans="1:5" x14ac:dyDescent="0.45">
      <c r="A17" s="4">
        <v>2022</v>
      </c>
      <c r="B17" s="4">
        <v>220.62</v>
      </c>
      <c r="C17" s="4">
        <v>905.99</v>
      </c>
      <c r="D17" s="4">
        <v>2240.42</v>
      </c>
      <c r="E17" s="4">
        <v>17963.169999999998</v>
      </c>
    </row>
    <row r="19" spans="1:5" x14ac:dyDescent="0.45">
      <c r="A19" t="s">
        <v>48</v>
      </c>
    </row>
    <row r="31" spans="1:5" x14ac:dyDescent="0.45">
      <c r="A31" s="4"/>
      <c r="B31" s="4" t="s">
        <v>28</v>
      </c>
      <c r="C31" s="4" t="s">
        <v>50</v>
      </c>
      <c r="D31" s="4" t="s">
        <v>51</v>
      </c>
      <c r="E31" s="4" t="s">
        <v>49</v>
      </c>
    </row>
    <row r="32" spans="1:5" x14ac:dyDescent="0.45">
      <c r="A32" s="4" t="s">
        <v>28</v>
      </c>
      <c r="B32" s="4">
        <v>1</v>
      </c>
      <c r="C32" s="9">
        <f>B33</f>
        <v>0.80232999999999999</v>
      </c>
      <c r="D32" s="9">
        <f>B34</f>
        <v>0.86689000000000005</v>
      </c>
      <c r="E32" s="4">
        <f>B35</f>
        <v>0.57045000000000001</v>
      </c>
    </row>
    <row r="33" spans="1:5" x14ac:dyDescent="0.45">
      <c r="A33" s="4" t="s">
        <v>29</v>
      </c>
      <c r="B33" s="9">
        <v>0.80232999999999999</v>
      </c>
      <c r="C33" s="4">
        <v>1</v>
      </c>
      <c r="D33" s="4">
        <f>C34</f>
        <v>0.70421</v>
      </c>
      <c r="E33" s="10">
        <f>C35</f>
        <v>0.34222999999999998</v>
      </c>
    </row>
    <row r="34" spans="1:5" x14ac:dyDescent="0.45">
      <c r="A34" s="4" t="s">
        <v>30</v>
      </c>
      <c r="B34" s="9">
        <v>0.86689000000000005</v>
      </c>
      <c r="C34" s="4">
        <v>0.70421</v>
      </c>
      <c r="D34" s="4">
        <v>1</v>
      </c>
      <c r="E34" s="10">
        <f>D35</f>
        <v>0.29111999999999999</v>
      </c>
    </row>
    <row r="35" spans="1:5" x14ac:dyDescent="0.45">
      <c r="A35" s="4" t="s">
        <v>49</v>
      </c>
      <c r="B35" s="4">
        <v>0.57045000000000001</v>
      </c>
      <c r="C35" s="10">
        <v>0.34222999999999998</v>
      </c>
      <c r="D35" s="10">
        <v>0.29111999999999999</v>
      </c>
      <c r="E35" s="4">
        <v>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9308A-7FB9-4060-B134-7810E6D4CB2B}">
  <dimension ref="A2:L47"/>
  <sheetViews>
    <sheetView topLeftCell="A14" workbookViewId="0">
      <selection activeCell="F38" sqref="F38"/>
    </sheetView>
  </sheetViews>
  <sheetFormatPr defaultRowHeight="14.25" x14ac:dyDescent="0.45"/>
  <cols>
    <col min="3" max="3" width="26.86328125" bestFit="1" customWidth="1"/>
    <col min="5" max="5" width="21.9296875" customWidth="1"/>
    <col min="6" max="6" width="13.73046875" bestFit="1" customWidth="1"/>
    <col min="7" max="7" width="6.796875" customWidth="1"/>
    <col min="8" max="8" width="21.59765625" customWidth="1"/>
    <col min="9" max="9" width="9.33203125" customWidth="1"/>
  </cols>
  <sheetData>
    <row r="2" spans="1:9" x14ac:dyDescent="0.45">
      <c r="A2" t="s">
        <v>33</v>
      </c>
      <c r="E2" t="s">
        <v>35</v>
      </c>
      <c r="F2" s="4" t="s">
        <v>28</v>
      </c>
      <c r="G2" s="4" t="s">
        <v>29</v>
      </c>
      <c r="H2" s="4" t="s">
        <v>30</v>
      </c>
      <c r="I2" s="4" t="s">
        <v>31</v>
      </c>
    </row>
    <row r="3" spans="1:9" x14ac:dyDescent="0.45">
      <c r="F3" s="5">
        <f>'Correlation GDP'!B17/'Correlation GDP'!B2</f>
        <v>2.1041487839771102</v>
      </c>
      <c r="G3" s="6">
        <f>'Correlation GDP'!C17/'Correlation GDP'!C2</f>
        <v>1.3297569424059179</v>
      </c>
      <c r="H3" s="6">
        <f>'Correlation GDP'!D17/'Correlation GDP'!D2</f>
        <v>1.7237977994921905</v>
      </c>
      <c r="I3" s="5">
        <f>'Correlation GDP'!E17/'Correlation GDP'!E2</f>
        <v>5.0595775603957938</v>
      </c>
    </row>
    <row r="6" spans="1:9" ht="14.65" thickBot="1" x14ac:dyDescent="0.5">
      <c r="C6" s="4"/>
      <c r="D6" s="4">
        <v>2007</v>
      </c>
      <c r="E6" s="4">
        <v>2022</v>
      </c>
      <c r="F6" s="13" t="s">
        <v>33</v>
      </c>
    </row>
    <row r="7" spans="1:9" ht="14.65" thickBot="1" x14ac:dyDescent="0.5">
      <c r="C7" s="4" t="s">
        <v>52</v>
      </c>
      <c r="D7" s="4">
        <f>'Correlation Exchange rate'!$B$2</f>
        <v>127</v>
      </c>
      <c r="E7" s="12">
        <f>'Correlation Exchange rate'!$B$17</f>
        <v>461.71</v>
      </c>
      <c r="F7" s="14">
        <f>'Correlation Exchange rate'!$B$17/'Correlation Exchange rate'!$B$2</f>
        <v>3.6355118110236218</v>
      </c>
    </row>
    <row r="10" spans="1:9" x14ac:dyDescent="0.45">
      <c r="C10" t="s">
        <v>56</v>
      </c>
    </row>
    <row r="11" spans="1:9" x14ac:dyDescent="0.45">
      <c r="C11" s="4" t="s">
        <v>57</v>
      </c>
      <c r="D11" s="4">
        <f>'Correlation Exchange rate'!E17/'Correlation Exchange rate'!E2</f>
        <v>0.81590306508011734</v>
      </c>
    </row>
    <row r="21" spans="1:12" x14ac:dyDescent="0.45">
      <c r="A21" t="s">
        <v>32</v>
      </c>
      <c r="E21" t="s">
        <v>36</v>
      </c>
    </row>
    <row r="22" spans="1:12" x14ac:dyDescent="0.45">
      <c r="H22" s="4"/>
      <c r="I22" s="4" t="s">
        <v>28</v>
      </c>
      <c r="J22" s="4" t="s">
        <v>29</v>
      </c>
      <c r="K22" s="4" t="s">
        <v>30</v>
      </c>
      <c r="L22" s="4" t="s">
        <v>31</v>
      </c>
    </row>
    <row r="23" spans="1:12" x14ac:dyDescent="0.45">
      <c r="C23" s="4"/>
      <c r="D23" s="4">
        <v>2015</v>
      </c>
      <c r="E23" s="4">
        <v>2016</v>
      </c>
      <c r="H23" s="4" t="s">
        <v>37</v>
      </c>
      <c r="I23" s="4">
        <f>'Correlation GDP'!B4/'Correlation GDP'!B3</f>
        <v>0.86413369304556353</v>
      </c>
      <c r="J23" s="4">
        <f>'Correlation GDP'!C4/'Correlation GDP'!C3</f>
        <v>0.84274125511064957</v>
      </c>
      <c r="K23" s="4"/>
      <c r="L23" s="4"/>
    </row>
    <row r="24" spans="1:12" x14ac:dyDescent="0.45">
      <c r="C24" s="4" t="s">
        <v>53</v>
      </c>
      <c r="D24" s="4">
        <f>'Correlation Exchange rate'!$B$10/'Correlation Exchange rate'!$B$9</f>
        <v>1.2426038812146971</v>
      </c>
      <c r="E24" s="4">
        <f>'Correlation Exchange rate'!$B$11/'Correlation Exchange rate'!$B$10</f>
        <v>1.5387731221027048</v>
      </c>
      <c r="H24" s="4" t="s">
        <v>38</v>
      </c>
      <c r="I24" s="4">
        <f>'Correlation GDP'!B17/'Correlation GDP'!B16</f>
        <v>1.1192735021054234</v>
      </c>
      <c r="J24" s="4">
        <f>'Correlation GDP'!C17/'Correlation GDP'!C16</f>
        <v>1.1061743770069472</v>
      </c>
      <c r="K24" s="4">
        <f>'Correlation GDP'!D17/'Correlation GDP'!D16</f>
        <v>1.2196810914099374</v>
      </c>
      <c r="L24" s="4">
        <f>'Correlation GDP'!E17/'Correlation GDP'!E16</f>
        <v>1.0080082107869268</v>
      </c>
    </row>
    <row r="27" spans="1:12" x14ac:dyDescent="0.45">
      <c r="C27" t="s">
        <v>54</v>
      </c>
    </row>
    <row r="28" spans="1:12" x14ac:dyDescent="0.45">
      <c r="C28" s="4" t="s">
        <v>53</v>
      </c>
      <c r="D28" s="4">
        <f>'Correlation Exchange rate'!C17/'Correlation Exchange rate'!C16</f>
        <v>1.8479972844534962</v>
      </c>
    </row>
    <row r="30" spans="1:12" x14ac:dyDescent="0.45">
      <c r="C30" s="4" t="s">
        <v>55</v>
      </c>
      <c r="D30" s="4">
        <v>2015</v>
      </c>
      <c r="E30" s="4">
        <v>2016</v>
      </c>
    </row>
    <row r="31" spans="1:12" x14ac:dyDescent="0.45">
      <c r="C31" s="4" t="s">
        <v>53</v>
      </c>
      <c r="D31" s="4">
        <f>'Correlation Exchange rate'!$D$10/'Correlation Exchange rate'!$D$9</f>
        <v>1.7219791357279988</v>
      </c>
      <c r="E31" s="4">
        <f>'Correlation Exchange rate'!$D$11/'Correlation Exchange rate'!$D$10</f>
        <v>1.2968174317538446</v>
      </c>
    </row>
    <row r="36" spans="1:12" x14ac:dyDescent="0.45">
      <c r="A36" t="s">
        <v>34</v>
      </c>
    </row>
    <row r="37" spans="1:12" x14ac:dyDescent="0.45">
      <c r="E37" t="s">
        <v>39</v>
      </c>
      <c r="F37">
        <f>'Correlation GDP'!B17/'Correlation GDP'!B2</f>
        <v>2.1041487839771102</v>
      </c>
      <c r="G37">
        <f>'Correlation GDP'!C17/'Correlation GDP'!C2</f>
        <v>1.3297569424059179</v>
      </c>
      <c r="H37">
        <f>'Correlation GDP'!D17/'Correlation GDP'!D2</f>
        <v>1.7237977994921905</v>
      </c>
      <c r="I37">
        <f>'Correlation GDP'!E17/'Correlation GDP'!E2</f>
        <v>5.0595775603957938</v>
      </c>
    </row>
    <row r="38" spans="1:12" x14ac:dyDescent="0.45">
      <c r="E38" t="s">
        <v>40</v>
      </c>
      <c r="F38">
        <f>F37*(1/16)</f>
        <v>0.13150929899856939</v>
      </c>
      <c r="G38">
        <f t="shared" ref="G38:I38" si="0">G37*(1/16)</f>
        <v>8.3109808900369869E-2</v>
      </c>
      <c r="H38">
        <f t="shared" si="0"/>
        <v>0.1077373624682619</v>
      </c>
      <c r="I38">
        <f t="shared" si="0"/>
        <v>0.31622359752473711</v>
      </c>
    </row>
    <row r="41" spans="1:12" x14ac:dyDescent="0.45">
      <c r="H41" s="4" t="s">
        <v>35</v>
      </c>
      <c r="I41" s="4" t="s">
        <v>28</v>
      </c>
      <c r="J41" s="4" t="s">
        <v>29</v>
      </c>
      <c r="K41" s="4" t="s">
        <v>30</v>
      </c>
      <c r="L41" s="4" t="s">
        <v>31</v>
      </c>
    </row>
    <row r="42" spans="1:12" x14ac:dyDescent="0.45">
      <c r="H42" s="4" t="s">
        <v>41</v>
      </c>
      <c r="I42" s="4">
        <f>F38</f>
        <v>0.13150929899856939</v>
      </c>
      <c r="J42" s="4">
        <f t="shared" ref="J42:L42" si="1">G38</f>
        <v>8.3109808900369869E-2</v>
      </c>
      <c r="K42" s="4">
        <f t="shared" si="1"/>
        <v>0.1077373624682619</v>
      </c>
      <c r="L42" s="4">
        <f t="shared" si="1"/>
        <v>0.31622359752473711</v>
      </c>
    </row>
    <row r="47" spans="1:12" x14ac:dyDescent="0.45">
      <c r="E47" s="4" t="s">
        <v>41</v>
      </c>
      <c r="F47" s="4">
        <f>F7*(1/16)</f>
        <v>0.22721948818897636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gretl</vt:lpstr>
      <vt:lpstr>Big model OLSM</vt:lpstr>
      <vt:lpstr>Big model corr final</vt:lpstr>
      <vt:lpstr>Big model</vt:lpstr>
      <vt:lpstr>Kz Net export</vt:lpstr>
      <vt:lpstr>Kz Export</vt:lpstr>
      <vt:lpstr>Correlation Exchange rate</vt:lpstr>
      <vt:lpstr>Correlation GDP</vt:lpstr>
      <vt:lpstr>Time series analysis</vt:lpstr>
      <vt:lpstr> Forecastin Exch</vt:lpstr>
      <vt:lpstr>Structure of practical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Vojta Joza</dc:creator>
  <cp:lastModifiedBy>Vojta Joza</cp:lastModifiedBy>
  <dcterms:created xsi:type="dcterms:W3CDTF">2024-02-13T08:22:19Z</dcterms:created>
  <dcterms:modified xsi:type="dcterms:W3CDTF">2024-03-29T18:18:07Z</dcterms:modified>
</cp:coreProperties>
</file>