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https://d.docs.live.net/5e742e6f8184fc53/Vysoká škola ČZU/Dokumenty/4. Semestr (LS 2021)/Bakalářská práce 1/Moje BP/Přílohy/"/>
    </mc:Choice>
  </mc:AlternateContent>
  <xr:revisionPtr revIDLastSave="2" documentId="13_ncr:1_{84B4B7BA-B3CD-4D9C-973A-DA3DC8ABF305}" xr6:coauthVersionLast="47" xr6:coauthVersionMax="47" xr10:uidLastSave="{D3352CDE-CB5C-427B-AF34-F721C3A67FA8}"/>
  <bookViews>
    <workbookView xWindow="-108" yWindow="-108" windowWidth="30936" windowHeight="12456" xr2:uid="{E94984A5-FF98-4771-B8BD-3A04F43B0BA6}"/>
  </bookViews>
  <sheets>
    <sheet name="Zmrzlina_MAX" sheetId="12" r:id="rId1"/>
    <sheet name="Klic_Zmrzlina_MAX" sheetId="13" r:id="rId2"/>
    <sheet name="Zmrzlina_MIN" sheetId="14" r:id="rId3"/>
    <sheet name="Klic_Zmrzlina_MIN" sheetId="16" r:id="rId4"/>
    <sheet name="Univerzální kalkulačka"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3" l="1"/>
  <c r="I40" i="3"/>
  <c r="H40" i="3"/>
  <c r="S42" i="3" a="1"/>
  <c r="S42" i="3" s="1"/>
  <c r="Q45" i="3"/>
  <c r="Q44" i="3"/>
  <c r="Q43" i="3"/>
  <c r="Q42" i="3"/>
  <c r="P45" i="3"/>
  <c r="P44" i="3"/>
  <c r="P43" i="3"/>
  <c r="P42" i="3"/>
  <c r="O45" i="3"/>
  <c r="O44" i="3"/>
  <c r="O43" i="3"/>
  <c r="O42" i="3"/>
  <c r="N45" i="3"/>
  <c r="N44" i="3"/>
  <c r="N43" i="3"/>
  <c r="N42" i="3"/>
  <c r="M45" i="3"/>
  <c r="M44" i="3"/>
  <c r="M43" i="3"/>
  <c r="M42" i="3"/>
  <c r="L45" i="3"/>
  <c r="L44" i="3"/>
  <c r="L43" i="3"/>
  <c r="L42" i="3"/>
  <c r="K45" i="3"/>
  <c r="K44" i="3"/>
  <c r="K43" i="3"/>
  <c r="K42" i="3"/>
  <c r="J45" i="3"/>
  <c r="J44" i="3"/>
  <c r="J43" i="3"/>
  <c r="J42" i="3"/>
  <c r="I45" i="3"/>
  <c r="I44" i="3"/>
  <c r="I43" i="3"/>
  <c r="I42" i="3"/>
  <c r="H45" i="3"/>
  <c r="H44" i="3"/>
  <c r="H43" i="3"/>
  <c r="H42" i="3"/>
  <c r="D11" i="3"/>
  <c r="F11" i="3"/>
  <c r="H11" i="3"/>
  <c r="G12" i="3"/>
  <c r="H12" i="3" s="1"/>
  <c r="C12" i="3"/>
  <c r="D12" i="3" s="1"/>
  <c r="E12" i="3"/>
  <c r="F12" i="3" s="1"/>
  <c r="E178" i="14"/>
  <c r="N178" i="14" s="1"/>
  <c r="G178" i="14"/>
  <c r="E181" i="14"/>
  <c r="J178" i="14"/>
  <c r="C178" i="14"/>
  <c r="M178" i="14" s="1"/>
  <c r="G180" i="14"/>
  <c r="O180" i="14" s="1"/>
  <c r="J179" i="14"/>
  <c r="T181" i="14" s="1"/>
  <c r="G179" i="14"/>
  <c r="O179" i="14" s="1"/>
  <c r="E179" i="14"/>
  <c r="N179" i="14" s="1"/>
  <c r="C179" i="14"/>
  <c r="M179" i="14" s="1"/>
  <c r="J180" i="14"/>
  <c r="T180" i="14" s="1"/>
  <c r="C180" i="14"/>
  <c r="M180" i="14" s="1"/>
  <c r="C181" i="14"/>
  <c r="G181" i="14"/>
  <c r="G129" i="14"/>
  <c r="E129" i="14"/>
  <c r="G127" i="14"/>
  <c r="O127" i="14" s="1"/>
  <c r="G126" i="14"/>
  <c r="G128" i="14"/>
  <c r="O128" i="14" s="1"/>
  <c r="C128" i="14"/>
  <c r="M128" i="14" s="1"/>
  <c r="E127" i="14"/>
  <c r="N127" i="14" s="1"/>
  <c r="C127" i="14"/>
  <c r="M127" i="14" s="1"/>
  <c r="E126" i="14"/>
  <c r="N126" i="14" s="1"/>
  <c r="C126" i="14"/>
  <c r="M126" i="14" s="1"/>
  <c r="C129" i="14"/>
  <c r="J126" i="14"/>
  <c r="T126" i="14" s="1"/>
  <c r="J127" i="14"/>
  <c r="T129" i="14" s="1"/>
  <c r="J128" i="14"/>
  <c r="G77" i="14"/>
  <c r="E77" i="14"/>
  <c r="V75" i="14" s="1"/>
  <c r="C77" i="14"/>
  <c r="G76" i="14"/>
  <c r="O76" i="14" s="1"/>
  <c r="C76" i="14"/>
  <c r="M76" i="14" s="1"/>
  <c r="J76" i="14"/>
  <c r="T76" i="14" s="1"/>
  <c r="G75" i="14"/>
  <c r="E75" i="14"/>
  <c r="N75" i="14" s="1"/>
  <c r="C75" i="14"/>
  <c r="M75" i="14" s="1"/>
  <c r="J75" i="14"/>
  <c r="T75" i="14" s="1"/>
  <c r="G74" i="14"/>
  <c r="O74" i="14" s="1"/>
  <c r="E74" i="14"/>
  <c r="N74" i="14" s="1"/>
  <c r="C74" i="14"/>
  <c r="M74" i="14" s="1"/>
  <c r="J74" i="14"/>
  <c r="G25" i="14"/>
  <c r="V23" i="14" s="1"/>
  <c r="E25" i="14"/>
  <c r="C25" i="14"/>
  <c r="V22" i="14" s="1"/>
  <c r="G24" i="14"/>
  <c r="O24" i="14" s="1"/>
  <c r="C24" i="14"/>
  <c r="M24" i="14" s="1"/>
  <c r="J24" i="14"/>
  <c r="T24" i="14" s="1"/>
  <c r="G22" i="14"/>
  <c r="O22" i="14" s="1"/>
  <c r="E22" i="14"/>
  <c r="N22" i="14" s="1"/>
  <c r="C22" i="14"/>
  <c r="M22" i="14" s="1"/>
  <c r="G23" i="14"/>
  <c r="O23" i="14" s="1"/>
  <c r="C23" i="14"/>
  <c r="M23" i="14" s="1"/>
  <c r="J22" i="14"/>
  <c r="T22" i="14" s="1"/>
  <c r="E23" i="14"/>
  <c r="N23" i="14" s="1"/>
  <c r="J23" i="14"/>
  <c r="T23" i="14" s="1"/>
  <c r="F24" i="16" a="1"/>
  <c r="F24" i="16" s="1"/>
  <c r="W11" i="16" a="1"/>
  <c r="W11" i="16" s="1"/>
  <c r="J13" i="16"/>
  <c r="M14" i="16"/>
  <c r="J14" i="16"/>
  <c r="I14" i="16"/>
  <c r="H14" i="16"/>
  <c r="G14" i="16"/>
  <c r="F14" i="16"/>
  <c r="M13" i="16"/>
  <c r="K13" i="16"/>
  <c r="I13" i="16"/>
  <c r="H13" i="16"/>
  <c r="G13" i="16"/>
  <c r="F13" i="16"/>
  <c r="M12" i="16"/>
  <c r="K12" i="16"/>
  <c r="J12" i="16"/>
  <c r="I12" i="16"/>
  <c r="H12" i="16"/>
  <c r="G12" i="16"/>
  <c r="F12" i="16"/>
  <c r="K10" i="16"/>
  <c r="J10" i="16"/>
  <c r="I10" i="16"/>
  <c r="H10" i="16"/>
  <c r="G10" i="16"/>
  <c r="F10" i="16"/>
  <c r="F185" i="14"/>
  <c r="N180" i="14"/>
  <c r="F133" i="14"/>
  <c r="N128" i="14"/>
  <c r="F81" i="14"/>
  <c r="N76" i="14"/>
  <c r="F29" i="14"/>
  <c r="N24" i="14"/>
  <c r="H14" i="13"/>
  <c r="H13" i="13"/>
  <c r="H12" i="13"/>
  <c r="G14" i="13"/>
  <c r="G13" i="13"/>
  <c r="G12" i="13"/>
  <c r="F14" i="13"/>
  <c r="F13" i="13"/>
  <c r="F12" i="13"/>
  <c r="L14" i="13"/>
  <c r="L13" i="13"/>
  <c r="L12" i="13"/>
  <c r="H10" i="13"/>
  <c r="G10" i="13"/>
  <c r="F10" i="13"/>
  <c r="F24" i="13" a="1"/>
  <c r="F24" i="13" s="1"/>
  <c r="J13" i="13"/>
  <c r="K14" i="13"/>
  <c r="K13" i="13"/>
  <c r="K12" i="13"/>
  <c r="J14" i="13"/>
  <c r="J12" i="13"/>
  <c r="I14" i="13"/>
  <c r="I13" i="13"/>
  <c r="I12" i="13"/>
  <c r="J10" i="13"/>
  <c r="K10" i="13"/>
  <c r="I10" i="13"/>
  <c r="N181" i="14" l="1"/>
  <c r="O181" i="14"/>
  <c r="M181" i="14"/>
  <c r="O129" i="14"/>
  <c r="N129" i="14"/>
  <c r="M129" i="14"/>
  <c r="AE180" i="14"/>
  <c r="AE128" i="14"/>
  <c r="AE178" i="14"/>
  <c r="AE179" i="14"/>
  <c r="AE127" i="14"/>
  <c r="AE126" i="14"/>
  <c r="AE76" i="14"/>
  <c r="AE74" i="14"/>
  <c r="AE75" i="14"/>
  <c r="AE24" i="14"/>
  <c r="AE23" i="14"/>
  <c r="AE22" i="14"/>
  <c r="AE181" i="14"/>
  <c r="AC181" i="14"/>
  <c r="AD181" i="14"/>
  <c r="AB181" i="14"/>
  <c r="X181" i="14"/>
  <c r="V180" i="14"/>
  <c r="V179" i="14"/>
  <c r="AE129" i="14"/>
  <c r="AD129" i="14"/>
  <c r="AB129" i="14"/>
  <c r="AA129" i="14"/>
  <c r="X129" i="14"/>
  <c r="V127" i="14"/>
  <c r="AE77" i="14"/>
  <c r="AD77" i="14"/>
  <c r="AB77" i="14"/>
  <c r="AA77" i="14"/>
  <c r="Z77" i="14"/>
  <c r="M77" i="14"/>
  <c r="T77" i="14"/>
  <c r="T25" i="14"/>
  <c r="O77" i="14"/>
  <c r="V74" i="14"/>
  <c r="N77" i="14"/>
  <c r="O25" i="14"/>
  <c r="N25" i="14"/>
  <c r="M25" i="14"/>
  <c r="AE25" i="14"/>
  <c r="AD25" i="14"/>
  <c r="AB25" i="14"/>
  <c r="AA25" i="14"/>
  <c r="E14" i="16"/>
  <c r="D14" i="16" s="1"/>
  <c r="E12" i="16"/>
  <c r="D12" i="16" s="1"/>
  <c r="E13" i="16"/>
  <c r="D13" i="16" s="1"/>
  <c r="Y25" i="14"/>
  <c r="W10" i="16" a="1"/>
  <c r="W10" i="16" s="1"/>
  <c r="F23" i="16" a="1"/>
  <c r="F23" i="16" s="1"/>
  <c r="O178" i="14"/>
  <c r="O75" i="14"/>
  <c r="O126" i="14"/>
  <c r="T127" i="14"/>
  <c r="T178" i="14"/>
  <c r="T74" i="14"/>
  <c r="T128" i="14"/>
  <c r="T179" i="14"/>
  <c r="V126" i="14"/>
  <c r="V10" i="13" a="1"/>
  <c r="V10" i="13" s="1"/>
  <c r="F23" i="13" a="1"/>
  <c r="F23" i="13" s="1"/>
  <c r="C125" i="12"/>
  <c r="G125" i="12"/>
  <c r="E174" i="12"/>
  <c r="N174" i="12" s="1"/>
  <c r="G175" i="12"/>
  <c r="O175" i="12" s="1"/>
  <c r="C175" i="12"/>
  <c r="E175" i="12"/>
  <c r="N175" i="12" s="1"/>
  <c r="E125" i="12"/>
  <c r="N125" i="12" s="1"/>
  <c r="E124" i="12"/>
  <c r="N124" i="12" s="1"/>
  <c r="F179" i="12"/>
  <c r="J174" i="12"/>
  <c r="G174" i="12"/>
  <c r="O174" i="12" s="1"/>
  <c r="C174" i="12"/>
  <c r="M174" i="12" s="1"/>
  <c r="J173" i="12"/>
  <c r="G173" i="12"/>
  <c r="O173" i="12" s="1"/>
  <c r="E173" i="12"/>
  <c r="N173" i="12" s="1"/>
  <c r="M173" i="12"/>
  <c r="M172" i="12"/>
  <c r="J172" i="12"/>
  <c r="G172" i="12"/>
  <c r="O172" i="12" s="1"/>
  <c r="E172" i="12"/>
  <c r="N172" i="12" s="1"/>
  <c r="C123" i="12"/>
  <c r="M123" i="12" s="1"/>
  <c r="J124" i="12"/>
  <c r="J123" i="12"/>
  <c r="J122" i="12"/>
  <c r="G122" i="12"/>
  <c r="O122" i="12" s="1"/>
  <c r="E122" i="12"/>
  <c r="N122" i="12" s="1"/>
  <c r="G123" i="12"/>
  <c r="O123" i="12" s="1"/>
  <c r="G124" i="12"/>
  <c r="O124" i="12" s="1"/>
  <c r="C124" i="12"/>
  <c r="M124" i="12" s="1"/>
  <c r="F129" i="12"/>
  <c r="E123" i="12"/>
  <c r="N123" i="12" s="1"/>
  <c r="M122" i="12"/>
  <c r="G73" i="12"/>
  <c r="O73" i="12" s="1"/>
  <c r="F79" i="12"/>
  <c r="F29" i="12"/>
  <c r="C74" i="12"/>
  <c r="M74" i="12" s="1"/>
  <c r="E73" i="12"/>
  <c r="N73" i="12" s="1"/>
  <c r="E72" i="12"/>
  <c r="N72" i="12" s="1"/>
  <c r="C72" i="12"/>
  <c r="M72" i="12" s="1"/>
  <c r="N75" i="12"/>
  <c r="G75" i="12"/>
  <c r="O75" i="12" s="1"/>
  <c r="C75" i="12"/>
  <c r="J74" i="12"/>
  <c r="G74" i="12"/>
  <c r="O74" i="12" s="1"/>
  <c r="N74" i="12"/>
  <c r="M73" i="12"/>
  <c r="J73" i="12"/>
  <c r="J72" i="12"/>
  <c r="G72" i="12"/>
  <c r="O72" i="12" s="1"/>
  <c r="AC175" i="12" l="1"/>
  <c r="S174" i="12"/>
  <c r="AC174" i="12"/>
  <c r="S173" i="12"/>
  <c r="AC173" i="12"/>
  <c r="S172" i="12"/>
  <c r="AC172" i="12"/>
  <c r="Z175" i="12"/>
  <c r="Y175" i="12"/>
  <c r="M175" i="12"/>
  <c r="X175" i="12"/>
  <c r="AC125" i="12"/>
  <c r="AC124" i="12"/>
  <c r="AC123" i="12"/>
  <c r="AC122" i="12"/>
  <c r="AA125" i="12"/>
  <c r="Z125" i="12"/>
  <c r="U122" i="12"/>
  <c r="X125" i="12"/>
  <c r="AC75" i="12"/>
  <c r="S74" i="12"/>
  <c r="AC74" i="12"/>
  <c r="S73" i="12"/>
  <c r="AC73" i="12"/>
  <c r="AB75" i="12"/>
  <c r="S72" i="12"/>
  <c r="AC72" i="12"/>
  <c r="AA75" i="12"/>
  <c r="U73" i="12"/>
  <c r="X75" i="12"/>
  <c r="U172" i="12"/>
  <c r="O125" i="12"/>
  <c r="S122" i="12"/>
  <c r="S123" i="12"/>
  <c r="M125" i="12"/>
  <c r="U123" i="12"/>
  <c r="S124" i="12"/>
  <c r="U74" i="12"/>
  <c r="M75" i="12"/>
  <c r="G25" i="12"/>
  <c r="O25" i="12" s="1"/>
  <c r="C25" i="12"/>
  <c r="J24" i="12"/>
  <c r="S24" i="12" s="1"/>
  <c r="J23" i="12"/>
  <c r="S23" i="12" s="1"/>
  <c r="J22" i="12"/>
  <c r="S22" i="12" s="1"/>
  <c r="G24" i="12"/>
  <c r="O24" i="12" s="1"/>
  <c r="E24" i="12"/>
  <c r="N24" i="12" s="1"/>
  <c r="G23" i="12"/>
  <c r="O23" i="12" s="1"/>
  <c r="E23" i="12"/>
  <c r="N23" i="12" s="1"/>
  <c r="G22" i="12"/>
  <c r="O22" i="12" s="1"/>
  <c r="E22" i="12"/>
  <c r="N22" i="12" s="1"/>
  <c r="N25" i="12"/>
  <c r="M24" i="12"/>
  <c r="M23" i="12"/>
  <c r="M22" i="12"/>
  <c r="AB25" i="12" l="1"/>
  <c r="AC25" i="12"/>
  <c r="AC24" i="12"/>
  <c r="AC23" i="12"/>
  <c r="AC22" i="12"/>
  <c r="Y25" i="12"/>
  <c r="X25" i="12"/>
  <c r="L15" i="16"/>
  <c r="J15" i="16"/>
  <c r="F15" i="16"/>
  <c r="M15" i="16"/>
  <c r="H15" i="16"/>
  <c r="I15" i="16"/>
  <c r="K15" i="16"/>
  <c r="G15" i="16"/>
  <c r="M25" i="12"/>
  <c r="U24" i="12"/>
  <c r="Q16" i="16" l="1"/>
  <c r="Q15" i="16" s="1"/>
  <c r="N14" i="16" l="1"/>
  <c r="N12" i="16"/>
  <c r="N13" i="16"/>
  <c r="L9" i="16"/>
  <c r="J9" i="16"/>
  <c r="F9" i="16"/>
  <c r="H9" i="16"/>
  <c r="I9" i="16"/>
  <c r="K9" i="16"/>
  <c r="G9" i="16"/>
  <c r="E12" i="13"/>
  <c r="E14" i="13"/>
  <c r="E13" i="13"/>
  <c r="V11" i="13" a="1"/>
  <c r="V11" i="13" s="1"/>
  <c r="Q12" i="16" l="1" a="1"/>
  <c r="Q12" i="16" s="1"/>
  <c r="C14" i="16" s="1"/>
  <c r="Q11" i="16" l="1"/>
  <c r="V14" i="16" s="1"/>
  <c r="U14" i="16" s="1"/>
  <c r="C12" i="16"/>
  <c r="C13" i="16"/>
  <c r="Q19" i="16" l="1"/>
  <c r="O12" i="16" s="1"/>
  <c r="L18" i="16"/>
  <c r="V12" i="16"/>
  <c r="U12" i="16" s="1"/>
  <c r="V13" i="16"/>
  <c r="U13" i="16" s="1"/>
  <c r="G18" i="16"/>
  <c r="K18" i="16"/>
  <c r="J18" i="16"/>
  <c r="M18" i="16"/>
  <c r="H18" i="16"/>
  <c r="I18" i="16"/>
  <c r="F18" i="16"/>
  <c r="O13" i="16" l="1"/>
  <c r="O14" i="16"/>
  <c r="L19" i="16" l="1"/>
  <c r="AC12" i="16" s="1"/>
  <c r="K19" i="16"/>
  <c r="AB14" i="16" s="1"/>
  <c r="F19" i="16"/>
  <c r="I19" i="16"/>
  <c r="Z14" i="16" s="1"/>
  <c r="J19" i="16"/>
  <c r="AA14" i="16" s="1"/>
  <c r="M19" i="16"/>
  <c r="AD14" i="16" s="1"/>
  <c r="H19" i="16"/>
  <c r="Y14" i="16" s="1"/>
  <c r="G19" i="16"/>
  <c r="AC13" i="16" l="1"/>
  <c r="AC14" i="16"/>
  <c r="X14" i="16"/>
  <c r="X12" i="16"/>
  <c r="X13" i="16"/>
  <c r="AA13" i="16"/>
  <c r="AA12" i="16"/>
  <c r="Y13" i="16"/>
  <c r="Y12" i="16"/>
  <c r="W14" i="16"/>
  <c r="W12" i="16"/>
  <c r="Z13" i="16"/>
  <c r="Z12" i="16"/>
  <c r="AD13" i="16"/>
  <c r="AD12" i="16"/>
  <c r="AB13" i="16"/>
  <c r="AB12" i="16"/>
  <c r="W13" i="16"/>
  <c r="AC15" i="16" l="1"/>
  <c r="X15" i="16"/>
  <c r="AD15" i="16"/>
  <c r="AB15" i="16"/>
  <c r="Z15" i="16"/>
  <c r="Y15" i="16"/>
  <c r="AA15" i="16"/>
  <c r="W15" i="16"/>
  <c r="AH16" i="16" l="1"/>
  <c r="AH15" i="16" s="1"/>
  <c r="W9" i="16" l="1"/>
  <c r="AB9" i="16"/>
  <c r="AA9" i="16"/>
  <c r="AE13" i="16"/>
  <c r="AC9" i="16"/>
  <c r="Y9" i="16"/>
  <c r="AE14" i="16"/>
  <c r="Z9" i="16"/>
  <c r="AE12" i="16"/>
  <c r="X9" i="16"/>
  <c r="AH12" i="16" l="1" a="1"/>
  <c r="AH12" i="16" s="1"/>
  <c r="T14" i="16" s="1"/>
  <c r="AH11" i="16" l="1"/>
  <c r="E26" i="16" s="1"/>
  <c r="D26" i="16" s="1"/>
  <c r="T13" i="16"/>
  <c r="T12" i="16"/>
  <c r="E27" i="16" l="1"/>
  <c r="D27" i="16" s="1"/>
  <c r="X18" i="16"/>
  <c r="AD18" i="16"/>
  <c r="E25" i="16"/>
  <c r="D25" i="16" s="1"/>
  <c r="W18" i="16"/>
  <c r="Y18" i="16"/>
  <c r="AC18" i="16"/>
  <c r="AH19" i="16"/>
  <c r="AF13" i="16" s="1"/>
  <c r="Z18" i="16"/>
  <c r="AB18" i="16"/>
  <c r="AA18" i="16"/>
  <c r="AF14" i="16" l="1"/>
  <c r="AF12" i="16"/>
  <c r="Z19" i="16" l="1"/>
  <c r="I26" i="16" s="1"/>
  <c r="AD19" i="16"/>
  <c r="M25" i="16" s="1"/>
  <c r="AA19" i="16"/>
  <c r="J26" i="16" s="1"/>
  <c r="Y19" i="16"/>
  <c r="AC19" i="16"/>
  <c r="L26" i="16" s="1"/>
  <c r="X19" i="16"/>
  <c r="G26" i="16" s="1"/>
  <c r="AB19" i="16"/>
  <c r="K27" i="16" s="1"/>
  <c r="W19" i="16"/>
  <c r="F26" i="16" s="1"/>
  <c r="I25" i="16"/>
  <c r="M27" i="16"/>
  <c r="O20" i="3"/>
  <c r="I27" i="16" l="1"/>
  <c r="M26" i="16"/>
  <c r="M28" i="16" s="1"/>
  <c r="F25" i="16"/>
  <c r="F27" i="16"/>
  <c r="J25" i="16"/>
  <c r="J27" i="16"/>
  <c r="G25" i="16"/>
  <c r="L25" i="16"/>
  <c r="I28" i="16"/>
  <c r="G27" i="16"/>
  <c r="H26" i="16"/>
  <c r="H27" i="16"/>
  <c r="H25" i="16"/>
  <c r="L27" i="16"/>
  <c r="K25" i="16"/>
  <c r="K26" i="16"/>
  <c r="F28" i="16" l="1"/>
  <c r="J28" i="16"/>
  <c r="L28" i="16"/>
  <c r="G28" i="16"/>
  <c r="H28" i="16"/>
  <c r="K28" i="16"/>
  <c r="N40" i="3"/>
  <c r="M40" i="3"/>
  <c r="L40" i="3"/>
  <c r="K40" i="3"/>
  <c r="R43" i="3"/>
  <c r="R44" i="3"/>
  <c r="R42" i="3"/>
  <c r="I17" i="3"/>
  <c r="K18" i="3"/>
  <c r="K23" i="3" s="1"/>
  <c r="R17" i="3" a="1"/>
  <c r="R17" i="3" s="1"/>
  <c r="M19" i="3"/>
  <c r="M23" i="3" s="1"/>
  <c r="Y33" i="3" a="1"/>
  <c r="Y33" i="3" s="1"/>
  <c r="J17" i="3"/>
  <c r="P20" i="3"/>
  <c r="P23" i="3" s="1"/>
  <c r="O23" i="3"/>
  <c r="S29" i="3"/>
  <c r="W31" i="3"/>
  <c r="R45" i="3" s="1"/>
  <c r="X31" i="3"/>
  <c r="R41" i="3" s="1"/>
  <c r="Q29" i="16" l="1"/>
  <c r="Q28" i="16" s="1"/>
  <c r="I28" i="3" a="1"/>
  <c r="I28" i="3" s="1"/>
  <c r="U30" i="3"/>
  <c r="N19" i="3"/>
  <c r="N23" i="3" s="1"/>
  <c r="O31" i="3" a="1"/>
  <c r="O31" i="3" s="1"/>
  <c r="V30" i="3"/>
  <c r="R28" i="3"/>
  <c r="I23" i="3"/>
  <c r="Q28" i="3"/>
  <c r="Q33" i="3"/>
  <c r="O40" i="3" s="1"/>
  <c r="L18" i="3"/>
  <c r="L23" i="3" s="1"/>
  <c r="T29" i="3"/>
  <c r="P41" i="3" s="1"/>
  <c r="S33" i="3"/>
  <c r="P40" i="3" s="1"/>
  <c r="Q22" i="3" a="1"/>
  <c r="Q22" i="3" s="1"/>
  <c r="X33" i="3"/>
  <c r="B33" i="3" a="1"/>
  <c r="Z28" i="3" a="1"/>
  <c r="Z28" i="3" s="1"/>
  <c r="J23" i="3"/>
  <c r="B22" i="3" a="1"/>
  <c r="B22" i="3" s="1"/>
  <c r="B23" i="3" a="1"/>
  <c r="B23" i="3" s="1"/>
  <c r="K41" i="3" l="1"/>
  <c r="I22" i="16"/>
  <c r="N27" i="16"/>
  <c r="F22" i="16"/>
  <c r="N26" i="16"/>
  <c r="L22" i="16"/>
  <c r="K22" i="16"/>
  <c r="H22" i="16"/>
  <c r="J22" i="16"/>
  <c r="N25" i="16"/>
  <c r="G22" i="16"/>
  <c r="H41" i="3"/>
  <c r="J41" i="3"/>
  <c r="I41" i="3"/>
  <c r="N41" i="3"/>
  <c r="M30" i="3" a="1"/>
  <c r="M30" i="3" s="1"/>
  <c r="O41" i="3"/>
  <c r="R33" i="3"/>
  <c r="Q41" i="3"/>
  <c r="V33" i="3"/>
  <c r="K29" i="3" a="1"/>
  <c r="T33" i="3"/>
  <c r="U33" i="3"/>
  <c r="Q40" i="3" s="1"/>
  <c r="W33" i="3"/>
  <c r="R40" i="3" s="1"/>
  <c r="B34" i="3" a="1"/>
  <c r="B34" i="3" s="1"/>
  <c r="B33" i="3"/>
  <c r="Q25" i="16" l="1" a="1"/>
  <c r="Q25" i="16" s="1"/>
  <c r="C26" i="16" s="1"/>
  <c r="M41" i="3"/>
  <c r="K29" i="3"/>
  <c r="L41" i="3"/>
  <c r="Z62" i="3" l="1" a="1"/>
  <c r="Z62" i="3" s="1"/>
  <c r="C25" i="16"/>
  <c r="F31" i="16" s="1"/>
  <c r="Q24" i="16"/>
  <c r="C27" i="16"/>
  <c r="H54" i="3" a="1"/>
  <c r="H54" i="3" s="1"/>
  <c r="Z40" i="3" a="1"/>
  <c r="Z40" i="3" s="1"/>
  <c r="Z54" i="3" a="1"/>
  <c r="Z54" i="3" s="1"/>
  <c r="M31" i="16" l="1"/>
  <c r="J31" i="16"/>
  <c r="K31" i="16"/>
  <c r="H31" i="16"/>
  <c r="L31" i="16"/>
  <c r="I31" i="16"/>
  <c r="Q32" i="16"/>
  <c r="O26" i="16" s="1"/>
  <c r="G31" i="16"/>
  <c r="O27" i="16" l="1"/>
  <c r="O25" i="16"/>
  <c r="J32" i="16" s="1"/>
  <c r="K32" i="16" l="1"/>
  <c r="I32" i="16"/>
  <c r="H32" i="16"/>
  <c r="M32" i="16"/>
  <c r="G32" i="16"/>
  <c r="L32" i="16"/>
  <c r="F32" i="16"/>
  <c r="B28" i="3" l="1" a="1"/>
  <c r="B17" i="3" l="1" a="1"/>
  <c r="B17" i="3" s="1"/>
  <c r="B28" i="3"/>
  <c r="G43" i="3" l="1"/>
  <c r="G44" i="3"/>
  <c r="G45" i="3"/>
  <c r="G42" i="3"/>
  <c r="F45" i="3" l="1"/>
  <c r="F44" i="3"/>
  <c r="F42" i="3"/>
  <c r="F43" i="3"/>
  <c r="J46" i="3" l="1"/>
  <c r="M46" i="3"/>
  <c r="P46" i="3"/>
  <c r="S46" i="3"/>
  <c r="R46" i="3"/>
  <c r="I46" i="3"/>
  <c r="L46" i="3"/>
  <c r="K46" i="3"/>
  <c r="N46" i="3"/>
  <c r="O46" i="3"/>
  <c r="Q46" i="3"/>
  <c r="H46" i="3"/>
  <c r="D46" i="3" l="1"/>
  <c r="T43" i="3" s="1"/>
  <c r="T44" i="3" l="1"/>
  <c r="T42" i="3"/>
  <c r="T45" i="3"/>
  <c r="Q39" i="3"/>
  <c r="K39" i="3"/>
  <c r="H39" i="3"/>
  <c r="AF41" i="3"/>
  <c r="Z41" i="3"/>
  <c r="N39" i="3"/>
  <c r="AC41" i="3"/>
  <c r="R39" i="3"/>
  <c r="J39" i="3"/>
  <c r="AI41" i="3"/>
  <c r="D45" i="3"/>
  <c r="AD41" i="3"/>
  <c r="P39" i="3"/>
  <c r="M39" i="3"/>
  <c r="AJ41" i="3"/>
  <c r="O39" i="3"/>
  <c r="I39" i="3"/>
  <c r="L39" i="3"/>
  <c r="D43" i="3" l="1" a="1"/>
  <c r="D43" i="3" s="1"/>
  <c r="E42" i="3" l="1"/>
  <c r="E43" i="3"/>
  <c r="E45" i="3"/>
  <c r="D42" i="3"/>
  <c r="AA41" i="3" s="1"/>
  <c r="E44" i="3"/>
  <c r="Y45" i="3" l="1"/>
  <c r="X45" i="3" s="1"/>
  <c r="AB41" i="3"/>
  <c r="Y44" i="3"/>
  <c r="X44" i="3" s="1"/>
  <c r="Y42" i="3"/>
  <c r="X42" i="3" s="1"/>
  <c r="Y43" i="3"/>
  <c r="X43" i="3" s="1"/>
  <c r="Q48" i="3"/>
  <c r="B42" i="3"/>
  <c r="L48" i="3"/>
  <c r="R48" i="3"/>
  <c r="K48" i="3"/>
  <c r="O48" i="3"/>
  <c r="M48" i="3"/>
  <c r="H48" i="3"/>
  <c r="P48" i="3"/>
  <c r="I48" i="3"/>
  <c r="J48" i="3"/>
  <c r="S48" i="3"/>
  <c r="N48" i="3"/>
  <c r="U42" i="3" l="1"/>
  <c r="U45" i="3"/>
  <c r="AB45" i="3" s="1"/>
  <c r="U43" i="3"/>
  <c r="U44" i="3"/>
  <c r="AB44" i="3" s="1"/>
  <c r="L49" i="3" l="1"/>
  <c r="AD45" i="3" s="1"/>
  <c r="K49" i="3"/>
  <c r="AC45" i="3" s="1"/>
  <c r="S49" i="3"/>
  <c r="AK42" i="3" s="1"/>
  <c r="H49" i="3"/>
  <c r="Z44" i="3" s="1"/>
  <c r="M49" i="3"/>
  <c r="AE43" i="3" s="1"/>
  <c r="N49" i="3"/>
  <c r="R49" i="3"/>
  <c r="P49" i="3"/>
  <c r="AH45" i="3" s="1"/>
  <c r="Q49" i="3"/>
  <c r="I49" i="3"/>
  <c r="AA45" i="3" s="1"/>
  <c r="O49" i="3"/>
  <c r="J49" i="3"/>
  <c r="AB43" i="3" s="1"/>
  <c r="AC44" i="3"/>
  <c r="AK44" i="3"/>
  <c r="AA44" i="3"/>
  <c r="AI44" i="3"/>
  <c r="AJ44" i="3"/>
  <c r="AF44" i="3"/>
  <c r="AD44" i="3"/>
  <c r="AG44" i="3"/>
  <c r="AE44" i="3"/>
  <c r="AH44" i="3" l="1"/>
  <c r="AB42" i="3"/>
  <c r="AB46" i="3" s="1"/>
  <c r="Z42" i="3"/>
  <c r="Z45" i="3"/>
  <c r="AJ42" i="3"/>
  <c r="AJ45" i="3"/>
  <c r="AK45" i="3"/>
  <c r="AI42" i="3"/>
  <c r="AI45" i="3"/>
  <c r="AE42" i="3"/>
  <c r="AE45" i="3"/>
  <c r="AG42" i="3"/>
  <c r="AG45" i="3"/>
  <c r="AF42" i="3"/>
  <c r="AF45" i="3"/>
  <c r="AF43" i="3"/>
  <c r="AI43" i="3"/>
  <c r="AK43" i="3"/>
  <c r="AJ43" i="3"/>
  <c r="AH43" i="3"/>
  <c r="AH42" i="3"/>
  <c r="AG43" i="3"/>
  <c r="AA43" i="3"/>
  <c r="AA42" i="3"/>
  <c r="AC42" i="3"/>
  <c r="AC43" i="3"/>
  <c r="Z43" i="3"/>
  <c r="AD43" i="3"/>
  <c r="AD42" i="3"/>
  <c r="AG46" i="3" l="1"/>
  <c r="Z46" i="3"/>
  <c r="AE46" i="3"/>
  <c r="AK46" i="3"/>
  <c r="AI46" i="3"/>
  <c r="AF46" i="3"/>
  <c r="AJ46" i="3"/>
  <c r="AC46" i="3"/>
  <c r="AD46" i="3"/>
  <c r="AA46" i="3"/>
  <c r="AH46" i="3"/>
  <c r="AO46" i="3" l="1"/>
  <c r="AI39" i="3" s="1"/>
  <c r="AJ39" i="3" l="1"/>
  <c r="AO45" i="3"/>
  <c r="AL45" i="3"/>
  <c r="AG39" i="3"/>
  <c r="AL44" i="3"/>
  <c r="AH39" i="3"/>
  <c r="Q55" i="3"/>
  <c r="AC39" i="3"/>
  <c r="AB39" i="3"/>
  <c r="AL42" i="3"/>
  <c r="AA39" i="3"/>
  <c r="AF39" i="3"/>
  <c r="AL43" i="3"/>
  <c r="AD39" i="3"/>
  <c r="AE39" i="3"/>
  <c r="Z39" i="3"/>
  <c r="AO43" i="3" l="1" a="1"/>
  <c r="AO43" i="3" s="1"/>
  <c r="W43" i="3" s="1"/>
  <c r="W45" i="3" l="1"/>
  <c r="AO42" i="3"/>
  <c r="W44" i="3"/>
  <c r="W42" i="3"/>
  <c r="H55" i="3" l="1"/>
  <c r="L55" i="3"/>
  <c r="R55" i="3"/>
  <c r="K55" i="3"/>
  <c r="O55" i="3"/>
  <c r="P55" i="3"/>
  <c r="J55" i="3"/>
  <c r="M55" i="3"/>
  <c r="G58" i="3"/>
  <c r="F58" i="3" s="1"/>
  <c r="N55" i="3"/>
  <c r="AE48" i="3"/>
  <c r="AF48" i="3"/>
  <c r="G56" i="3"/>
  <c r="F56" i="3" s="1"/>
  <c r="I55" i="3"/>
  <c r="AD48" i="3"/>
  <c r="Z48" i="3"/>
  <c r="AA48" i="3"/>
  <c r="AK48" i="3"/>
  <c r="AC48" i="3"/>
  <c r="AG48" i="3"/>
  <c r="AJ48" i="3"/>
  <c r="AB48" i="3"/>
  <c r="G57" i="3"/>
  <c r="F57" i="3" s="1"/>
  <c r="AQ42" i="3"/>
  <c r="AM45" i="3" s="1"/>
  <c r="AI48" i="3"/>
  <c r="G59" i="3"/>
  <c r="F59" i="3" s="1"/>
  <c r="AH48" i="3"/>
  <c r="AM43" i="3" l="1"/>
  <c r="AM44" i="3"/>
  <c r="AM42" i="3"/>
  <c r="AD49" i="3" l="1"/>
  <c r="AG49" i="3"/>
  <c r="O56" i="3" s="1"/>
  <c r="AJ49" i="3"/>
  <c r="Z49" i="3"/>
  <c r="AH49" i="3"/>
  <c r="AC49" i="3"/>
  <c r="AF49" i="3"/>
  <c r="AE49" i="3"/>
  <c r="AI49" i="3"/>
  <c r="AK49" i="3"/>
  <c r="AB49" i="3"/>
  <c r="AA49" i="3"/>
  <c r="I59" i="3" s="1"/>
  <c r="I58" i="3" l="1"/>
  <c r="I57" i="3"/>
  <c r="I56" i="3"/>
  <c r="J57" i="3"/>
  <c r="J59" i="3"/>
  <c r="N56" i="3"/>
  <c r="N59" i="3"/>
  <c r="H57" i="3"/>
  <c r="H59" i="3"/>
  <c r="S57" i="3"/>
  <c r="S59" i="3"/>
  <c r="K56" i="3"/>
  <c r="K59" i="3"/>
  <c r="R58" i="3"/>
  <c r="R59" i="3"/>
  <c r="P58" i="3"/>
  <c r="P59" i="3"/>
  <c r="Q57" i="3"/>
  <c r="Q59" i="3"/>
  <c r="O58" i="3"/>
  <c r="O59" i="3"/>
  <c r="M58" i="3"/>
  <c r="M59" i="3"/>
  <c r="L57" i="3"/>
  <c r="L59" i="3"/>
  <c r="Q56" i="3"/>
  <c r="M56" i="3"/>
  <c r="P57" i="3"/>
  <c r="P56" i="3"/>
  <c r="Q58" i="3"/>
  <c r="L58" i="3"/>
  <c r="K57" i="3"/>
  <c r="R57" i="3"/>
  <c r="R56" i="3"/>
  <c r="O57" i="3"/>
  <c r="S56" i="3"/>
  <c r="L56" i="3"/>
  <c r="H56" i="3"/>
  <c r="J56" i="3"/>
  <c r="J58" i="3"/>
  <c r="K58" i="3"/>
  <c r="S58" i="3"/>
  <c r="H58" i="3"/>
  <c r="N58" i="3"/>
  <c r="N57" i="3"/>
  <c r="M57" i="3"/>
  <c r="I60" i="3" l="1"/>
  <c r="O60" i="3"/>
  <c r="Q60" i="3"/>
  <c r="P60" i="3"/>
  <c r="M60" i="3"/>
  <c r="L60" i="3"/>
  <c r="R60" i="3"/>
  <c r="K60" i="3"/>
  <c r="S60" i="3"/>
  <c r="N60" i="3"/>
  <c r="H60" i="3"/>
  <c r="J60" i="3"/>
  <c r="D60" i="3" l="1"/>
  <c r="P53" i="3" s="1"/>
  <c r="K53" i="3" l="1"/>
  <c r="J53" i="3"/>
  <c r="I53" i="3"/>
  <c r="H53" i="3"/>
  <c r="N53" i="3"/>
  <c r="D59" i="3"/>
  <c r="R53" i="3"/>
  <c r="Q53" i="3"/>
  <c r="O53" i="3"/>
  <c r="T56" i="3"/>
  <c r="T59" i="3"/>
  <c r="T57" i="3"/>
  <c r="L53" i="3"/>
  <c r="M53" i="3"/>
  <c r="T58" i="3"/>
  <c r="D57" i="3" l="1" a="1"/>
  <c r="D57" i="3" s="1"/>
  <c r="E56" i="3" s="1"/>
  <c r="E59" i="3" l="1"/>
  <c r="E57" i="3"/>
  <c r="D56" i="3"/>
  <c r="Z55" i="3" s="1"/>
  <c r="E58" i="3"/>
  <c r="AJ55" i="3" l="1"/>
  <c r="AC55" i="3"/>
  <c r="H62" i="3"/>
  <c r="B56" i="3"/>
  <c r="U56" i="3" s="1"/>
  <c r="Q62" i="3"/>
  <c r="O62" i="3"/>
  <c r="L62" i="3"/>
  <c r="P62" i="3"/>
  <c r="S62" i="3"/>
  <c r="K62" i="3"/>
  <c r="I62" i="3"/>
  <c r="J62" i="3"/>
  <c r="M62" i="3"/>
  <c r="AF55" i="3"/>
  <c r="AD55" i="3"/>
  <c r="AA55" i="3"/>
  <c r="AG55" i="3"/>
  <c r="AE55" i="3"/>
  <c r="AH55" i="3"/>
  <c r="AB55" i="3"/>
  <c r="Y58" i="3"/>
  <c r="X58" i="3" s="1"/>
  <c r="AI55" i="3"/>
  <c r="R62" i="3"/>
  <c r="Y59" i="3"/>
  <c r="X59" i="3" s="1"/>
  <c r="Y57" i="3"/>
  <c r="X57" i="3" s="1"/>
  <c r="N62" i="3"/>
  <c r="Y56" i="3"/>
  <c r="X56" i="3" s="1"/>
  <c r="U59" i="3" l="1"/>
  <c r="U57" i="3"/>
  <c r="U58" i="3"/>
  <c r="AG63" i="3"/>
  <c r="AH63" i="3"/>
  <c r="AE63" i="3"/>
  <c r="J63" i="3" l="1"/>
  <c r="AB59" i="3" s="1"/>
  <c r="M63" i="3"/>
  <c r="AE57" i="3" s="1"/>
  <c r="N63" i="3"/>
  <c r="AF56" i="3" s="1"/>
  <c r="K63" i="3"/>
  <c r="AC58" i="3" s="1"/>
  <c r="P63" i="3"/>
  <c r="AH57" i="3" s="1"/>
  <c r="H63" i="3"/>
  <c r="Z57" i="3" s="1"/>
  <c r="S63" i="3"/>
  <c r="AK58" i="3" s="1"/>
  <c r="L63" i="3"/>
  <c r="AD57" i="3" s="1"/>
  <c r="R63" i="3"/>
  <c r="AJ56" i="3" s="1"/>
  <c r="I63" i="3"/>
  <c r="AA57" i="3" s="1"/>
  <c r="O63" i="3"/>
  <c r="AG56" i="3" s="1"/>
  <c r="Q63" i="3"/>
  <c r="AI56" i="3" s="1"/>
  <c r="AB58" i="3"/>
  <c r="AF58" i="3"/>
  <c r="AH58" i="3"/>
  <c r="AA58" i="3" l="1"/>
  <c r="AE58" i="3"/>
  <c r="AI58" i="3"/>
  <c r="AG58" i="3"/>
  <c r="AD58" i="3"/>
  <c r="AB56" i="3"/>
  <c r="AB57" i="3"/>
  <c r="AF57" i="3"/>
  <c r="AF59" i="3"/>
  <c r="AC57" i="3"/>
  <c r="AC56" i="3"/>
  <c r="AE56" i="3"/>
  <c r="AA59" i="3"/>
  <c r="AA56" i="3"/>
  <c r="Z56" i="3"/>
  <c r="AI57" i="3"/>
  <c r="AE59" i="3"/>
  <c r="AC59" i="3"/>
  <c r="AK56" i="3"/>
  <c r="AI63" i="3" s="1"/>
  <c r="AK57" i="3"/>
  <c r="AK59" i="3"/>
  <c r="Z59" i="3"/>
  <c r="Z58" i="3"/>
  <c r="AJ57" i="3"/>
  <c r="AJ58" i="3"/>
  <c r="AH56" i="3"/>
  <c r="AJ59" i="3"/>
  <c r="AH59" i="3"/>
  <c r="AD56" i="3"/>
  <c r="AD59" i="3"/>
  <c r="AG57" i="3"/>
  <c r="AI59" i="3"/>
  <c r="AG59" i="3"/>
  <c r="AB63" i="3" l="1"/>
  <c r="AC63" i="3"/>
  <c r="Z63" i="3"/>
  <c r="AD63" i="3"/>
  <c r="AB60" i="3"/>
  <c r="AJ63" i="3"/>
  <c r="AF60" i="3"/>
  <c r="AA63" i="3"/>
  <c r="AC60" i="3"/>
  <c r="AA60" i="3"/>
  <c r="AE60" i="3"/>
  <c r="AF63" i="3"/>
  <c r="AI60" i="3"/>
  <c r="AK60" i="3"/>
  <c r="Z65" i="3" s="1"/>
  <c r="Z60" i="3"/>
  <c r="AJ60" i="3"/>
  <c r="AH60" i="3"/>
  <c r="AD60" i="3"/>
  <c r="AG60" i="3"/>
  <c r="AO60" i="3" l="1"/>
  <c r="AL59" i="3" s="1"/>
  <c r="AF53" i="3" l="1"/>
  <c r="AA53" i="3"/>
  <c r="Z53" i="3"/>
  <c r="AL56" i="3"/>
  <c r="AL58" i="3"/>
  <c r="AE53" i="3"/>
  <c r="AD53" i="3"/>
  <c r="AL57" i="3"/>
  <c r="AG53" i="3"/>
  <c r="AH53" i="3"/>
  <c r="AB53" i="3"/>
  <c r="AC53" i="3"/>
  <c r="AO59" i="3"/>
  <c r="AI53" i="3"/>
  <c r="AJ53" i="3"/>
  <c r="AO57" i="3" l="1" a="1"/>
  <c r="AO57" i="3" s="1"/>
  <c r="W57" i="3" s="1"/>
  <c r="W59" i="3" l="1"/>
  <c r="AO56" i="3"/>
  <c r="W58" i="3"/>
  <c r="W56" i="3"/>
  <c r="AQ56" i="3" l="1"/>
  <c r="AM58" i="3" s="1"/>
  <c r="AM59" i="3" l="1"/>
  <c r="AM56" i="3"/>
  <c r="AM57" i="3"/>
  <c r="D12" i="13" l="1"/>
  <c r="D13" i="13"/>
  <c r="D14" i="13"/>
  <c r="H15" i="13" l="1"/>
  <c r="L15" i="13"/>
  <c r="I15" i="13"/>
  <c r="F15" i="13"/>
  <c r="J15" i="13"/>
  <c r="G15" i="13"/>
  <c r="K15" i="13"/>
  <c r="P16" i="13" l="1"/>
  <c r="M12" i="13" s="1"/>
  <c r="H9" i="13" l="1"/>
  <c r="G9" i="13"/>
  <c r="J9" i="13"/>
  <c r="P15" i="13"/>
  <c r="K9" i="13"/>
  <c r="I9" i="13"/>
  <c r="F9" i="13"/>
  <c r="M13" i="13"/>
  <c r="M14" i="13"/>
  <c r="P12" i="13" l="1" a="1"/>
  <c r="P12" i="13" s="1"/>
  <c r="P11" i="13" s="1"/>
  <c r="C13" i="13" l="1"/>
  <c r="C12" i="13"/>
  <c r="C14" i="13"/>
  <c r="U14" i="13"/>
  <c r="U13" i="13"/>
  <c r="U12" i="13"/>
  <c r="T14" i="13" l="1"/>
  <c r="T12" i="13"/>
  <c r="T13" i="13"/>
  <c r="L18" i="13"/>
  <c r="P19" i="13"/>
  <c r="X13" i="13" s="1"/>
  <c r="J18" i="13"/>
  <c r="H18" i="13"/>
  <c r="F18" i="13"/>
  <c r="K18" i="13"/>
  <c r="G18" i="13"/>
  <c r="I18" i="13"/>
  <c r="X12" i="13" l="1"/>
  <c r="X14" i="13"/>
  <c r="N12" i="13"/>
  <c r="N13" i="13"/>
  <c r="N14" i="13"/>
  <c r="H19" i="13" l="1"/>
  <c r="X15" i="13"/>
  <c r="I19" i="13"/>
  <c r="Y14" i="13" s="1"/>
  <c r="F19" i="13"/>
  <c r="V13" i="13" s="1"/>
  <c r="G19" i="13"/>
  <c r="W13" i="13" s="1"/>
  <c r="J19" i="13"/>
  <c r="Z14" i="13" s="1"/>
  <c r="K19" i="13"/>
  <c r="AA13" i="13" s="1"/>
  <c r="L19" i="13"/>
  <c r="AB14" i="13" s="1"/>
  <c r="AB12" i="13" l="1"/>
  <c r="Y12" i="13"/>
  <c r="AA12" i="13"/>
  <c r="W12" i="13"/>
  <c r="Z12" i="13"/>
  <c r="V12" i="13"/>
  <c r="Z13" i="13"/>
  <c r="W14" i="13"/>
  <c r="Y13" i="13"/>
  <c r="AA14" i="13"/>
  <c r="V14" i="13"/>
  <c r="AB13" i="13"/>
  <c r="W15" i="13" l="1"/>
  <c r="AA15" i="13"/>
  <c r="Y15" i="13"/>
  <c r="V15" i="13"/>
  <c r="Z15" i="13"/>
  <c r="AB15" i="13"/>
  <c r="AF16" i="13" l="1"/>
  <c r="AC12" i="13" s="1"/>
  <c r="Z9" i="13" l="1"/>
  <c r="X9" i="13"/>
  <c r="V9" i="13"/>
  <c r="Y9" i="13"/>
  <c r="AA9" i="13"/>
  <c r="AF15" i="13"/>
  <c r="AC14" i="13"/>
  <c r="W9" i="13"/>
  <c r="AC13" i="13"/>
  <c r="AF12" i="13" l="1" a="1"/>
  <c r="AF12" i="13" s="1"/>
  <c r="S13" i="13" s="1"/>
  <c r="S14" i="13" l="1"/>
  <c r="S12" i="13"/>
  <c r="AF11" i="13"/>
  <c r="E25" i="13" l="1"/>
  <c r="D25" i="13" s="1"/>
  <c r="E26" i="13"/>
  <c r="D26" i="13" s="1"/>
  <c r="E27" i="13"/>
  <c r="D27" i="13" s="1"/>
  <c r="X18" i="13"/>
  <c r="AB18" i="13"/>
  <c r="V18" i="13"/>
  <c r="AA18" i="13"/>
  <c r="AF19" i="13"/>
  <c r="Z18" i="13"/>
  <c r="W18" i="13"/>
  <c r="Y18" i="13"/>
  <c r="AD12" i="13" l="1"/>
  <c r="AD13" i="13"/>
  <c r="F25" i="13"/>
  <c r="AD14" i="13"/>
  <c r="W19" i="13" l="1"/>
  <c r="G26" i="13" s="1"/>
  <c r="AB19" i="13"/>
  <c r="AA19" i="13"/>
  <c r="K26" i="13" s="1"/>
  <c r="Z19" i="13"/>
  <c r="J26" i="13" s="1"/>
  <c r="Y19" i="13"/>
  <c r="V19" i="13"/>
  <c r="F27" i="13" s="1"/>
  <c r="X19" i="13"/>
  <c r="H26" i="13" s="1"/>
  <c r="F26" i="13" l="1"/>
  <c r="F28" i="13" s="1"/>
  <c r="K25" i="13"/>
  <c r="K27" i="13"/>
  <c r="I26" i="13"/>
  <c r="I25" i="13"/>
  <c r="I27" i="13"/>
  <c r="G27" i="13"/>
  <c r="G25" i="13"/>
  <c r="J25" i="13"/>
  <c r="J27" i="13"/>
  <c r="H25" i="13"/>
  <c r="H27" i="13"/>
  <c r="L26" i="13"/>
  <c r="L27" i="13"/>
  <c r="L25" i="13"/>
  <c r="I28" i="13" l="1"/>
  <c r="H28" i="13"/>
  <c r="G28" i="13"/>
  <c r="J28" i="13"/>
  <c r="L28" i="13"/>
  <c r="K28" i="13"/>
  <c r="P29" i="13" l="1"/>
  <c r="M26" i="13" s="1"/>
  <c r="M27" i="13" l="1"/>
  <c r="M25" i="13"/>
  <c r="F22" i="13"/>
  <c r="H22" i="13"/>
  <c r="J22" i="13"/>
  <c r="P28" i="13"/>
  <c r="I22" i="13"/>
  <c r="G22" i="13"/>
  <c r="K22" i="13"/>
  <c r="P25" i="13" l="1" a="1"/>
  <c r="P25" i="13" s="1"/>
  <c r="C25" i="13" s="1"/>
  <c r="P24" i="13" l="1"/>
  <c r="C26" i="13"/>
  <c r="C27" i="13"/>
  <c r="H31" i="13" l="1"/>
  <c r="P32" i="13"/>
  <c r="N26" i="13" s="1"/>
  <c r="F31" i="13"/>
  <c r="I31" i="13"/>
  <c r="K31" i="13"/>
  <c r="G31" i="13"/>
  <c r="L31" i="13"/>
  <c r="J31" i="13"/>
  <c r="N25" i="13" l="1"/>
  <c r="N27" i="13"/>
  <c r="J32" i="13" s="1"/>
  <c r="K32" i="13" l="1"/>
  <c r="F32" i="13"/>
  <c r="G32" i="13"/>
  <c r="H32" i="13"/>
  <c r="L32" i="13"/>
  <c r="I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<sst xmlns="http://schemas.openxmlformats.org/spreadsheetml/2006/main" count="1410" uniqueCount="329">
  <si>
    <t>x1</t>
  </si>
  <si>
    <t>x2</t>
  </si>
  <si>
    <t>x3</t>
  </si>
  <si>
    <t>=</t>
  </si>
  <si>
    <t>&gt;</t>
  </si>
  <si>
    <t>&lt;</t>
  </si>
  <si>
    <t>→</t>
  </si>
  <si>
    <t>MAX</t>
  </si>
  <si>
    <t>z</t>
  </si>
  <si>
    <t>op1</t>
  </si>
  <si>
    <t>op2</t>
  </si>
  <si>
    <t>op3</t>
  </si>
  <si>
    <t>op4</t>
  </si>
  <si>
    <t>b</t>
  </si>
  <si>
    <t>Ω</t>
  </si>
  <si>
    <t>Pivot</t>
  </si>
  <si>
    <t>Děl.</t>
  </si>
  <si>
    <t>PN</t>
  </si>
  <si>
    <t>2. ROVNICOVÝ TVAR</t>
  </si>
  <si>
    <t>3. KANONICKÝ TVAR</t>
  </si>
  <si>
    <r>
      <t>c</t>
    </r>
    <r>
      <rPr>
        <vertAlign val="subscript"/>
        <sz val="11"/>
        <color theme="1"/>
        <rFont val="Calibri"/>
        <family val="2"/>
        <charset val="238"/>
        <scheme val="minor"/>
      </rPr>
      <t>B</t>
    </r>
  </si>
  <si>
    <r>
      <t>x</t>
    </r>
    <r>
      <rPr>
        <vertAlign val="subscript"/>
        <sz val="11"/>
        <color theme="1"/>
        <rFont val="Calibri"/>
        <family val="2"/>
        <charset val="238"/>
        <scheme val="minor"/>
      </rPr>
      <t>B</t>
    </r>
  </si>
  <si>
    <t>MIN zj-cj</t>
  </si>
  <si>
    <t>Klíčový řádek</t>
  </si>
  <si>
    <r>
      <t xml:space="preserve">MIN </t>
    </r>
    <r>
      <rPr>
        <sz val="10"/>
        <color theme="1"/>
        <rFont val="Calibri"/>
        <family val="2"/>
        <charset val="238"/>
      </rPr>
      <t>Ω</t>
    </r>
  </si>
  <si>
    <r>
      <t>z</t>
    </r>
    <r>
      <rPr>
        <vertAlign val="subscript"/>
        <sz val="11"/>
        <color theme="1"/>
        <rFont val="Calibri"/>
        <family val="2"/>
        <charset val="238"/>
        <scheme val="minor"/>
      </rPr>
      <t>j</t>
    </r>
    <r>
      <rPr>
        <sz val="11"/>
        <color theme="1"/>
        <rFont val="Calibri"/>
        <family val="2"/>
        <charset val="238"/>
        <scheme val="minor"/>
      </rPr>
      <t>-c</t>
    </r>
    <r>
      <rPr>
        <vertAlign val="subscript"/>
        <sz val="11"/>
        <color theme="1"/>
        <rFont val="Calibri"/>
        <family val="2"/>
        <charset val="238"/>
        <scheme val="minor"/>
      </rPr>
      <t>j</t>
    </r>
  </si>
  <si>
    <t>4. VÝCHOZÍ SIMPLEXOVÁ TABULKA (1. iterace výpočtu)</t>
  </si>
  <si>
    <t>4. PRVNÍ ÚPRAVA  (2. iterace výpočtu)</t>
  </si>
  <si>
    <t>5. DRUHÁ ÚPRAVA  (3. iterace výpočtu)</t>
  </si>
  <si>
    <t>6. VÝSLEDNÁ SIMPLEXOVÁ TABULKA  (4. iterace výpočtu)</t>
  </si>
  <si>
    <t>&gt; =</t>
  </si>
  <si>
    <t>≤</t>
  </si>
  <si>
    <r>
      <t>x</t>
    </r>
    <r>
      <rPr>
        <b/>
        <vertAlign val="subscript"/>
        <sz val="11"/>
        <color theme="1"/>
        <rFont val="Calibri"/>
        <family val="2"/>
        <charset val="238"/>
        <scheme val="minor"/>
      </rPr>
      <t>B</t>
    </r>
  </si>
  <si>
    <r>
      <t>x</t>
    </r>
    <r>
      <rPr>
        <b/>
        <vertAlign val="subscript"/>
        <sz val="11"/>
        <color theme="1"/>
        <rFont val="Calibri"/>
        <family val="2"/>
        <charset val="238"/>
        <scheme val="minor"/>
      </rPr>
      <t>1</t>
    </r>
  </si>
  <si>
    <r>
      <t>x</t>
    </r>
    <r>
      <rPr>
        <b/>
        <vertAlign val="subscript"/>
        <sz val="11"/>
        <color theme="1"/>
        <rFont val="Calibri"/>
        <family val="2"/>
        <charset val="238"/>
        <scheme val="minor"/>
      </rPr>
      <t>2</t>
    </r>
  </si>
  <si>
    <r>
      <t>d</t>
    </r>
    <r>
      <rPr>
        <b/>
        <vertAlign val="subscript"/>
        <sz val="11"/>
        <color theme="1"/>
        <rFont val="Calibri"/>
        <family val="2"/>
        <charset val="238"/>
        <scheme val="minor"/>
      </rPr>
      <t>1</t>
    </r>
  </si>
  <si>
    <r>
      <t>d</t>
    </r>
    <r>
      <rPr>
        <b/>
        <vertAlign val="subscript"/>
        <sz val="11"/>
        <color theme="1"/>
        <rFont val="Calibri"/>
        <family val="2"/>
        <charset val="238"/>
        <scheme val="minor"/>
      </rPr>
      <t>2</t>
    </r>
  </si>
  <si>
    <r>
      <t>d</t>
    </r>
    <r>
      <rPr>
        <b/>
        <vertAlign val="subscript"/>
        <sz val="11"/>
        <color theme="1"/>
        <rFont val="Calibri"/>
        <family val="2"/>
        <charset val="238"/>
        <scheme val="minor"/>
      </rPr>
      <t>3</t>
    </r>
  </si>
  <si>
    <r>
      <t>x</t>
    </r>
    <r>
      <rPr>
        <b/>
        <vertAlign val="subscript"/>
        <sz val="11"/>
        <color theme="1"/>
        <rFont val="Calibri"/>
        <family val="2"/>
        <charset val="238"/>
        <scheme val="minor"/>
      </rPr>
      <t>3</t>
    </r>
  </si>
  <si>
    <t>ZADÁNÍ</t>
  </si>
  <si>
    <r>
      <rPr>
        <b/>
        <sz val="14"/>
        <color theme="1"/>
        <rFont val="Calibri"/>
        <family val="2"/>
        <charset val="238"/>
        <scheme val="minor"/>
      </rPr>
      <t xml:space="preserve">Výchozí </t>
    </r>
    <r>
      <rPr>
        <sz val="14"/>
        <color theme="1"/>
        <rFont val="Calibri"/>
        <family val="2"/>
        <charset val="238"/>
        <scheme val="minor"/>
      </rPr>
      <t>simplexová tabulka</t>
    </r>
  </si>
  <si>
    <r>
      <t>x</t>
    </r>
    <r>
      <rPr>
        <b/>
        <vertAlign val="subscript"/>
        <sz val="11"/>
        <color rgb="FFC00000"/>
        <rFont val="Calibri"/>
        <family val="2"/>
        <charset val="238"/>
        <scheme val="minor"/>
      </rPr>
      <t>1</t>
    </r>
  </si>
  <si>
    <r>
      <t>d</t>
    </r>
    <r>
      <rPr>
        <b/>
        <vertAlign val="subscript"/>
        <sz val="11"/>
        <color rgb="FFC00000"/>
        <rFont val="Calibri"/>
        <family val="2"/>
        <charset val="238"/>
        <scheme val="minor"/>
      </rPr>
      <t>2</t>
    </r>
  </si>
  <si>
    <r>
      <t>d</t>
    </r>
    <r>
      <rPr>
        <b/>
        <vertAlign val="subscript"/>
        <sz val="11"/>
        <color rgb="FFC00000"/>
        <rFont val="Calibri"/>
        <family val="2"/>
        <charset val="238"/>
        <scheme val="minor"/>
      </rPr>
      <t>1</t>
    </r>
  </si>
  <si>
    <t>HM</t>
  </si>
  <si>
    <t>DM</t>
  </si>
  <si>
    <t>Vzoce pro Moodle</t>
  </si>
  <si>
    <t>OBSAH</t>
  </si>
  <si>
    <t>b1</t>
  </si>
  <si>
    <t>b2</t>
  </si>
  <si>
    <t>b3</t>
  </si>
  <si>
    <t>Počet možných zadání:</t>
  </si>
  <si>
    <t>z1</t>
  </si>
  <si>
    <t>z2</t>
  </si>
  <si>
    <t>z3</t>
  </si>
  <si>
    <r>
      <t>x</t>
    </r>
    <r>
      <rPr>
        <b/>
        <vertAlign val="subscript"/>
        <sz val="11"/>
        <color rgb="FFC00000"/>
        <rFont val="Calibri"/>
        <family val="2"/>
        <charset val="238"/>
        <scheme val="minor"/>
      </rPr>
      <t>3</t>
    </r>
  </si>
  <si>
    <t>Varianta 1</t>
  </si>
  <si>
    <t>{a11:1}</t>
  </si>
  <si>
    <t>{a12:1}</t>
  </si>
  <si>
    <t>{a13:1}</t>
  </si>
  <si>
    <t>{a21:1}</t>
  </si>
  <si>
    <t>{a22:1}</t>
  </si>
  <si>
    <t>{a23:1}</t>
  </si>
  <si>
    <t>{a31:1}</t>
  </si>
  <si>
    <t>{a32:1}</t>
  </si>
  <si>
    <t>{a33:1}</t>
  </si>
  <si>
    <t>{b1:1}</t>
  </si>
  <si>
    <t>{b2:1}</t>
  </si>
  <si>
    <t>{b3:1}</t>
  </si>
  <si>
    <t>{c1:1}</t>
  </si>
  <si>
    <t>{c2:1}</t>
  </si>
  <si>
    <t>{c3:1}</t>
  </si>
  <si>
    <t>{a11:2}</t>
  </si>
  <si>
    <t>{a12:2}</t>
  </si>
  <si>
    <t>{a13:2}</t>
  </si>
  <si>
    <t>Varianta 2</t>
  </si>
  <si>
    <t>{a21:2}</t>
  </si>
  <si>
    <t>{a22:2}</t>
  </si>
  <si>
    <t>{a23:2}</t>
  </si>
  <si>
    <t>{a31:2}</t>
  </si>
  <si>
    <t>{a32:2}</t>
  </si>
  <si>
    <t>{a33:2}</t>
  </si>
  <si>
    <t>{b1:2}</t>
  </si>
  <si>
    <t>{b2:2}</t>
  </si>
  <si>
    <t>{b3:2}</t>
  </si>
  <si>
    <t>{c1:2}</t>
  </si>
  <si>
    <t>{c2:2}</t>
  </si>
  <si>
    <t>{c3:2}</t>
  </si>
  <si>
    <t>Varianta 3</t>
  </si>
  <si>
    <r>
      <t>d</t>
    </r>
    <r>
      <rPr>
        <b/>
        <vertAlign val="subscript"/>
        <sz val="11"/>
        <color rgb="FFC00000"/>
        <rFont val="Calibri"/>
        <family val="2"/>
        <charset val="238"/>
        <scheme val="minor"/>
      </rPr>
      <t>3</t>
    </r>
  </si>
  <si>
    <t>{a11:3}</t>
  </si>
  <si>
    <t>{a12:3}</t>
  </si>
  <si>
    <t>{a13:3}</t>
  </si>
  <si>
    <t>{a21:3}</t>
  </si>
  <si>
    <t>{a22:3}</t>
  </si>
  <si>
    <t>{a23:3}</t>
  </si>
  <si>
    <t>{a31:3}</t>
  </si>
  <si>
    <t>{a32:3}</t>
  </si>
  <si>
    <t>{a33:3}</t>
  </si>
  <si>
    <t>{b1:3}</t>
  </si>
  <si>
    <t>{b2:3}</t>
  </si>
  <si>
    <t>{b3:3}</t>
  </si>
  <si>
    <t>{c1:3}</t>
  </si>
  <si>
    <t>{c2:3}</t>
  </si>
  <si>
    <t>{c3:3}</t>
  </si>
  <si>
    <t>Varianta 4</t>
  </si>
  <si>
    <t>{a11:4}</t>
  </si>
  <si>
    <t>{a12:4}</t>
  </si>
  <si>
    <t>{a13:4}</t>
  </si>
  <si>
    <t>{a21:4}</t>
  </si>
  <si>
    <t>{a22:4}</t>
  </si>
  <si>
    <t>{a23:4}</t>
  </si>
  <si>
    <t>{a31:4}</t>
  </si>
  <si>
    <t>{a32:4}</t>
  </si>
  <si>
    <t>{a33:4}</t>
  </si>
  <si>
    <t>{b1:4}</t>
  </si>
  <si>
    <t>{b2:4}</t>
  </si>
  <si>
    <t>{b3:4}</t>
  </si>
  <si>
    <t>{c1:4}</t>
  </si>
  <si>
    <t>{c2:4}</t>
  </si>
  <si>
    <t>{c3:4}</t>
  </si>
  <si>
    <t>x3(d3), x1(x3)</t>
  </si>
  <si>
    <t>x3(d3), x1(d2)</t>
  </si>
  <si>
    <t>x3(d1), x1(d2)</t>
  </si>
  <si>
    <t>x3(d1), x1(x3)</t>
  </si>
  <si>
    <t>d1</t>
  </si>
  <si>
    <t>d2</t>
  </si>
  <si>
    <t>d3</t>
  </si>
  <si>
    <t>KLÍČ K ÚLOZE "ZMRZLINOVÝ STÁNEK"</t>
  </si>
  <si>
    <t>Maximalizační verze</t>
  </si>
  <si>
    <t>VÝCHOZÍ SIMPLEXOVÁ TABULKA</t>
  </si>
  <si>
    <t>1. iterace výpočtu</t>
  </si>
  <si>
    <t>PRVNÍ ÚPRAVA SIMPLEXOVÉ TABULKY</t>
  </si>
  <si>
    <t>2. iterace výpočtu</t>
  </si>
  <si>
    <t>VÝSLEDNÁ SIMPLEXOVÁ TABULKA</t>
  </si>
  <si>
    <t>3. iterace výpočtu</t>
  </si>
  <si>
    <t>{a11:n}</t>
  </si>
  <si>
    <t>{a12:n}</t>
  </si>
  <si>
    <t>{a13:n}</t>
  </si>
  <si>
    <t>{a21:n}</t>
  </si>
  <si>
    <t>{a22:n}</t>
  </si>
  <si>
    <t>{a23:n}</t>
  </si>
  <si>
    <t>{a31:n}</t>
  </si>
  <si>
    <t>{a32:n}</t>
  </si>
  <si>
    <t>{a33:n}</t>
  </si>
  <si>
    <t>{b1:n}</t>
  </si>
  <si>
    <t>{b2:n}</t>
  </si>
  <si>
    <t>{b3:n}</t>
  </si>
  <si>
    <t>{c1:n}</t>
  </si>
  <si>
    <t>{c2:n}</t>
  </si>
  <si>
    <t>{c3:n}</t>
  </si>
  <si>
    <t>směs [dkg]</t>
  </si>
  <si>
    <t>ubrousky [ks]</t>
  </si>
  <si>
    <t>body zatížení [bod]</t>
  </si>
  <si>
    <t>cena malé porce</t>
  </si>
  <si>
    <t>cena velké porce</t>
  </si>
  <si>
    <t>cena porce do terma</t>
  </si>
  <si>
    <t>malá porce</t>
  </si>
  <si>
    <t>velká porce</t>
  </si>
  <si>
    <t>porce do terma</t>
  </si>
  <si>
    <t>omezení / limit</t>
  </si>
  <si>
    <t xml:space="preserve">Do bílých polí lze doplnit hodnoty z Moodle zadání. </t>
  </si>
  <si>
    <t>pivo1:1</t>
  </si>
  <si>
    <t>pivo1:2</t>
  </si>
  <si>
    <t>pivo2:1</t>
  </si>
  <si>
    <t>pivo2:2</t>
  </si>
  <si>
    <t>pivo1:3</t>
  </si>
  <si>
    <t>pivo2:3</t>
  </si>
  <si>
    <t>pivo1:4</t>
  </si>
  <si>
    <t>pivo2:4</t>
  </si>
  <si>
    <t>ÚLOHA "ZMRZLINOVÝ STÁNEK"</t>
  </si>
  <si>
    <t>Minimalizační verze</t>
  </si>
  <si>
    <t>Mrs. Freeze</t>
  </si>
  <si>
    <t xml:space="preserve">Sedlecké mrazírny </t>
  </si>
  <si>
    <t>Nova zmrzlina</t>
  </si>
  <si>
    <t>vyrobené porce [ks]</t>
  </si>
  <si>
    <t>p2</t>
  </si>
  <si>
    <t>MAX zj-cj</t>
  </si>
  <si>
    <r>
      <t>p</t>
    </r>
    <r>
      <rPr>
        <b/>
        <vertAlign val="subscript"/>
        <sz val="11"/>
        <color theme="1"/>
        <rFont val="Calibri"/>
        <family val="2"/>
        <charset val="238"/>
        <scheme val="minor"/>
      </rPr>
      <t>2</t>
    </r>
  </si>
  <si>
    <t>≥</t>
  </si>
  <si>
    <t>MIN</t>
  </si>
  <si>
    <r>
      <rPr>
        <sz val="11"/>
        <color rgb="FFC00000"/>
        <rFont val="Calibri"/>
        <family val="2"/>
        <charset val="238"/>
        <scheme val="minor"/>
      </rPr>
      <t>Rudé hodnoty</t>
    </r>
    <r>
      <rPr>
        <sz val="11"/>
        <color theme="1"/>
        <rFont val="Calibri"/>
        <family val="2"/>
        <charset val="238"/>
        <scheme val="minor"/>
      </rPr>
      <t xml:space="preserve"> se v dané variantě nemění.</t>
    </r>
  </si>
  <si>
    <t>Vyčíslete v Kč celkový zisk stánku s točenou zmrzlinou za den. Výsledek zaokrouhlete na 2 desetinná místa.</t>
  </si>
  <si>
    <t>ROUND(({c1:1}*(({a32:1}/{a33:1})/({a31:1}/{a33:1})))-{c2:1},2)</t>
  </si>
  <si>
    <t>ROUND(({c1:1}*(1/({a31:1}/{a33:1})))-{c3:1},2)</t>
  </si>
  <si>
    <t>ROUND(0.2*{c1:1},2)</t>
  </si>
  <si>
    <t>ROUND({c1:1}*(({b3:1}/{a33:1})/({a31:1}/{a33:1})),2)</t>
  </si>
  <si>
    <t>Meze generování</t>
  </si>
  <si>
    <t>Otázky pro Moodle</t>
  </si>
  <si>
    <t>ROUND({a31:1}/{a33:1},2)</t>
  </si>
  <si>
    <t>ROUND(({c1:2}*(({a22:2}-(({a32:2}/{a33:2})*{a23:2}))/({a21:2}-(({a31:2}/{a33:2})*{a23:2})))+{c3:2}*(({a32:2}/{a33:2})-((({a22:2}-(({a32:2}/{a33:2})*{a23:2}))/({a21:2}-(({a31:2}/{a33:2})*{a23:2})))*({a31:2}/{a33:2}))))-{c2:2},2)</t>
  </si>
  <si>
    <t>ROUND(({c1:2}*(1/({a21:2}-(({a31:2}/{a33:2})*{a23:2}))))+({c3:2}*(0-(1/({a21:2}-(({a31:2}/{a33:2})*{a23:2})))*({a31:2}/{a33:2}))),2)</t>
  </si>
  <si>
    <t>ROUND(({c1:2}*((0-({a23:2}*(1/{a33:2})))/({a21:2}-(({a31:2}/{a33:2})*{a23:2}))))+({c3:2}*((1/{a33:2})-(((0-((1/{a33:2})*{a23:2}))/({a21:2}-(({a31:2}/{a33:2})*{a23:2})))*({a31:2}/{a33:2})))),2)</t>
  </si>
  <si>
    <t>ROUND(({c1:2}*(({b2:2}-(({b3:2}/{a33:2})*{a23:2}))/({a21:2}-(({a31:2}/{a33:2})*{a23:2}))))+({c3:2}*(({b3:2}/{a33:2})-(({b2:2}-(({b3:2}/{a33:2})*{a23:2}))/({a21:2}-(({a31:2}/{a33:2})*{a23:2}))*({a31:2}/{a33:2})))),2)</t>
  </si>
  <si>
    <t>ROUND({a21:2}-(({a31:2}/{a33:2})*{a23:2}),2)</t>
  </si>
  <si>
    <t>ROUND(({c3:3}*(({a12:3}/{a13:3})-((({a22:3}-(({a12:3}/{a13:3})*{a23:3}))/({a21:3}-(({a11:3}/{a13:3})*{a23:3})))*({a11:3}/{a13:3})))+{c1:3}*(({a22:3}-(({a12:3}/{a13:3})*{a23:3}))/({a21:3}-(({a11:3}/{a13:3})*{a23:3}))))-{c2:3},2)</t>
  </si>
  <si>
    <t>ROUND({c3:3}*((1/{a13:3})-(((0-((1/{a13:3})*{a23:3}))/({a21:3}-(({a11:3}/{a13:3})*{a23:3})))*({a11:3}/{a13:3})))+{c1:3}*((0-((1/{a13:3})*{a23:3}))/({a21:3}-(({a11:3}/{a13:3})*{a23:3}))),2)</t>
  </si>
  <si>
    <t>ROUND({c3:3}*(0-((1/({a21:3}-(({a11:3}/{a13:3})*{a23:3})))*({a11:3}/{a13:3})))+{c1:3}*(1/({a21:3}-(({a11:3}/{a13:3})*{a23:3}))),2)</t>
  </si>
  <si>
    <t>ROUND({c3:3}*(({b1:3}/{a13:3})-((({b2:3}-(({b1:3}/{a13:3})*{a23:3}))/({a21:3}-(({a11:3}/{a13:3})*{a23:3})))*({a11:3}/{a13:3})))+{c1:3}*(({b2:3}-(({b1:3}/{a13:3})*{a23:3}))/({a21:3}-(({a11:3}/{a13:3})*{a23:3}))),2)</t>
  </si>
  <si>
    <t>ROUND({a21:3}-(({a11:3}/{a13:3})*{a23:3}),2)</t>
  </si>
  <si>
    <t>ROUND(({c1:4}*(({a12:4}/{a13:4})/({a11:4}/{a13:4})))-{c2:4},2)</t>
  </si>
  <si>
    <t>ROUND(({c1:4}*(1/({a11:4}/{a13:4})))-{c3:4},2)</t>
  </si>
  <si>
    <t>ROUND({c1:4}*((1/{a13:4})/({a11:4}/{a13:4})),2)</t>
  </si>
  <si>
    <t>ROUND({c1:4}*(({b1:4}/{a13:4})/({a11:4}/{a13:4})),0)</t>
  </si>
  <si>
    <t>ROUND({a11:4}/{a13:4},2)</t>
  </si>
  <si>
    <t>-</t>
  </si>
  <si>
    <t>cena pytlíku základní směsi od jednotlivých výrobců [Kč]</t>
  </si>
  <si>
    <t>hmotnost pytlíku [dkg]</t>
  </si>
  <si>
    <t>balení posypu [ks]</t>
  </si>
  <si>
    <t>Matematický model</t>
  </si>
  <si>
    <t>Vlastnosti společné pro všechny varianty:</t>
  </si>
  <si>
    <t>&gt; 3 rozhodovací proměnné, 3 doplňkové p. a 1 pomocná p.</t>
  </si>
  <si>
    <t>&gt; Výsledné tabulky je dosaženo ve 3. iteraci simplexového algoritmu</t>
  </si>
  <si>
    <t>&gt; 3 rozhodovací proměnné a 3 doplňkové proměnné</t>
  </si>
  <si>
    <t>&gt; 3 kapacitní omezující podmínky a 1 účelová funkce</t>
  </si>
  <si>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3</t>
    </r>
    <r>
      <rPr>
        <sz val="11"/>
        <color theme="1"/>
        <rFont val="Calibri"/>
        <family val="2"/>
        <charset val="238"/>
        <scheme val="minor"/>
      </rPr>
      <t xml:space="preserve"> → klíč. řádek </t>
    </r>
    <r>
      <rPr>
        <b/>
        <sz val="11"/>
        <color theme="1"/>
        <rFont val="Calibri"/>
        <family val="2"/>
        <charset val="238"/>
        <scheme val="minor"/>
      </rPr>
      <t>p</t>
    </r>
    <r>
      <rPr>
        <b/>
        <vertAlign val="subscript"/>
        <sz val="11"/>
        <color theme="1"/>
        <rFont val="Calibri"/>
        <family val="2"/>
        <charset val="238"/>
        <scheme val="minor"/>
      </rPr>
      <t>2</t>
    </r>
  </si>
  <si>
    <r>
      <rPr>
        <b/>
        <sz val="11"/>
        <color theme="1"/>
        <rFont val="Calibri"/>
        <family val="2"/>
        <charset val="238"/>
        <scheme val="minor"/>
      </rPr>
      <t>1. iterace:</t>
    </r>
    <r>
      <rPr>
        <sz val="11"/>
        <color theme="1"/>
        <rFont val="Calibri"/>
        <family val="2"/>
        <charset val="238"/>
        <scheme val="minor"/>
      </rPr>
      <t xml:space="preserve"> klíč. sl. </t>
    </r>
    <r>
      <rPr>
        <b/>
        <sz val="11"/>
        <color theme="1"/>
        <rFont val="Calibri"/>
        <family val="2"/>
        <charset val="238"/>
        <scheme val="minor"/>
      </rPr>
      <t>x</t>
    </r>
    <r>
      <rPr>
        <b/>
        <vertAlign val="sub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 klíč. řádek </t>
    </r>
    <r>
      <rPr>
        <b/>
        <sz val="11"/>
        <color theme="1"/>
        <rFont val="Calibri"/>
        <family val="2"/>
        <charset val="238"/>
        <scheme val="minor"/>
      </rPr>
      <t>d</t>
    </r>
    <r>
      <rPr>
        <b/>
        <vertAlign val="subscript"/>
        <sz val="11"/>
        <color theme="1"/>
        <rFont val="Calibri"/>
        <family val="2"/>
        <charset val="238"/>
        <scheme val="minor"/>
      </rPr>
      <t>1</t>
    </r>
  </si>
  <si>
    <t>Vyčíslete v Kč celkové náklady stánku s točenou zmrzlinou vynaložené na nákup pytlíků základní směsi. Výsledek zaokrouhlete na 2 desetinná místa.</t>
  </si>
  <si>
    <t>z4</t>
  </si>
  <si>
    <t>z5</t>
  </si>
  <si>
    <t>z6</t>
  </si>
  <si>
    <t>z7</t>
  </si>
  <si>
    <t>ROUND({a23:1}-(({a13:1}/{a11:1})*{a21:1}),2)</t>
  </si>
  <si>
    <t>ROUND({c1:1}*(({b1:1}/{a11:1})-((({b2:1}-(({b1:1}/{a11:1})*{a21:1}))/({a23:1}-(({a13:1}/{a11:1})*{a21:1})))*({a13:1}/{a11:1})))+{c3:1}*(({b2:1}-(({b1:1}/{a11:1})*{a21:1}))/({a23:1}-(({a13:1}/{a11:1})*{a21:1}))),2)</t>
  </si>
  <si>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2</t>
    </r>
    <r>
      <rPr>
        <sz val="11"/>
        <color theme="1"/>
        <rFont val="Calibri"/>
        <family val="2"/>
        <charset val="238"/>
        <scheme val="minor"/>
      </rPr>
      <t xml:space="preserve"> → klíč. řádek </t>
    </r>
    <r>
      <rPr>
        <b/>
        <sz val="11"/>
        <color theme="1"/>
        <rFont val="Calibri"/>
        <family val="2"/>
        <charset val="238"/>
        <scheme val="minor"/>
      </rPr>
      <t>p</t>
    </r>
    <r>
      <rPr>
        <b/>
        <vertAlign val="subscript"/>
        <sz val="11"/>
        <color theme="1"/>
        <rFont val="Calibri"/>
        <family val="2"/>
        <charset val="238"/>
        <scheme val="minor"/>
      </rPr>
      <t>2</t>
    </r>
  </si>
  <si>
    <r>
      <t>x</t>
    </r>
    <r>
      <rPr>
        <b/>
        <vertAlign val="subscript"/>
        <sz val="11"/>
        <color rgb="FFC00000"/>
        <rFont val="Calibri"/>
        <family val="2"/>
        <charset val="238"/>
        <scheme val="minor"/>
      </rPr>
      <t>2</t>
    </r>
  </si>
  <si>
    <t>x1(d1), x3(p2)</t>
  </si>
  <si>
    <t>x1(d1), x2(p2)</t>
  </si>
  <si>
    <t>ROUND(({c1:2}*(({a13:2}/{a11:2})-((({a23:2}-(({a13:2}/{a11:2})*{a21:2}))/({a22:2}-(({a12:2}/{a11:2})*{a21:2})))*({a12:2}/{a11:2})))+{c2:2}*(({a23:2}-(({a13:2}/{a11:2})*{a21:2}))/({a22:2}-(({a12:2}/{a11:2})*{a21:2}))))-{c3:2},2)</t>
  </si>
  <si>
    <t>ROUND(({c1:1}*(({a12:1}/{a11:1})-((({a22:1}-(({a12:1}/{a11:1})*{a21:1}))/({a23:1}-(({a13:1}/{a11:1})*{a21:1})))*({a13:1}/{a11:1})))+{c3:1}*(({a22:1}-(({a12:1}/{a11:1})*{a21:1}))/({a23:1}-(({a13:1}/{a11:1})*{a21:1}))))-{c2:1},2)</t>
  </si>
  <si>
    <t>ROUND({c1:2}*((1/{a11:2})-(((0-((1/{a11:2})*{a21:2}))/({a22:2}-(({a12:2}/{a11:2})*{a21:2})))*({a12:2}/{a11:2})))+{c2:2}*((0-((1/{a11:2})*{a21:2}))/({a22:2}-(({a12:2}/{a11:2})*{a21:2}))),2)</t>
  </si>
  <si>
    <t>ROUND({a22:2}-(({a12:2}/{a11:2})*{a21:2}),2)</t>
  </si>
  <si>
    <t>ROUND({c1:2}*(({b1:2}/{a11:2})-((({b2:2}-(({b1:2}/{a11:2})*{a21:2}))/({a22:2}-(({a12:2}/{a11:2})*{a21:2})))*({a12:2}/{a11:2})))+{c2:2}*(({b2:2}-(({b1:2}/{a11:2})*{a21:2}))/({a22:2}-(({a12:2}/{a11:2})*{a21:2}))),2)</t>
  </si>
  <si>
    <t>ROUND(({c1:2}*(0-((1/({a22:2}-(({a12:2}/{a11:2})*{a21:2})))*({a12:2}/{a11:2})))+{c2:2}*(1/({a22:2}-(({a12:2}/{a11:2})*{a21:2}))))-1000,2)</t>
  </si>
  <si>
    <t>ROUND(({c1:1}*(0-((1/({a23:1}-(({a13:1}/{a11:1})*{a21:1})))*({a13:1}/{a11:1})))+{c3:1}*(1/({a23:1}-(({a13:1}/{a11:1})*{a21:1}))))-1000,2)</t>
  </si>
  <si>
    <r>
      <rPr>
        <b/>
        <sz val="11"/>
        <color theme="1"/>
        <rFont val="Calibri"/>
        <family val="2"/>
        <charset val="238"/>
        <scheme val="minor"/>
      </rPr>
      <t>1. iterace:</t>
    </r>
    <r>
      <rPr>
        <sz val="11"/>
        <color theme="1"/>
        <rFont val="Calibri"/>
        <family val="2"/>
        <charset val="238"/>
        <scheme val="minor"/>
      </rPr>
      <t xml:space="preserve"> klíč. sl. </t>
    </r>
    <r>
      <rPr>
        <b/>
        <sz val="11"/>
        <color theme="1"/>
        <rFont val="Calibri"/>
        <family val="2"/>
        <charset val="238"/>
        <scheme val="minor"/>
      </rPr>
      <t>x</t>
    </r>
    <r>
      <rPr>
        <b/>
        <vertAlign val="sub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 xml:space="preserve">→ klíč. řádek </t>
    </r>
    <r>
      <rPr>
        <b/>
        <sz val="11"/>
        <color theme="1"/>
        <rFont val="Calibri"/>
        <family val="2"/>
        <charset val="238"/>
        <scheme val="minor"/>
      </rPr>
      <t>p</t>
    </r>
    <r>
      <rPr>
        <b/>
        <vertAlign val="subscript"/>
        <sz val="11"/>
        <color theme="1"/>
        <rFont val="Calibri"/>
        <family val="2"/>
        <charset val="238"/>
        <scheme val="minor"/>
      </rPr>
      <t>2</t>
    </r>
  </si>
  <si>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3</t>
    </r>
    <r>
      <rPr>
        <sz val="11"/>
        <color theme="1"/>
        <rFont val="Calibri"/>
        <family val="2"/>
        <charset val="238"/>
        <scheme val="minor"/>
      </rPr>
      <t xml:space="preserve"> → klíč. řádek </t>
    </r>
    <r>
      <rPr>
        <b/>
        <sz val="11"/>
        <color theme="1"/>
        <rFont val="Calibri"/>
        <family val="2"/>
        <charset val="238"/>
        <scheme val="minor"/>
      </rPr>
      <t>d</t>
    </r>
    <r>
      <rPr>
        <b/>
        <vertAlign val="subscript"/>
        <sz val="11"/>
        <color theme="1"/>
        <rFont val="Calibri"/>
        <family val="2"/>
        <charset val="238"/>
        <scheme val="minor"/>
      </rPr>
      <t>1</t>
    </r>
  </si>
  <si>
    <t>ROUND(({c3:3}*(({a11:3}-(({a21:3}/{a22:3})*{a12:3}))/({a13:3}-(({a23:3}/{a22:3})*{a12:3})))+{c2:3}*(({a21:3}/{a22:3})-((({a11:3}-(({a21:3}/{a22:3})*{a12:3}))/({a13:3}-(({a23:3}/{a22:3})*{a12:3})))*({a23:3}/{a22:3}))))-{c1:3},2)</t>
  </si>
  <si>
    <t>ROUND({c3:3}*(1/({a13:3}-(({a23:3}/{a22:3})*{a12:3})))+{c2:3}*(0-((1/({a13:3}-(({a23:3}/{a22:3})*{a12:3})))*({a23:3}/{a22:3}))),2)</t>
  </si>
  <si>
    <t>ROUND({a13:3}-(({a23:3}/{a22:3})*{a12:3}),2)</t>
  </si>
  <si>
    <t>ROUND(({c3:3}*((0-((1/{a22:3})*{a12:3}))/({a13:3}-(({a23:3}/{a22:3})*{a12:3})))+{c2:3}*((1/{a22:3})-(((0-((1/{a22:3})*{a12:3}))/({a13:3}-(({a23:3}/{a22:3})*{a12:3})))*({a23:3}/{a22:3}))))-1000,2)</t>
  </si>
  <si>
    <t>ROUND({c3:3}*(({b1:3}-(({b2:3}/{a22:3})*{a12:3}))/({a13:3}-(({a23:3}/{a22:3})*{a12:3})))+{c2:3}*(({b2:3}/{a22:3})-((({b1:3}-(({b2:3}/{a22:3})*{a12:3}))/({a13:3}-(({a23:3}/{a22:3})*{a12:3})))*({a23:3}/{a22:3}))),2)</t>
  </si>
  <si>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3</t>
    </r>
    <r>
      <rPr>
        <sz val="11"/>
        <color theme="1"/>
        <rFont val="Calibri"/>
        <family val="2"/>
        <charset val="238"/>
        <scheme val="minor"/>
      </rPr>
      <t xml:space="preserve"> → klíč. řádek </t>
    </r>
    <r>
      <rPr>
        <b/>
        <sz val="11"/>
        <color theme="1"/>
        <rFont val="Calibri"/>
        <family val="2"/>
        <charset val="238"/>
        <scheme val="minor"/>
      </rPr>
      <t>d</t>
    </r>
    <r>
      <rPr>
        <b/>
        <vertAlign val="subscript"/>
        <sz val="11"/>
        <color theme="1"/>
        <rFont val="Calibri"/>
        <family val="2"/>
        <charset val="238"/>
        <scheme val="minor"/>
      </rPr>
      <t>3</t>
    </r>
  </si>
  <si>
    <t>ROUND(({c2:4}*(({a21:4}/{a22:4})-(({a31:4}/{a33:4})*({a23:4}/{a22:4})))+{c3:4}*({a31:4}/{a33:4}))-{c1:4},2)</t>
  </si>
  <si>
    <t>ROUND({a33:4},2)</t>
  </si>
  <si>
    <t>ROUND(({c2:4}*(1/{a22:4}))-1000,2)</t>
  </si>
  <si>
    <t>ROUND({c2:4}*(0-((1/{a33:4})*({a23:4}/{a22:4})))+{c3:4}*(1/{a33:4}),2)</t>
  </si>
  <si>
    <t>ROUND({c2:4}*(({b2:4}/{a22:4})-(({b3:4}/{a33:4})*({a23:4}/{a22:4})))+{c3:4}*({b3:4}/{a33:4}),2)</t>
  </si>
  <si>
    <t>ROUND((({b1:1}/{a11:1})-((({b2:1}-(({b1:1}/{a11:1})*{a21:1}))/({a23:1}-(({a13:1}/{a11:1})*{a21:1})))*({a13:1}/{a11:1}))),2)</t>
  </si>
  <si>
    <t>ROUND(({b2:1}-(({b1:1}/{a11:1})*{a21:1}))/({a23:1}-(({a13:1}/{a11:1})*{a21:1})),2)</t>
  </si>
  <si>
    <t>ROUND(({b3:1}-(({b1:1}/{a11:1})*{a31:1}))-((({b2:1}-(({b1:1}/{a11:1})*{a21:1}))/({a23:1}-(({a13:1}/{a11:1})*{a21:1})))*({a33:1}-(({a13:1}/{a11:1})*{a31:1}))),2)</t>
  </si>
  <si>
    <t>Vypočtěte příklad s pomocí Simplexového algoritmu a z výsledné tabulky určete optimální počet nakoupených pytlíků základní směsi od výrobce Mrs. Freeze. Výsledek zaokrouhlete na 2 desetinná místa.</t>
  </si>
  <si>
    <t>Vypočtěte příklad s pomocí Simplexového algoritmu a z výsledné tabulky určete optimální počet nakoupených pytlíků základní směsi od výrobce Nova zmrzlina. Výsledek zaokrouhlete na 2 desetinná místa.</t>
  </si>
  <si>
    <t>Vypočtěte příklad s pomocí Simplexového algoritmu a z výsledné tabulky určete optimální rezervu pro balení posypů. Výsledek zaokrouhlete na 2 desetinná místa.</t>
  </si>
  <si>
    <t>ROUND((({b1:2}/{a11:2})-((({b2:2}-(({b1:2}/{a11:2})*{a21:2}))/({a22:2}-(({a12:2}/{a11:2})*{a21:2})))*({a12:2}/{a11:2}))),2)</t>
  </si>
  <si>
    <t>ROUND(({b2:2}-(({b1:2}/{a11:2})*{a21:2}))/({a22:2}-(({a12:2}/{a11:2})*{a21:2})),2)</t>
  </si>
  <si>
    <t>ROUND(({b3:2}-(({b1:2}/{a11:2})*{a31:2}))-((({b2:2}-(({b1:2}/{a11:2})*{a21:2}))/({a22:2}-(({a12:2}/{a11:2})*{a21:2})))*({a32:2}-(({a12:2}/{a11:2})*{a31:2}))),2)</t>
  </si>
  <si>
    <t>Vypočtěte příklad s pomocí Simplexového algoritmu a z výsledné tabulky určete optimální počet nakoupených pytlíků základní směsi od výrobce Sedlecké mrazírny. Výsledek zaokrouhlete na 2 desetinná místa.</t>
  </si>
  <si>
    <t>ROUND(({b1:3}-(({b2:3}/{a22:3})*{a12:3}))/({a13:3}-(({a23:3}/{a22:3})*{a12:3})),2)</t>
  </si>
  <si>
    <t>ROUND((({b2:3}/{a22:3})-((({b1:3}-(({b2:3}/{a22:3})*{a12:3}))/({a13:3}-(({a23:3}/{a22:3})*{a12:3})))*({a23:3}/{a22:3}))),2)</t>
  </si>
  <si>
    <t>ROUND(({b3:3}-((({b1:3}-(({b2:3}/{a22:3})*{a12:3}))/({a13:3}-(({a23:3}/{a22:3})*{a12:3})))*{a33:3})),2)</t>
  </si>
  <si>
    <t>ROUND(({b1:4}-(({b2:4}/{a22:4})*{a12:4}))-(({b3:4}/{a33:4})*({a13:4}-(({a23:4}/{a22:4})*{a12:4}))),2)</t>
  </si>
  <si>
    <t>ROUND(({b2:4}/{a22:4})-(({b3:4}/{a33:4})*({a23:4}/{a22:4})),2)</t>
  </si>
  <si>
    <t>ROUND({b3:4}/{a33:4},2)</t>
  </si>
  <si>
    <t>Vypočtěte příklad s pomocí Simplexového algoritmu a z výsledné tabulky určete v dkg optimální rezervu nosnosti polic po uskladnění nakoupených pytlíků základní směsi. Výsledek zaokrouhlete na 2 desetinná místa.</t>
  </si>
  <si>
    <r>
      <t>Zjednodušená</t>
    </r>
    <r>
      <rPr>
        <b/>
        <sz val="14"/>
        <color theme="1"/>
        <rFont val="Calibri"/>
        <family val="2"/>
        <charset val="238"/>
        <scheme val="minor"/>
      </rPr>
      <t xml:space="preserve"> výsledná</t>
    </r>
    <r>
      <rPr>
        <sz val="14"/>
        <color theme="1"/>
        <rFont val="Calibri"/>
        <family val="2"/>
        <charset val="238"/>
        <scheme val="minor"/>
      </rPr>
      <t xml:space="preserve"> simplexová tabulka</t>
    </r>
  </si>
  <si>
    <t>Vypočtěte příklad s pomocí Simplexového algoritmu a určete v dkg optimální výši zbylé směsi pro výrobu zmrzliny z výsledné tabulky. Výsledek zaokrouhlete na 2 desetinná místa.</t>
  </si>
  <si>
    <t>Vypočtěte příklad s pomocí Simplexového algoritmu a určete optimální počet ks zbylých ubrousků v podavači. Výsledek zaokrouhlete na 2 desetinná místa.</t>
  </si>
  <si>
    <t>Vypočtěte příklad s pomocí Simplexového algoritmu a určete optimální počet malých porcí točených zmrzlin z výsledné tabulky. Výsledek zaokrouhlete na 2 desetinná místa.</t>
  </si>
  <si>
    <t>ROUND(({b1:1}-(({b3:1}/{a33:1})*{a13:1}))-((({b3:1}/{a33:1})/({a31:1}/{a33:1}))*({a11:1}-(({a31:1}/{a33:1})*{a13:1}))),2)</t>
  </si>
  <si>
    <t>ROUND(({b2:1}-(({b3:1}/{a33:1})*{a23:1}))-((({b3:1}/{a33:1})/({a31:1}/{a33:1}))*({a21:1}-(({a31:1}/{a33:1})*{a23:1}))),2)</t>
  </si>
  <si>
    <t>ROUND(({b3:1}/{a33:1})/({a31:1}/{a33:1}),2)</t>
  </si>
  <si>
    <t>ROUND(({b1:2}-(({b3:2}/{a33:2})*{a13:2}))-((({b2:2}-(({b3:2}/{a33:2})*{a23:2}))/({a21:2}-(({a31:2}/{a33:2})*{a23:2})))*({a11:2}-(({a31:2}/{a33:2})*{a13:2}))),2)</t>
  </si>
  <si>
    <t>ROUND(({b2:2}-(({b3:2}/{a33:2})*{a23:2}))/({a21:2}-(({a31:2}/{a33:2})*{a23:2})),2)</t>
  </si>
  <si>
    <t>ROUND(({b3:2}/{a33:2})-(({b2:2}-(({b3:2}/{a33:2})*{a23:2}))/({a21:2}-(({a31:2}/{a33:2})*{a23:2}))*({a31:2}/{a33:2})),2)</t>
  </si>
  <si>
    <t>Vypočtěte příklad s pomocí Simplexového algoritmu a určete optimální počet porcí točené zmrzliny do termoobalu z výsledné tabulky. Výsledek zaokrouhlete na 2 desetinná místa.</t>
  </si>
  <si>
    <t>ROUND(({b1:3}/{a13:3})-((({b2:3}-(({b1:3}/{a13:3})*{a23:3}))/({a21:3}-(({a11:3}/{a13:3})*{a23:3})))*({a11:3}/{a13:3})),2)</t>
  </si>
  <si>
    <t>ROUND(({b2:3}-(({b1:3}/{a13:3})*{a23:3}))/({a21:3}-(({a11:3}/{a13:3})*{a23:3})),2)</t>
  </si>
  <si>
    <t>ROUND(({b3:3}-(({b1:3}/{a13:3})*{a33:3}))-((({b2:3}-(({b1:3}/{a13:3})*{a23:3}))/({a21:3}-(({a11:3}/{a13:3})*{a23:3})))*({a31:3}-(({a11:3}/{a13:3})*{a33:3}))),2)</t>
  </si>
  <si>
    <t>Vypočtěte příklad s pomocí Simplexového algoritmu a určete optimální počet zbylých bodů zatížení. Výsledek zaokrouhlete na 2 desetinná místa.</t>
  </si>
  <si>
    <t>ROUND(({b1:4}/{a13:4})/({a11:4}/{a13:4}),2)</t>
  </si>
  <si>
    <t>ROUND(({b2:4}-(({b1:4}/{a13:4})*{a23:4}))-((({b1:4}/{a13:4})/({a11:4}/{a13:4}))*({a21:4}-(({a11:4}/{a13:4})*{a23:4}))),2)</t>
  </si>
  <si>
    <t>ROUND(({b3:4}-(({b1:4}/{a13:4})*{a33:4}))-((({b1:4}/{a13:4})/({a11:4}/{a13:4}))*({a31:4}-(({a11:4}/{a13:4})*{a33:4}))),2)</t>
  </si>
  <si>
    <t>Uveďte hodnotu pivota z 1. iterace výpočtu.</t>
  </si>
  <si>
    <t>Uveďte hodnotu pivota z 2. iterace výpočtu. Výsledek zaokrouhlete na 2 desetinná místa.</t>
  </si>
  <si>
    <r>
      <rPr>
        <b/>
        <sz val="11"/>
        <color theme="1"/>
        <rFont val="Calibri"/>
        <family val="2"/>
        <charset val="238"/>
        <scheme val="minor"/>
      </rPr>
      <t>1. iterace:</t>
    </r>
    <r>
      <rPr>
        <sz val="11"/>
        <color theme="1"/>
        <rFont val="Calibri"/>
        <family val="2"/>
        <charset val="238"/>
        <scheme val="minor"/>
      </rPr>
      <t xml:space="preserve"> klíč. sl. </t>
    </r>
    <r>
      <rPr>
        <b/>
        <sz val="11"/>
        <color theme="1"/>
        <rFont val="Calibri"/>
        <family val="2"/>
        <charset val="238"/>
        <scheme val="minor"/>
      </rPr>
      <t>x</t>
    </r>
    <r>
      <rPr>
        <b/>
        <vertAlign val="subscript"/>
        <sz val="11"/>
        <color theme="1"/>
        <rFont val="Calibri"/>
        <family val="2"/>
        <charset val="238"/>
        <scheme val="minor"/>
      </rPr>
      <t>3</t>
    </r>
    <r>
      <rPr>
        <b/>
        <sz val="11"/>
        <color theme="1"/>
        <rFont val="Calibri"/>
        <family val="2"/>
        <charset val="238"/>
        <scheme val="minor"/>
      </rPr>
      <t xml:space="preserve"> </t>
    </r>
    <r>
      <rPr>
        <sz val="11"/>
        <color theme="1"/>
        <rFont val="Calibri"/>
        <family val="2"/>
        <charset val="238"/>
        <scheme val="minor"/>
      </rPr>
      <t xml:space="preserve">→ klíč. řádek </t>
    </r>
    <r>
      <rPr>
        <b/>
        <sz val="11"/>
        <color theme="1"/>
        <rFont val="Calibri"/>
        <family val="2"/>
        <charset val="238"/>
        <scheme val="minor"/>
      </rPr>
      <t>d</t>
    </r>
    <r>
      <rPr>
        <b/>
        <vertAlign val="subscript"/>
        <sz val="11"/>
        <color theme="1"/>
        <rFont val="Calibri"/>
        <family val="2"/>
        <charset val="238"/>
        <scheme val="minor"/>
      </rPr>
      <t>3</t>
    </r>
  </si>
  <si>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1</t>
    </r>
    <r>
      <rPr>
        <sz val="11"/>
        <color theme="1"/>
        <rFont val="Calibri"/>
        <family val="2"/>
        <charset val="238"/>
        <scheme val="minor"/>
      </rPr>
      <t xml:space="preserve"> → klíč. řádek </t>
    </r>
    <r>
      <rPr>
        <b/>
        <sz val="11"/>
        <color theme="1"/>
        <rFont val="Calibri"/>
        <family val="2"/>
        <charset val="238"/>
        <scheme val="minor"/>
      </rPr>
      <t>x</t>
    </r>
    <r>
      <rPr>
        <b/>
        <vertAlign val="subscript"/>
        <sz val="11"/>
        <color theme="1"/>
        <rFont val="Calibri"/>
        <family val="2"/>
        <charset val="238"/>
        <scheme val="minor"/>
      </rPr>
      <t>3</t>
    </r>
  </si>
  <si>
    <r>
      <rPr>
        <b/>
        <sz val="11"/>
        <color theme="1"/>
        <rFont val="Calibri"/>
        <family val="2"/>
        <charset val="238"/>
        <scheme val="minor"/>
      </rPr>
      <t>2. iterace:</t>
    </r>
    <r>
      <rPr>
        <sz val="11"/>
        <color theme="1"/>
        <rFont val="Calibri"/>
        <family val="2"/>
        <charset val="238"/>
        <scheme val="minor"/>
      </rPr>
      <t xml:space="preserve"> klíč. sl.</t>
    </r>
    <r>
      <rPr>
        <b/>
        <sz val="11"/>
        <color theme="1"/>
        <rFont val="Calibri"/>
        <family val="2"/>
        <charset val="238"/>
        <scheme val="minor"/>
      </rPr>
      <t xml:space="preserve"> x</t>
    </r>
    <r>
      <rPr>
        <b/>
        <vertAlign val="subscript"/>
        <sz val="11"/>
        <color theme="1"/>
        <rFont val="Calibri"/>
        <family val="2"/>
        <charset val="238"/>
        <scheme val="minor"/>
      </rPr>
      <t>1</t>
    </r>
    <r>
      <rPr>
        <vertAlign val="subscript"/>
        <sz val="11"/>
        <color theme="1"/>
        <rFont val="Calibri"/>
        <family val="2"/>
        <charset val="238"/>
        <scheme val="minor"/>
      </rPr>
      <t xml:space="preserve"> </t>
    </r>
    <r>
      <rPr>
        <sz val="11"/>
        <color theme="1"/>
        <rFont val="Calibri"/>
        <family val="2"/>
        <charset val="238"/>
        <scheme val="minor"/>
      </rPr>
      <t xml:space="preserve">→ klíč. řádek </t>
    </r>
    <r>
      <rPr>
        <b/>
        <sz val="11"/>
        <color theme="1"/>
        <rFont val="Calibri"/>
        <family val="2"/>
        <charset val="238"/>
        <scheme val="minor"/>
      </rPr>
      <t>d</t>
    </r>
    <r>
      <rPr>
        <b/>
        <vertAlign val="subscript"/>
        <sz val="11"/>
        <color theme="1"/>
        <rFont val="Calibri"/>
        <family val="2"/>
        <charset val="238"/>
        <scheme val="minor"/>
      </rPr>
      <t>2</t>
    </r>
  </si>
  <si>
    <r>
      <rPr>
        <b/>
        <sz val="11"/>
        <color theme="1"/>
        <rFont val="Calibri"/>
        <family val="2"/>
        <charset val="238"/>
        <scheme val="minor"/>
      </rPr>
      <t>1. iterace:</t>
    </r>
    <r>
      <rPr>
        <sz val="11"/>
        <color theme="1"/>
        <rFont val="Calibri"/>
        <family val="2"/>
        <charset val="238"/>
        <scheme val="minor"/>
      </rPr>
      <t xml:space="preserve"> klíč. sl. </t>
    </r>
    <r>
      <rPr>
        <b/>
        <sz val="11"/>
        <color theme="1"/>
        <rFont val="Calibri"/>
        <family val="2"/>
        <charset val="238"/>
        <scheme val="minor"/>
      </rPr>
      <t>x</t>
    </r>
    <r>
      <rPr>
        <b/>
        <vertAlign val="subscript"/>
        <sz val="11"/>
        <color theme="1"/>
        <rFont val="Calibri"/>
        <family val="2"/>
        <charset val="238"/>
        <scheme val="minor"/>
      </rPr>
      <t>3</t>
    </r>
    <r>
      <rPr>
        <b/>
        <sz val="11"/>
        <color theme="1"/>
        <rFont val="Calibri"/>
        <family val="2"/>
        <charset val="238"/>
        <scheme val="minor"/>
      </rPr>
      <t xml:space="preserve"> </t>
    </r>
    <r>
      <rPr>
        <sz val="11"/>
        <color theme="1"/>
        <rFont val="Calibri"/>
        <family val="2"/>
        <charset val="238"/>
        <scheme val="minor"/>
      </rPr>
      <t xml:space="preserve">→ klíč. řádek </t>
    </r>
    <r>
      <rPr>
        <b/>
        <sz val="11"/>
        <color theme="1"/>
        <rFont val="Calibri"/>
        <family val="2"/>
        <charset val="238"/>
        <scheme val="minor"/>
      </rPr>
      <t>d</t>
    </r>
    <r>
      <rPr>
        <b/>
        <vertAlign val="subscript"/>
        <sz val="11"/>
        <color theme="1"/>
        <rFont val="Calibri"/>
        <family val="2"/>
        <charset val="238"/>
        <scheme val="minor"/>
      </rPr>
      <t>1</t>
    </r>
  </si>
  <si>
    <t>&gt; Řešení není degenerované a úloha nemá alternativní řešení.</t>
  </si>
  <si>
    <t>z4 "-"</t>
  </si>
  <si>
    <t>z4 "+"</t>
  </si>
  <si>
    <t>z5 "-"</t>
  </si>
  <si>
    <t>z5 "+"</t>
  </si>
  <si>
    <t>z6 "+"</t>
  </si>
  <si>
    <t>z6 "-"</t>
  </si>
  <si>
    <r>
      <t>Majitelka stánku s točenou zmrzlinou se rozhoduje mezi třemi výrobci směsí do zmrzlinového stroje. Každý výrobce nabízí základní směs, do které poté majitelka přimíchává různé příchutě ovocného pyré vlastní výroby. Pytlík základní směsi od výrobce Mrs. Freeze váží</t>
    </r>
    <r>
      <rPr>
        <b/>
        <sz val="11"/>
        <color theme="1"/>
        <rFont val="Calibri"/>
        <family val="2"/>
        <charset val="238"/>
        <scheme val="minor"/>
      </rPr>
      <t xml:space="preserve"> {a11:n}</t>
    </r>
    <r>
      <rPr>
        <sz val="11"/>
        <color theme="1"/>
        <rFont val="Calibri"/>
        <family val="2"/>
        <charset val="238"/>
        <scheme val="minor"/>
      </rPr>
      <t xml:space="preserve"> dkg, lze z něho vyrobit </t>
    </r>
    <r>
      <rPr>
        <b/>
        <sz val="11"/>
        <color theme="1"/>
        <rFont val="Calibri"/>
        <family val="2"/>
        <charset val="238"/>
        <scheme val="minor"/>
      </rPr>
      <t>{a21:n}</t>
    </r>
    <r>
      <rPr>
        <sz val="11"/>
        <color theme="1"/>
        <rFont val="Calibri"/>
        <family val="2"/>
        <charset val="238"/>
        <scheme val="minor"/>
      </rPr>
      <t xml:space="preserve"> porcí, ale obchod je podmíněn dodatečným nákupem </t>
    </r>
    <r>
      <rPr>
        <b/>
        <sz val="11"/>
        <color theme="1"/>
        <rFont val="Calibri"/>
        <family val="2"/>
        <charset val="238"/>
        <scheme val="minor"/>
      </rPr>
      <t xml:space="preserve">{a31:n} </t>
    </r>
    <r>
      <rPr>
        <sz val="11"/>
        <color theme="1"/>
        <rFont val="Calibri"/>
        <family val="2"/>
        <charset val="238"/>
        <scheme val="minor"/>
      </rPr>
      <t xml:space="preserve">balení posypů ke každému pytlíku směsi. Druhý výrobce Sedlecké mrazírny uvádí, že jeho pytlík směsi má hmotnost </t>
    </r>
    <r>
      <rPr>
        <b/>
        <sz val="11"/>
        <color theme="1"/>
        <rFont val="Calibri"/>
        <family val="2"/>
        <charset val="238"/>
        <scheme val="minor"/>
      </rPr>
      <t xml:space="preserve">{a12:n} </t>
    </r>
    <r>
      <rPr>
        <sz val="11"/>
        <color theme="1"/>
        <rFont val="Calibri"/>
        <family val="2"/>
        <charset val="238"/>
        <scheme val="minor"/>
      </rPr>
      <t xml:space="preserve">dkg a lze z něho vyrobit </t>
    </r>
    <r>
      <rPr>
        <b/>
        <sz val="11"/>
        <color theme="1"/>
        <rFont val="Calibri"/>
        <family val="2"/>
        <charset val="238"/>
        <scheme val="minor"/>
      </rPr>
      <t>{a22:n}</t>
    </r>
    <r>
      <rPr>
        <sz val="11"/>
        <color theme="1"/>
        <rFont val="Calibri"/>
        <family val="2"/>
        <charset val="238"/>
        <scheme val="minor"/>
      </rPr>
      <t xml:space="preserve"> porcí, obchod s tímto výrobcem není ničím podmíněn. Poslední výrobce Nova zmrzlina vyrábí pytlík směsi o hmotnosti </t>
    </r>
    <r>
      <rPr>
        <b/>
        <sz val="11"/>
        <color theme="1"/>
        <rFont val="Calibri"/>
        <family val="2"/>
        <charset val="238"/>
        <scheme val="minor"/>
      </rPr>
      <t xml:space="preserve">{a13:n} </t>
    </r>
    <r>
      <rPr>
        <sz val="11"/>
        <color theme="1"/>
        <rFont val="Calibri"/>
        <family val="2"/>
        <charset val="238"/>
        <scheme val="minor"/>
      </rPr>
      <t xml:space="preserve">dkg a lze z něho vyrobit </t>
    </r>
    <r>
      <rPr>
        <b/>
        <sz val="11"/>
        <color theme="1"/>
        <rFont val="Calibri"/>
        <family val="2"/>
        <charset val="238"/>
        <scheme val="minor"/>
      </rPr>
      <t xml:space="preserve">{a23:n} </t>
    </r>
    <r>
      <rPr>
        <sz val="11"/>
        <color theme="1"/>
        <rFont val="Calibri"/>
        <family val="2"/>
        <charset val="238"/>
        <scheme val="minor"/>
      </rPr>
      <t>porcí, obchod je opět podmíněn nákupem</t>
    </r>
    <r>
      <rPr>
        <b/>
        <sz val="11"/>
        <color theme="1"/>
        <rFont val="Calibri"/>
        <family val="2"/>
        <charset val="238"/>
        <scheme val="minor"/>
      </rPr>
      <t xml:space="preserve"> {a33:n} </t>
    </r>
    <r>
      <rPr>
        <sz val="11"/>
        <color theme="1"/>
        <rFont val="Calibri"/>
        <family val="2"/>
        <charset val="238"/>
        <scheme val="minor"/>
      </rPr>
      <t xml:space="preserve">balení posypů ke každému pytlíku směsi. Ve stánku budou nakoupené pytlíky směsí uloženy na policích, které mají omezenou nosnost. Majitelka si spočítala, že může ve stánku uskladnit maximálně </t>
    </r>
    <r>
      <rPr>
        <b/>
        <sz val="11"/>
        <color theme="1"/>
        <rFont val="Calibri"/>
        <family val="2"/>
        <charset val="238"/>
        <scheme val="minor"/>
      </rPr>
      <t>{b1:n}</t>
    </r>
    <r>
      <rPr>
        <sz val="11"/>
        <color theme="1"/>
        <rFont val="Calibri"/>
        <family val="2"/>
        <charset val="238"/>
        <scheme val="minor"/>
      </rPr>
      <t xml:space="preserve"> dkg nakoupených směsí. Ze zkušenosti majitelka ví, že by měla z nakoupených směsí vyrobit nejméně </t>
    </r>
    <r>
      <rPr>
        <b/>
        <sz val="11"/>
        <color theme="1"/>
        <rFont val="Calibri"/>
        <family val="2"/>
        <charset val="238"/>
        <scheme val="minor"/>
      </rPr>
      <t>{b2:n}</t>
    </r>
    <r>
      <rPr>
        <sz val="11"/>
        <color theme="1"/>
        <rFont val="Calibri"/>
        <family val="2"/>
        <charset val="238"/>
        <scheme val="minor"/>
      </rPr>
      <t xml:space="preserve"> porcí, aby uspokojila pravidelnou poptávku. Balení posypů sice stojí zanedbatelně málo, ale není o něj u zákazníků zájem, a tak si majitelka nepřeje nakoupit více než </t>
    </r>
    <r>
      <rPr>
        <b/>
        <sz val="11"/>
        <color theme="1"/>
        <rFont val="Calibri"/>
        <family val="2"/>
        <charset val="238"/>
        <scheme val="minor"/>
      </rPr>
      <t>{b3:n}</t>
    </r>
    <r>
      <rPr>
        <sz val="11"/>
        <color theme="1"/>
        <rFont val="Calibri"/>
        <family val="2"/>
        <charset val="238"/>
        <scheme val="minor"/>
      </rPr>
      <t xml:space="preserve"> balení posypů. Pytlík základní směsi od jednotlivých výrobců je prodáván za následující ceny: Mrs. Freeze za </t>
    </r>
    <r>
      <rPr>
        <b/>
        <sz val="11"/>
        <color theme="1"/>
        <rFont val="Calibri"/>
        <family val="2"/>
        <charset val="238"/>
        <scheme val="minor"/>
      </rPr>
      <t>{c1:n}</t>
    </r>
    <r>
      <rPr>
        <sz val="11"/>
        <color theme="1"/>
        <rFont val="Calibri"/>
        <family val="2"/>
        <charset val="238"/>
        <scheme val="minor"/>
      </rPr>
      <t xml:space="preserve"> Kč, Sedlecké mrazírny za </t>
    </r>
    <r>
      <rPr>
        <b/>
        <sz val="11"/>
        <color theme="1"/>
        <rFont val="Calibri"/>
        <family val="2"/>
        <charset val="238"/>
        <scheme val="minor"/>
      </rPr>
      <t>{c2:n}</t>
    </r>
    <r>
      <rPr>
        <sz val="11"/>
        <color theme="1"/>
        <rFont val="Calibri"/>
        <family val="2"/>
        <charset val="238"/>
        <scheme val="minor"/>
      </rPr>
      <t xml:space="preserve"> Kč a Nova zmrzlina za </t>
    </r>
    <r>
      <rPr>
        <b/>
        <sz val="11"/>
        <color theme="1"/>
        <rFont val="Calibri"/>
        <family val="2"/>
        <charset val="238"/>
        <scheme val="minor"/>
      </rPr>
      <t>{c3:n}</t>
    </r>
    <r>
      <rPr>
        <sz val="11"/>
        <color theme="1"/>
        <rFont val="Calibri"/>
        <family val="2"/>
        <charset val="238"/>
        <scheme val="minor"/>
      </rPr>
      <t xml:space="preserve"> Kč. Majitelka chce finanční náklady za pytlíky základních směsí minimalizovat.</t>
    </r>
  </si>
  <si>
    <t>ROUND(({c1:1}*((1/{a11:1})-(((0-((1/{a11:1})*{a21:1}))/({a23:1}-(({a13:1}/{a11:1})*{a21:1})))*({a13:1}/{a11:1})))+{c3:1}*((0-((1/{a11:1})*{a21:1}))/({a23:1}-(({a13:1}/{a11:1})*{a21:1})))),2)</t>
  </si>
  <si>
    <r>
      <t>c</t>
    </r>
    <r>
      <rPr>
        <b/>
        <vertAlign val="subscript"/>
        <sz val="11"/>
        <color theme="1"/>
        <rFont val="Calibri"/>
        <family val="2"/>
        <charset val="238"/>
        <scheme val="minor"/>
      </rPr>
      <t>B</t>
    </r>
  </si>
  <si>
    <t>Určete hodnotu pomocné proměnné z kriteriálního řádku zj-cj výsledné tabulky. Výsledek zaokrouhlete na 2 desetinná místa a uveďte jej vč. znaménka.</t>
  </si>
  <si>
    <t>ROUND(({c1:1}*(0-(((-1)/({a23:1}-(({a13:1}/{a11:1})*{a21:1})))*({a13:1}/{a11:1})))+{c3:1}*((-1)/({a23:1}-(({a13:1}/{a11:1})*{a21:1})))),2)</t>
  </si>
  <si>
    <t>ROUND({c1:2}*(0-(((-1)/({a22:2}-(({a12:2}/{a11:2})*{a21:2})))*({a12:2}/{a11:2})))+{c2:2}*((-1)/({a22:2}-(({a12:2}/{a11:2})*{a21:2}))),2)</t>
  </si>
  <si>
    <t>ROUND({c3:3}*((0-(((-1)/{a22:3})*{a12:3}))/({a13:3}-(({a23:3}/{a22:3})*{a12:3})))+{c2:3}*(((-1)/{a22:3})-(((0-(((-1)/{a22:3})*{a12:3}))/({a13:3}-(({a23:3}/{a22:3})*{a12:3})))*({a23:3}/{a22:3}))),2)</t>
  </si>
  <si>
    <t>ROUND({c2:4}*((-1)/{a22:4}),2)</t>
  </si>
  <si>
    <t>x2(p2), x3(d1)</t>
  </si>
  <si>
    <t>x2(p2), x3(d3)</t>
  </si>
  <si>
    <t>klíč. sloupec (klíč. řádek)</t>
  </si>
  <si>
    <t>↑ zpět na obsah</t>
  </si>
  <si>
    <t>1. MATEMATICKÝ MODEL</t>
  </si>
  <si>
    <t>Kalkulačka pro oveření výpočtů SIMPLEXOVÝM ALGORITMEM (maximalizace) do 4. iterace výpočtu</t>
  </si>
  <si>
    <t>&gt; 2 kapacitní OP, 1 požadavková OP, 1 účelová funkce</t>
  </si>
  <si>
    <t>O kolik Kč se sníží zisk z prodeje točené zmrzliny, pokud by se prodala 1 malá porce točné zmrzliny navíc? Výsledek zaokrouhlete na 2 desetinná místa a uveďte jej bez znamének. Pokud je tento produkt prodáván v optimálním řešení, zapište 0.</t>
  </si>
  <si>
    <t>O kolik Kč se sníží zisk z prodeje točené zmrzliny, pokud by se prodala 1 velká porce točné zmrzliny navíc? Výsledek zaokrouhlete na 2 desetinná místa a uveďte jej bez znamének. Pokud je tento produkt prodáván v optimálním řešení, zapište 0.</t>
  </si>
  <si>
    <t>O kolik Kč se sníží zisk z prodeje točené zmrzliny, pokud by se prodala 1 porce točené zmrzliny do termoobalu navíc? Výsledek zaokrouhlete na 2 desetinná místa a uveďte jej bez znamének. Pokud je tento produkt prodáván v optimálním řešení, zapište 0.</t>
  </si>
  <si>
    <r>
      <t>Stánek s točenou zmrzlinou nabízí tři produkty: malou porci, velkou porci a porci do termoobalu. Ve stánku je prostor na uchování</t>
    </r>
    <r>
      <rPr>
        <b/>
        <sz val="11"/>
        <color theme="1"/>
        <rFont val="Calibri"/>
        <family val="2"/>
        <charset val="238"/>
        <scheme val="minor"/>
      </rPr>
      <t xml:space="preserve"> {b1:n}</t>
    </r>
    <r>
      <rPr>
        <sz val="11"/>
        <color theme="1"/>
        <rFont val="Calibri"/>
        <family val="2"/>
        <charset val="238"/>
        <scheme val="minor"/>
      </rPr>
      <t xml:space="preserve"> dkg směsi pro výrobu zmrzliny, přičemž víme, že pro jednu malou porci je třeba </t>
    </r>
    <r>
      <rPr>
        <b/>
        <sz val="11"/>
        <color theme="1"/>
        <rFont val="Calibri"/>
        <family val="2"/>
        <charset val="238"/>
        <scheme val="minor"/>
      </rPr>
      <t xml:space="preserve">{a11:n} </t>
    </r>
    <r>
      <rPr>
        <sz val="11"/>
        <color theme="1"/>
        <rFont val="Calibri"/>
        <family val="2"/>
        <charset val="238"/>
        <scheme val="minor"/>
      </rPr>
      <t xml:space="preserve">dkg směsi, pro jednu velkou porci </t>
    </r>
    <r>
      <rPr>
        <b/>
        <sz val="11"/>
        <color theme="1"/>
        <rFont val="Calibri"/>
        <family val="2"/>
        <charset val="238"/>
        <scheme val="minor"/>
      </rPr>
      <t>{a12:n}</t>
    </r>
    <r>
      <rPr>
        <sz val="11"/>
        <color theme="1"/>
        <rFont val="Calibri"/>
        <family val="2"/>
        <charset val="238"/>
        <scheme val="minor"/>
      </rPr>
      <t xml:space="preserve"> dkg směsi a pro jeden termoobal </t>
    </r>
    <r>
      <rPr>
        <b/>
        <sz val="11"/>
        <color theme="1"/>
        <rFont val="Calibri"/>
        <family val="2"/>
        <charset val="238"/>
        <scheme val="minor"/>
      </rPr>
      <t>{a13:n}</t>
    </r>
    <r>
      <rPr>
        <sz val="11"/>
        <color theme="1"/>
        <rFont val="Calibri"/>
        <family val="2"/>
        <charset val="238"/>
        <scheme val="minor"/>
      </rPr>
      <t xml:space="preserve"> dkg směsi. Dále ve stánku máme podavač ubrousků, který obsahuje </t>
    </r>
    <r>
      <rPr>
        <b/>
        <sz val="11"/>
        <color theme="1"/>
        <rFont val="Calibri"/>
        <family val="2"/>
        <charset val="238"/>
        <scheme val="minor"/>
      </rPr>
      <t>{b2:n}</t>
    </r>
    <r>
      <rPr>
        <sz val="11"/>
        <color theme="1"/>
        <rFont val="Calibri"/>
        <family val="2"/>
        <charset val="238"/>
        <scheme val="minor"/>
      </rPr>
      <t xml:space="preserve"> ks ubrousků. Při prodeji jedné malé porce se využije </t>
    </r>
    <r>
      <rPr>
        <b/>
        <sz val="11"/>
        <color theme="1"/>
        <rFont val="Calibri"/>
        <family val="2"/>
        <charset val="238"/>
        <scheme val="minor"/>
      </rPr>
      <t>{a21:n}</t>
    </r>
    <r>
      <rPr>
        <sz val="11"/>
        <color theme="1"/>
        <rFont val="Calibri"/>
        <family val="2"/>
        <charset val="238"/>
        <scheme val="minor"/>
      </rPr>
      <t xml:space="preserve"> ks ubrousků, při prodeji velké porce </t>
    </r>
    <r>
      <rPr>
        <b/>
        <sz val="11"/>
        <color theme="1"/>
        <rFont val="Calibri"/>
        <family val="2"/>
        <charset val="238"/>
        <scheme val="minor"/>
      </rPr>
      <t>{a22:n}</t>
    </r>
    <r>
      <rPr>
        <sz val="11"/>
        <color theme="1"/>
        <rFont val="Calibri"/>
        <family val="2"/>
        <charset val="238"/>
        <scheme val="minor"/>
      </rPr>
      <t xml:space="preserve"> ks ubrousků a při prodeji porce do termoobalu</t>
    </r>
    <r>
      <rPr>
        <b/>
        <sz val="11"/>
        <color theme="1"/>
        <rFont val="Calibri"/>
        <family val="2"/>
        <charset val="238"/>
        <scheme val="minor"/>
      </rPr>
      <t xml:space="preserve"> {a23:n}</t>
    </r>
    <r>
      <rPr>
        <sz val="11"/>
        <color theme="1"/>
        <rFont val="Calibri"/>
        <family val="2"/>
        <charset val="238"/>
        <scheme val="minor"/>
      </rPr>
      <t xml:space="preserve"> ks ubrousků. Zmrzlinový stroj při výdeji jakékoliv porce se zahřívá a podléhá opotřebení, proto je každý produkt obodován body zatížení a limit je stanoven na </t>
    </r>
    <r>
      <rPr>
        <b/>
        <sz val="11"/>
        <color theme="1"/>
        <rFont val="Calibri"/>
        <family val="2"/>
        <charset val="238"/>
        <scheme val="minor"/>
      </rPr>
      <t>{b3:n}</t>
    </r>
    <r>
      <rPr>
        <sz val="11"/>
        <color theme="1"/>
        <rFont val="Calibri"/>
        <family val="2"/>
        <charset val="238"/>
        <scheme val="minor"/>
      </rPr>
      <t xml:space="preserve"> bodů zatížení. Malá porce odpovídá </t>
    </r>
    <r>
      <rPr>
        <b/>
        <sz val="11"/>
        <color theme="1"/>
        <rFont val="Calibri"/>
        <family val="2"/>
        <charset val="238"/>
        <scheme val="minor"/>
      </rPr>
      <t>{a31:n}</t>
    </r>
    <r>
      <rPr>
        <sz val="11"/>
        <color theme="1"/>
        <rFont val="Calibri"/>
        <family val="2"/>
        <charset val="238"/>
        <scheme val="minor"/>
      </rPr>
      <t xml:space="preserve"> bodů zatížení, velká porce </t>
    </r>
    <r>
      <rPr>
        <b/>
        <sz val="11"/>
        <color theme="1"/>
        <rFont val="Calibri"/>
        <family val="2"/>
        <charset val="238"/>
        <scheme val="minor"/>
      </rPr>
      <t xml:space="preserve">{a32:n} </t>
    </r>
    <r>
      <rPr>
        <sz val="11"/>
        <color theme="1"/>
        <rFont val="Calibri"/>
        <family val="2"/>
        <charset val="238"/>
        <scheme val="minor"/>
      </rPr>
      <t xml:space="preserve">bodů zatížení a porce do termoobalu </t>
    </r>
    <r>
      <rPr>
        <b/>
        <sz val="11"/>
        <color theme="1"/>
        <rFont val="Calibri"/>
        <family val="2"/>
        <charset val="238"/>
        <scheme val="minor"/>
      </rPr>
      <t>{a33:n}</t>
    </r>
    <r>
      <rPr>
        <sz val="11"/>
        <color theme="1"/>
        <rFont val="Calibri"/>
        <family val="2"/>
        <charset val="238"/>
        <scheme val="minor"/>
      </rPr>
      <t xml:space="preserve"> bodů zatížení. Uvažujeme, že na konci každého dne dojde k doplnění směsi pro výrobu zmrzliny, k doplnění podavače ubrousků a k vynulování limitu zatížení stroje. Stánek prodává malou porci zmrzliny za </t>
    </r>
    <r>
      <rPr>
        <b/>
        <sz val="11"/>
        <color theme="1"/>
        <rFont val="Calibri"/>
        <family val="2"/>
        <charset val="238"/>
        <scheme val="minor"/>
      </rPr>
      <t>{c1:n}</t>
    </r>
    <r>
      <rPr>
        <sz val="11"/>
        <color theme="1"/>
        <rFont val="Calibri"/>
        <family val="2"/>
        <charset val="238"/>
        <scheme val="minor"/>
      </rPr>
      <t xml:space="preserve"> Kč, velkou porci za </t>
    </r>
    <r>
      <rPr>
        <b/>
        <sz val="11"/>
        <color theme="1"/>
        <rFont val="Calibri"/>
        <family val="2"/>
        <charset val="238"/>
        <scheme val="minor"/>
      </rPr>
      <t>{c2:n}</t>
    </r>
    <r>
      <rPr>
        <sz val="11"/>
        <color theme="1"/>
        <rFont val="Calibri"/>
        <family val="2"/>
        <charset val="238"/>
        <scheme val="minor"/>
      </rPr>
      <t xml:space="preserve"> Kč a porci do termoobalu za </t>
    </r>
    <r>
      <rPr>
        <b/>
        <sz val="11"/>
        <color theme="1"/>
        <rFont val="Calibri"/>
        <family val="2"/>
        <charset val="238"/>
        <scheme val="minor"/>
      </rPr>
      <t xml:space="preserve">{c3:n} </t>
    </r>
    <r>
      <rPr>
        <sz val="11"/>
        <color theme="1"/>
        <rFont val="Calibri"/>
        <family val="2"/>
        <charset val="238"/>
        <scheme val="minor"/>
      </rPr>
      <t>Kč. Stánek s točenou zmrzlinou chce dosáhnout maximálního zisku za den.</t>
    </r>
  </si>
  <si>
    <t>O kolik Kč se zvýší zisk z prodeje točené zmrzliny, pokud ve stánku dojde k navýšení prostoru na uchování směsi pro výrobu zmrzliny o 1 dkg? Výsledek zaokrouhlete na 2 desetinná místa a uveďte jej bez znamének. Pokud je odpovídající proměnná v optimálním řešení, zapište 0.</t>
  </si>
  <si>
    <t>O kolik Kč se sníží zisk z prodeje točené zmrzliny, pokud ve stánku dojde k snížení prostoru na uchování směsi pro výrobu zmrzliny ve výši 1 dkg? Výsledek zaokrouhlete na 2 desetinná místa a uveďte jej bez znamének. Pokud je odpovídající proměnná v optimálním řešení, zapište 0.</t>
  </si>
  <si>
    <t>O kolik Kč se zvýší zisk z prodeje točené zmrzliny, pokud ve stánku dojde k navýšení počtu ubrousků v podavači o 1 ks? Výsledek zaokrouhlete na 2 desetinná místa a uveďte jej bez znamének. Pokud je odpovídající proměnná v optimálním řešení, zapište 0.</t>
  </si>
  <si>
    <t>O kolik Kč se sníží zisk z prodeje točené zmrzliny, pokud ve stánku dojde k snížení počtu ubrousků v podavači o 1 ks? Výsledek zaokrouhlete na 2 desetinná místa a uveďte jej bez znamének. Pokud je odpovídající proměnná v optimálním řešení, zapište 0.</t>
  </si>
  <si>
    <t>O kolik Kč se zvýší zisk z prodeje točené zmrzliny, pokud dojde k navýšení limitu zatížení zmrzlinového stroje o 1 bod? Výsledek zaokrouhlete na 2 desetinná místa a uveďte jej bez znamének. Pokud je odpovídající proměnná v optimálním řešení, zapište 0.</t>
  </si>
  <si>
    <t>O kolik Kč se sníží zisk z prodeje točené zmrzliny, pokud dojde k snížení limitu zatížení zmrzlinového stroje o 1 bod? Výsledek zaokrouhlete na 2 desetinná místa a uveďte jej bez znamének. Pokud je odpovídající proměnná v optimálním řešení, zapište 0.</t>
  </si>
  <si>
    <t>O kolik Kč by musel výrobce Mrs. Freeze snížit cenu svého pytlíku směsi, aby bylo efektivní upřednostnit jeho výrobek na úkor výrobku od jiného výrobce? Výsledek zaokrouhlete na 2 desetinná místa a uveďte jej bez znamének. Pokud je tento produkt nakoupen v optimálním řešení, zapište 0.</t>
  </si>
  <si>
    <t>O kolik Kč by musel výrobce Sedlecké mrazírny snížit cenu svého pytlíku směsi, aby bylo efektivní upřednostnit jeho výrobek na úkor výrobku od jiného výrobce? Výsledek zaokrouhlete na 2 desetinná místa a uveďte jej bez znamének. Pokud je tento produkt nakoupen v optimálním řešení, zapište 0.</t>
  </si>
  <si>
    <t>O kolik Kč se zvýší náklady vynaložené na nákup pytlíků základní směsi, pokud ve stánku dojde k snížení nosnosti polic o 1 dkg? Výsledek zaokrouhlete na 2 desetinná místa a uveďte jej bez znamének. Pokud je odpovídající proměnná v optimálním řešení, zapište 0.</t>
  </si>
  <si>
    <t>O kolik Kč se sníží náklady vynaložené na nákup pytlíků základní směsi, pokud ve stánku dojde k navýšení nosnosti polic o 1 dkg? Výsledek zaokrouhlete na 2 desetinná místa a uveďte jej bez znamének. Pokud je odpovídající proměnná v optimálním řešení, zapište 0.</t>
  </si>
  <si>
    <t>O kolik Kč se zvýší náklady vynaložené na nákup pytlíků základní směsi, pokud majitelka rozhodne o zvýšení minimálního počtu vyrobených porcí o 1 porci? Výsledek zaokrouhlete na 2 desetinná místa a uveďte jej bez znamének. Pokud je odpovídající proměnná v optimálním řešení, zapište 0.</t>
  </si>
  <si>
    <t>O kolik Kč se sníží náklady vynaložené na nákup pytlíků základní směsi, pokud majitelka rozhodne o snížení minimálního počtu vyrobených porcí o 1 porci? Výsledek zaokrouhlete na 2 desetinná místa a uveďte jej bez znamének. Pokud je odpovídající proměnná v optimálním řešení, zapište 0.</t>
  </si>
  <si>
    <t>O kolik Kč se zvýší náklady vynaložené na nákup pytlíků základní směsi, pokud majitelka rozhodne nakoupit o 1 balení posypů méně? Výsledek zaokrouhlete na 2 desetinná místa a uveďte jej bez znamének. Pokud je odpovídající proměnná v optimálním řešení, zapište 0.</t>
  </si>
  <si>
    <t>O kolik Kč se sníží náklady vynaložené na nákup pytlíků základní směsi, pokud majitelka rozhodne nakoupit o 1 balení posypů více? Výsledek zaokrouhlete na 2 desetinná místa a uveďte jej bez znamének. Pokud je odpovídající proměnná v optimálním řešení, zapište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</si>
</sst>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sz val="18"/>
      <color theme="1"/>
      <name val="Calibri"/>
      <family val="2"/>
      <charset val="238"/>
      <scheme val="minor"/>
    </font>
    <font>
      <b/>
      <sz val="18"/>
      <color theme="1"/>
      <name val="Calibri"/>
      <family val="2"/>
      <charset val="238"/>
      <scheme val="minor"/>
    </font>
    <font>
      <sz val="8"/>
      <name val="Calibri"/>
      <family val="2"/>
      <charset val="238"/>
      <scheme val="minor"/>
    </font>
    <font>
      <sz val="11"/>
      <color theme="1"/>
      <name val="Calibri"/>
      <family val="2"/>
      <charset val="238"/>
    </font>
    <font>
      <sz val="10"/>
      <color theme="1"/>
      <name val="Calibri"/>
      <family val="2"/>
      <charset val="238"/>
      <scheme val="minor"/>
    </font>
    <font>
      <sz val="11"/>
      <name val="Calibri"/>
      <family val="2"/>
      <charset val="238"/>
      <scheme val="minor"/>
    </font>
    <font>
      <sz val="12"/>
      <color theme="1"/>
      <name val="Calibri"/>
      <family val="2"/>
      <charset val="238"/>
      <scheme val="minor"/>
    </font>
    <font>
      <vertAlign val="subscript"/>
      <sz val="11"/>
      <color theme="1"/>
      <name val="Calibri"/>
      <family val="2"/>
      <charset val="238"/>
      <scheme val="minor"/>
    </font>
    <font>
      <sz val="10"/>
      <color theme="1"/>
      <name val="Calibri"/>
      <family val="2"/>
      <charset val="238"/>
    </font>
    <font>
      <i/>
      <sz val="12"/>
      <color theme="1"/>
      <name val="Calibri"/>
      <family val="2"/>
      <charset val="238"/>
      <scheme val="minor"/>
    </font>
    <font>
      <b/>
      <vertAlign val="subscript"/>
      <sz val="11"/>
      <color theme="1"/>
      <name val="Calibri"/>
      <family val="2"/>
      <charset val="238"/>
      <scheme val="minor"/>
    </font>
    <font>
      <b/>
      <sz val="14"/>
      <color theme="1"/>
      <name val="Calibri"/>
      <family val="2"/>
      <charset val="238"/>
      <scheme val="minor"/>
    </font>
    <font>
      <sz val="11"/>
      <color rgb="FFC00000"/>
      <name val="Calibri"/>
      <family val="2"/>
      <charset val="238"/>
      <scheme val="minor"/>
    </font>
    <font>
      <b/>
      <sz val="11"/>
      <color rgb="FFC00000"/>
      <name val="Calibri"/>
      <family val="2"/>
      <charset val="238"/>
      <scheme val="minor"/>
    </font>
    <font>
      <b/>
      <vertAlign val="subscript"/>
      <sz val="11"/>
      <color rgb="FFC00000"/>
      <name val="Calibri"/>
      <family val="2"/>
      <charset val="238"/>
      <scheme val="minor"/>
    </font>
    <font>
      <b/>
      <sz val="16"/>
      <color theme="1"/>
      <name val="Calibri"/>
      <family val="2"/>
      <charset val="238"/>
      <scheme val="minor"/>
    </font>
    <font>
      <u/>
      <sz val="11"/>
      <color theme="10"/>
      <name val="Calibri"/>
      <family val="2"/>
      <charset val="238"/>
      <scheme val="minor"/>
    </font>
    <font>
      <sz val="9"/>
      <color theme="1"/>
      <name val="Calibri"/>
      <family val="2"/>
      <charset val="238"/>
      <scheme val="minor"/>
    </font>
    <font>
      <b/>
      <sz val="11"/>
      <name val="Calibri"/>
      <family val="2"/>
      <charset val="238"/>
      <scheme val="minor"/>
    </font>
    <font>
      <sz val="16"/>
      <color theme="1"/>
      <name val="Calibri"/>
      <family val="2"/>
      <charset val="238"/>
      <scheme val="minor"/>
    </font>
    <font>
      <b/>
      <sz val="20"/>
      <color theme="1"/>
      <name val="Calibri"/>
      <family val="2"/>
      <charset val="238"/>
      <scheme val="minor"/>
    </font>
    <font>
      <sz val="20"/>
      <color theme="1"/>
      <name val="Calibri"/>
      <family val="2"/>
      <charset val="238"/>
      <scheme val="minor"/>
    </font>
    <font>
      <b/>
      <sz val="17"/>
      <color theme="1"/>
      <name val="Calibri"/>
      <family val="2"/>
      <charset val="238"/>
      <scheme val="minor"/>
    </font>
    <font>
      <b/>
      <sz val="12"/>
      <color rgb="FFC00000"/>
      <name val="Calibri"/>
      <family val="2"/>
      <charset val="238"/>
      <scheme val="minor"/>
    </font>
    <font>
      <i/>
      <sz val="11"/>
      <color theme="1"/>
      <name val="Calibri"/>
      <family val="2"/>
      <charset val="238"/>
      <scheme val="minor"/>
    </font>
    <font>
      <b/>
      <u/>
      <sz val="11"/>
      <color theme="10"/>
      <name val="Calibri"/>
      <family val="2"/>
      <charset val="238"/>
      <scheme val="minor"/>
    </font>
    <font>
      <b/>
      <sz val="15"/>
      <color theme="1"/>
      <name val="Calibri"/>
      <family val="2"/>
      <charset val="238"/>
      <scheme val="minor"/>
    </font>
    <font>
      <i/>
      <u/>
      <sz val="11"/>
      <color theme="10"/>
      <name val="Calibri"/>
      <family val="2"/>
      <charset val="238"/>
      <scheme val="minor"/>
    </font>
    <font>
      <b/>
      <sz val="12"/>
      <color theme="1"/>
      <name val="Calibri"/>
      <family val="2"/>
      <charset val="238"/>
      <scheme val="minor"/>
    </font>
  </fonts>
  <fills count="11">
    <fill>
      <patternFill patternType="none"/>
    </fill>
    <fill>
      <patternFill patternType="gray125"/>
    </fill>
    <fill>
      <patternFill patternType="solid">
        <fgColor theme="8" tint="0.59999389629810485"/>
        <bgColor indexed="65"/>
      </patternFill>
    </fill>
    <fill>
      <patternFill patternType="solid">
        <fgColor theme="7" tint="0.79998168889431442"/>
        <bgColor indexed="65"/>
      </patternFill>
    </fill>
    <fill>
      <patternFill patternType="solid">
        <fgColor theme="8" tint="0.39994506668294322"/>
        <bgColor indexed="64"/>
      </patternFill>
    </fill>
    <fill>
      <patternFill patternType="solid">
        <fgColor theme="7"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Dashed">
        <color indexed="64"/>
      </left>
      <right/>
      <top/>
      <bottom style="medium">
        <color indexed="64"/>
      </bottom>
      <diagonal/>
    </border>
    <border>
      <left style="mediumDashed">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style="medium">
        <color theme="8" tint="0.39994506668294322"/>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style="thin">
        <color theme="8" tint="0.39991454817346722"/>
      </top>
      <bottom/>
      <diagonal/>
    </border>
    <border>
      <left style="medium">
        <color theme="8" tint="0.39991454817346722"/>
      </left>
      <right style="medium">
        <color theme="8" tint="0.39991454817346722"/>
      </right>
      <top/>
      <bottom/>
      <diagonal/>
    </border>
    <border>
      <left style="medium">
        <color theme="8" tint="0.39991454817346722"/>
      </left>
      <right style="medium">
        <color theme="8" tint="0.39991454817346722"/>
      </right>
      <top/>
      <bottom style="medium">
        <color theme="8" tint="0.39991454817346722"/>
      </bottom>
      <diagonal/>
    </border>
    <border>
      <left style="medium">
        <color indexed="64"/>
      </left>
      <right/>
      <top style="medium">
        <color indexed="64"/>
      </top>
      <bottom/>
      <diagonal/>
    </border>
    <border>
      <left style="medium">
        <color theme="8" tint="0.39994506668294322"/>
      </left>
      <right style="medium">
        <color theme="8" tint="0.39994506668294322"/>
      </right>
      <top/>
      <bottom/>
      <diagonal/>
    </border>
    <border>
      <left style="mediumDashed">
        <color indexed="64"/>
      </left>
      <right/>
      <top style="medium">
        <color indexed="64"/>
      </top>
      <bottom/>
      <diagonal/>
    </border>
    <border>
      <left style="thin">
        <color indexed="64"/>
      </left>
      <right style="mediumDashed">
        <color indexed="64"/>
      </right>
      <top style="medium">
        <color indexed="64"/>
      </top>
      <bottom/>
      <diagonal/>
    </border>
    <border>
      <left style="thin">
        <color indexed="64"/>
      </left>
      <right style="mediumDashed">
        <color indexed="64"/>
      </right>
      <top/>
      <bottom/>
      <diagonal/>
    </border>
    <border>
      <left style="thin">
        <color indexed="64"/>
      </left>
      <right style="mediumDashed">
        <color indexed="64"/>
      </right>
      <top/>
      <bottom style="medium">
        <color indexed="64"/>
      </bottom>
      <diagonal/>
    </border>
    <border>
      <left style="thin">
        <color indexed="64"/>
      </left>
      <right/>
      <top style="medium">
        <color auto="1"/>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auto="1"/>
      </right>
      <top/>
      <bottom/>
      <diagonal/>
    </border>
    <border>
      <left style="thin">
        <color indexed="64"/>
      </left>
      <right/>
      <top style="medium">
        <color indexed="64"/>
      </top>
      <bottom style="thin">
        <color indexed="64"/>
      </bottom>
      <diagonal/>
    </border>
    <border>
      <left/>
      <right style="double">
        <color auto="1"/>
      </right>
      <top style="medium">
        <color auto="1"/>
      </top>
      <bottom/>
      <diagonal/>
    </border>
    <border>
      <left style="thin">
        <color indexed="64"/>
      </left>
      <right/>
      <top style="thin">
        <color indexed="64"/>
      </top>
      <bottom style="medium">
        <color indexed="64"/>
      </bottom>
      <diagonal/>
    </border>
    <border>
      <left style="double">
        <color auto="1"/>
      </left>
      <right style="thin">
        <color auto="1"/>
      </right>
      <top/>
      <bottom/>
      <diagonal/>
    </border>
    <border>
      <left/>
      <right style="double">
        <color auto="1"/>
      </right>
      <top/>
      <bottom style="medium">
        <color auto="1"/>
      </bottom>
      <diagonal/>
    </border>
    <border>
      <left/>
      <right style="thin">
        <color auto="1"/>
      </right>
      <top style="medium">
        <color indexed="64"/>
      </top>
      <bottom/>
      <diagonal/>
    </border>
    <border>
      <left style="medium">
        <color theme="8" tint="0.39994506668294322"/>
      </left>
      <right style="medium">
        <color theme="8" tint="0.39994506668294322"/>
      </right>
      <top style="medium">
        <color theme="8" tint="0.39991454817346722"/>
      </top>
      <bottom/>
      <diagonal/>
    </border>
    <border>
      <left style="medium">
        <color theme="8" tint="0.39991454817346722"/>
      </left>
      <right style="medium">
        <color theme="8" tint="0.39991454817346722"/>
      </right>
      <top/>
      <bottom style="medium">
        <color theme="8" tint="0.39988402966399123"/>
      </bottom>
      <diagonal/>
    </border>
    <border>
      <left style="medium">
        <color theme="8" tint="0.39994506668294322"/>
      </left>
      <right style="medium">
        <color theme="8" tint="0.39994506668294322"/>
      </right>
      <top/>
      <bottom style="medium">
        <color theme="8" tint="0.39991454817346722"/>
      </bottom>
      <diagonal/>
    </border>
    <border>
      <left/>
      <right style="mediumDashed">
        <color indexed="64"/>
      </right>
      <top style="medium">
        <color indexed="64"/>
      </top>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style="thin">
        <color auto="1"/>
      </bottom>
      <diagonal/>
    </border>
    <border>
      <left style="mediumDashed">
        <color auto="1"/>
      </left>
      <right style="mediumDashed">
        <color auto="1"/>
      </right>
      <top style="thin">
        <color auto="1"/>
      </top>
      <bottom style="thin">
        <color auto="1"/>
      </bottom>
      <diagonal/>
    </border>
    <border>
      <left style="mediumDashed">
        <color auto="1"/>
      </left>
      <right style="mediumDashed">
        <color auto="1"/>
      </right>
      <top style="thin">
        <color auto="1"/>
      </top>
      <bottom style="mediumDashed">
        <color auto="1"/>
      </bottom>
      <diagonal/>
    </border>
    <border>
      <left/>
      <right style="thin">
        <color auto="1"/>
      </right>
      <top style="medium">
        <color indexed="64"/>
      </top>
      <bottom style="thin">
        <color auto="1"/>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0" fillId="0" borderId="0" applyNumberFormat="0" applyFill="0" applyBorder="0" applyAlignment="0" applyProtection="0"/>
  </cellStyleXfs>
  <cellXfs count="355">
    <xf numFmtId="0" fontId="0" fillId="0" borderId="0" xfId="0"/>
    <xf numFmtId="0" fontId="4" fillId="0" borderId="0" xfId="0" applyFont="1"/>
    <xf numFmtId="0" fontId="5" fillId="0" borderId="0" xfId="0" applyFont="1" applyAlignment="1">
      <alignment vertical="center"/>
    </xf>
    <xf numFmtId="0" fontId="0" fillId="0" borderId="5" xfId="0" applyBorder="1" applyAlignment="1">
      <alignment horizontal="center" vertical="center"/>
    </xf>
    <xf numFmtId="0" fontId="0" fillId="0" borderId="0"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xf numFmtId="0" fontId="2" fillId="0" borderId="1" xfId="0" applyFont="1" applyBorder="1" applyAlignment="1">
      <alignment horizontal="center" vertical="center"/>
    </xf>
    <xf numFmtId="0" fontId="0" fillId="0" borderId="13" xfId="0" applyBorder="1"/>
    <xf numFmtId="0" fontId="0" fillId="0" borderId="8" xfId="0" applyBorder="1"/>
    <xf numFmtId="0" fontId="0" fillId="0" borderId="0"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4" xfId="0" applyBorder="1"/>
    <xf numFmtId="0" fontId="0" fillId="0" borderId="28" xfId="0" applyBorder="1" applyAlignment="1">
      <alignment horizontal="center" vertical="center"/>
    </xf>
    <xf numFmtId="0" fontId="0" fillId="4" borderId="27"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xf>
    <xf numFmtId="0" fontId="7" fillId="0" borderId="0" xfId="0" applyFont="1" applyBorder="1" applyAlignment="1">
      <alignment horizontal="center" vertical="center"/>
    </xf>
    <xf numFmtId="0" fontId="7" fillId="0" borderId="23" xfId="0" applyFont="1" applyFill="1" applyBorder="1" applyAlignment="1">
      <alignment horizontal="center" vertical="center"/>
    </xf>
    <xf numFmtId="0" fontId="0" fillId="0" borderId="35" xfId="0" applyFill="1" applyBorder="1" applyAlignment="1">
      <alignment horizontal="center" vertical="center"/>
    </xf>
    <xf numFmtId="0" fontId="8" fillId="4" borderId="29"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 xfId="0" applyBorder="1"/>
    <xf numFmtId="0" fontId="8" fillId="4" borderId="34" xfId="0" applyFont="1" applyFill="1"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19" xfId="0" applyBorder="1"/>
    <xf numFmtId="0" fontId="0" fillId="0" borderId="39" xfId="0" applyBorder="1" applyAlignment="1">
      <alignment horizontal="center" vertical="center"/>
    </xf>
    <xf numFmtId="0" fontId="0" fillId="0" borderId="35" xfId="0" applyBorder="1" applyAlignment="1">
      <alignment horizontal="center" vertical="center"/>
    </xf>
    <xf numFmtId="0" fontId="7" fillId="0" borderId="0" xfId="0" applyFont="1" applyFill="1" applyBorder="1" applyAlignment="1">
      <alignment horizontal="center" vertical="center"/>
    </xf>
    <xf numFmtId="0" fontId="0" fillId="0" borderId="40" xfId="0" applyBorder="1" applyAlignment="1">
      <alignment horizontal="center" vertical="center"/>
    </xf>
    <xf numFmtId="0" fontId="7" fillId="0" borderId="37" xfId="0" applyFont="1" applyBorder="1" applyAlignment="1">
      <alignment horizontal="center" vertical="center"/>
    </xf>
    <xf numFmtId="0" fontId="8" fillId="0" borderId="0" xfId="0" applyFont="1"/>
    <xf numFmtId="0" fontId="2" fillId="0" borderId="26" xfId="0" applyFont="1" applyBorder="1" applyAlignment="1">
      <alignment horizontal="center" vertical="center"/>
    </xf>
    <xf numFmtId="0" fontId="0" fillId="0" borderId="0" xfId="0" quotePrefix="1"/>
    <xf numFmtId="0" fontId="1" fillId="5" borderId="0" xfId="3"/>
    <xf numFmtId="0" fontId="1" fillId="3" borderId="0" xfId="2"/>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44" xfId="0" applyFont="1" applyBorder="1" applyAlignment="1">
      <alignment horizontal="center" vertical="center"/>
    </xf>
    <xf numFmtId="0" fontId="2" fillId="0" borderId="9"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54" xfId="0" applyBorder="1" applyAlignment="1">
      <alignment horizontal="center"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1" xfId="0" applyFont="1" applyBorder="1" applyAlignment="1">
      <alignment horizontal="center" vertical="center"/>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50" xfId="0" quotePrefix="1" applyFont="1" applyBorder="1" applyAlignment="1">
      <alignment horizontal="center" vertical="center"/>
    </xf>
    <xf numFmtId="0" fontId="0" fillId="0" borderId="52" xfId="0" quotePrefix="1" applyFont="1" applyBorder="1" applyAlignment="1">
      <alignment horizontal="center" vertical="center"/>
    </xf>
    <xf numFmtId="0" fontId="0" fillId="0" borderId="51" xfId="0" quotePrefix="1" applyFont="1" applyBorder="1" applyAlignment="1">
      <alignment horizontal="center" vertical="center"/>
    </xf>
    <xf numFmtId="0" fontId="1" fillId="7" borderId="0" xfId="5"/>
    <xf numFmtId="0" fontId="1" fillId="6" borderId="0" xfId="4"/>
    <xf numFmtId="0" fontId="0" fillId="0" borderId="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0" borderId="41" xfId="0" applyFont="1" applyBorder="1" applyAlignment="1">
      <alignment horizontal="center" vertical="center"/>
    </xf>
    <xf numFmtId="0" fontId="1" fillId="7" borderId="0" xfId="5" applyAlignment="1">
      <alignment horizontal="center" vertical="center"/>
    </xf>
    <xf numFmtId="0" fontId="5" fillId="7" borderId="0" xfId="5" applyFont="1" applyAlignment="1">
      <alignment vertical="center"/>
    </xf>
    <xf numFmtId="0" fontId="1" fillId="7" borderId="0" xfId="5" applyAlignment="1">
      <alignment vertical="center"/>
    </xf>
    <xf numFmtId="0" fontId="4" fillId="7" borderId="0" xfId="5" applyFont="1" applyAlignment="1">
      <alignment vertical="center"/>
    </xf>
    <xf numFmtId="0" fontId="1" fillId="6" borderId="0" xfId="4" applyAlignment="1">
      <alignment vertical="center"/>
    </xf>
    <xf numFmtId="0" fontId="1" fillId="6" borderId="0" xfId="4" applyAlignment="1">
      <alignment horizontal="center" vertical="center"/>
    </xf>
    <xf numFmtId="0" fontId="16" fillId="0" borderId="52" xfId="0" applyFont="1" applyBorder="1" applyAlignment="1">
      <alignment horizontal="center" vertical="center"/>
    </xf>
    <xf numFmtId="0" fontId="16" fillId="0" borderId="1" xfId="0" applyFont="1" applyBorder="1" applyAlignment="1">
      <alignment horizontal="center" vertical="center"/>
    </xf>
    <xf numFmtId="0" fontId="16" fillId="0" borderId="50" xfId="0" quotePrefix="1" applyFont="1" applyBorder="1" applyAlignment="1">
      <alignment horizontal="center" vertical="center"/>
    </xf>
    <xf numFmtId="0" fontId="17" fillId="0" borderId="47" xfId="0" applyFont="1" applyBorder="1" applyAlignment="1">
      <alignment horizontal="center" vertical="center"/>
    </xf>
    <xf numFmtId="0" fontId="17" fillId="0" borderId="41" xfId="0" applyFont="1" applyBorder="1" applyAlignment="1">
      <alignment horizontal="center" vertical="center"/>
    </xf>
    <xf numFmtId="0" fontId="17" fillId="0" borderId="51" xfId="0" applyFont="1" applyBorder="1" applyAlignment="1">
      <alignment horizontal="center" vertical="center"/>
    </xf>
    <xf numFmtId="0" fontId="16" fillId="0" borderId="50" xfId="0" applyFont="1" applyBorder="1" applyAlignment="1">
      <alignment horizontal="center" vertical="center"/>
    </xf>
    <xf numFmtId="0" fontId="19" fillId="7" borderId="0" xfId="5" applyFont="1" applyAlignment="1">
      <alignment vertical="center"/>
    </xf>
    <xf numFmtId="0" fontId="1" fillId="6" borderId="42" xfId="4" applyBorder="1" applyAlignment="1">
      <alignment horizontal="center" vertical="center"/>
    </xf>
    <xf numFmtId="0" fontId="1" fillId="6" borderId="43" xfId="4" applyBorder="1" applyAlignment="1">
      <alignment horizontal="center" vertical="center"/>
    </xf>
    <xf numFmtId="0" fontId="1" fillId="6" borderId="58" xfId="4" applyBorder="1" applyAlignment="1">
      <alignment horizontal="center" vertical="center"/>
    </xf>
    <xf numFmtId="0" fontId="1" fillId="6" borderId="60" xfId="4" applyBorder="1" applyAlignment="1">
      <alignment horizontal="center" vertical="center"/>
    </xf>
    <xf numFmtId="0" fontId="1" fillId="6" borderId="63" xfId="4" applyBorder="1" applyAlignment="1">
      <alignment horizontal="center" vertical="center"/>
    </xf>
    <xf numFmtId="0" fontId="1" fillId="6" borderId="0" xfId="4" applyAlignment="1">
      <alignment horizontal="left" vertical="center"/>
    </xf>
    <xf numFmtId="0" fontId="1" fillId="0" borderId="62" xfId="4" applyFill="1" applyBorder="1" applyAlignment="1">
      <alignment horizontal="center" vertical="center"/>
    </xf>
    <xf numFmtId="0" fontId="1" fillId="0" borderId="0" xfId="4" applyFill="1" applyAlignment="1">
      <alignment horizontal="center" vertical="center"/>
    </xf>
    <xf numFmtId="0" fontId="1" fillId="9" borderId="0" xfId="7"/>
    <xf numFmtId="0" fontId="5" fillId="9" borderId="0" xfId="7" applyFont="1" applyAlignment="1">
      <alignment vertical="center"/>
    </xf>
    <xf numFmtId="0" fontId="1" fillId="8" borderId="0" xfId="6"/>
    <xf numFmtId="0" fontId="16" fillId="0" borderId="53"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1" xfId="0" applyFont="1" applyBorder="1" applyAlignment="1">
      <alignment horizontal="center" vertical="center"/>
    </xf>
    <xf numFmtId="0" fontId="16" fillId="0" borderId="47" xfId="0" applyFont="1" applyBorder="1" applyAlignment="1">
      <alignment horizontal="center" vertical="center"/>
    </xf>
    <xf numFmtId="0" fontId="16" fillId="0" borderId="5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57" xfId="0" applyFont="1" applyBorder="1" applyAlignment="1">
      <alignment horizontal="center" vertical="center"/>
    </xf>
    <xf numFmtId="0" fontId="16" fillId="0" borderId="52" xfId="0" quotePrefix="1" applyFont="1" applyBorder="1" applyAlignment="1">
      <alignment horizontal="center" vertical="center"/>
    </xf>
    <xf numFmtId="0" fontId="17" fillId="0" borderId="9" xfId="0" applyFont="1" applyBorder="1" applyAlignment="1">
      <alignment horizontal="center" vertical="center"/>
    </xf>
    <xf numFmtId="0" fontId="16" fillId="0" borderId="62" xfId="4" applyFont="1" applyFill="1" applyBorder="1" applyAlignment="1">
      <alignment horizontal="center" vertical="center"/>
    </xf>
    <xf numFmtId="0" fontId="16" fillId="0" borderId="0" xfId="4" applyFont="1" applyFill="1" applyAlignment="1">
      <alignment horizontal="center" vertical="center"/>
    </xf>
    <xf numFmtId="0" fontId="16" fillId="0" borderId="0" xfId="0" applyFont="1"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0" borderId="41" xfId="0" applyFont="1" applyBorder="1" applyAlignment="1">
      <alignment horizontal="center" vertical="center"/>
    </xf>
    <xf numFmtId="0" fontId="9" fillId="0" borderId="61" xfId="0" applyFont="1" applyBorder="1" applyAlignment="1">
      <alignment horizontal="center" vertical="center"/>
    </xf>
    <xf numFmtId="0" fontId="2" fillId="6" borderId="0" xfId="4" applyFont="1" applyAlignment="1">
      <alignment horizontal="center" vertical="center"/>
    </xf>
    <xf numFmtId="0" fontId="9" fillId="0" borderId="1" xfId="0" applyFont="1" applyBorder="1" applyAlignment="1">
      <alignment horizontal="center" vertical="center"/>
    </xf>
    <xf numFmtId="0" fontId="9" fillId="0" borderId="52" xfId="0" applyFont="1" applyBorder="1" applyAlignment="1">
      <alignment horizontal="center" vertical="center"/>
    </xf>
    <xf numFmtId="0" fontId="9" fillId="0" borderId="46" xfId="0" applyFont="1" applyBorder="1" applyAlignment="1">
      <alignment horizontal="center" vertical="center"/>
    </xf>
    <xf numFmtId="0" fontId="16" fillId="0" borderId="51" xfId="0" quotePrefix="1" applyFont="1" applyBorder="1" applyAlignment="1">
      <alignment horizontal="center" vertical="center"/>
    </xf>
    <xf numFmtId="0" fontId="9" fillId="0" borderId="51" xfId="0" applyFont="1" applyBorder="1" applyAlignment="1">
      <alignment horizontal="center" vertical="center"/>
    </xf>
    <xf numFmtId="0" fontId="9" fillId="0" borderId="41" xfId="0" applyFont="1" applyBorder="1" applyAlignment="1">
      <alignment horizontal="center" vertical="center"/>
    </xf>
    <xf numFmtId="0" fontId="9" fillId="0" borderId="47" xfId="0" applyFont="1" applyBorder="1" applyAlignment="1">
      <alignment horizontal="center" vertical="center"/>
    </xf>
    <xf numFmtId="0" fontId="16" fillId="0" borderId="0"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9" fillId="0" borderId="62" xfId="4" applyFont="1" applyFill="1" applyBorder="1" applyAlignment="1">
      <alignment horizontal="center" vertical="center"/>
    </xf>
    <xf numFmtId="0" fontId="9" fillId="0" borderId="0" xfId="4" applyFont="1" applyFill="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6" borderId="0" xfId="4" quotePrefix="1" applyAlignment="1">
      <alignment vertical="center"/>
    </xf>
    <xf numFmtId="0" fontId="1" fillId="6" borderId="0" xfId="4" quotePrefix="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0" borderId="41" xfId="0" applyFont="1" applyBorder="1" applyAlignment="1">
      <alignment horizontal="center" vertical="center"/>
    </xf>
    <xf numFmtId="0" fontId="1" fillId="6" borderId="0" xfId="4" applyAlignment="1">
      <alignment horizontal="left" vertical="center"/>
    </xf>
    <xf numFmtId="0" fontId="21" fillId="6" borderId="0" xfId="4" applyFont="1" applyAlignment="1">
      <alignment horizontal="center" vertical="center"/>
    </xf>
    <xf numFmtId="0" fontId="16" fillId="0" borderId="11" xfId="0" applyFont="1" applyBorder="1" applyAlignment="1">
      <alignment horizontal="center" vertical="center"/>
    </xf>
    <xf numFmtId="0" fontId="17" fillId="0" borderId="44" xfId="0" applyFont="1" applyBorder="1" applyAlignment="1">
      <alignment horizontal="center" vertical="center"/>
    </xf>
    <xf numFmtId="0" fontId="9" fillId="0" borderId="53" xfId="0" applyFont="1" applyBorder="1" applyAlignment="1">
      <alignment horizontal="center" vertical="center"/>
    </xf>
    <xf numFmtId="0" fontId="9" fillId="0" borderId="51" xfId="0" quotePrefix="1" applyFont="1" applyBorder="1" applyAlignment="1">
      <alignment horizontal="center" vertical="center"/>
    </xf>
    <xf numFmtId="0" fontId="9" fillId="0" borderId="57"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xf numFmtId="0" fontId="23" fillId="0" borderId="0" xfId="0" applyFont="1" applyAlignment="1">
      <alignment horizontal="left" vertical="center"/>
    </xf>
    <xf numFmtId="0" fontId="0" fillId="0" borderId="42" xfId="0" applyBorder="1" applyAlignment="1">
      <alignment horizontal="center" vertical="center"/>
    </xf>
    <xf numFmtId="0" fontId="0" fillId="0" borderId="64" xfId="0" applyBorder="1" applyAlignment="1">
      <alignment horizontal="center" vertical="center"/>
    </xf>
    <xf numFmtId="0" fontId="8" fillId="4" borderId="65" xfId="0" applyFont="1" applyFill="1" applyBorder="1" applyAlignment="1">
      <alignment horizontal="center" vertical="center"/>
    </xf>
    <xf numFmtId="0" fontId="25" fillId="0" borderId="0" xfId="0" applyFont="1"/>
    <xf numFmtId="0" fontId="1" fillId="3" borderId="0" xfId="2" applyAlignment="1">
      <alignment horizontal="left" vertical="center"/>
    </xf>
    <xf numFmtId="0" fontId="3" fillId="5" borderId="0" xfId="3" applyFont="1" applyAlignment="1">
      <alignment horizontal="center" vertical="top"/>
    </xf>
    <xf numFmtId="0" fontId="1" fillId="5" borderId="0" xfId="3" applyBorder="1" applyAlignment="1">
      <alignment horizontal="center" vertical="center"/>
    </xf>
    <xf numFmtId="0" fontId="1" fillId="5" borderId="0" xfId="3" applyBorder="1"/>
    <xf numFmtId="0" fontId="3" fillId="5" borderId="0" xfId="3" applyFont="1"/>
    <xf numFmtId="0" fontId="0" fillId="0" borderId="66" xfId="0" applyBorder="1" applyAlignment="1">
      <alignment horizontal="center" vertical="center"/>
    </xf>
    <xf numFmtId="0" fontId="0" fillId="0" borderId="67" xfId="0" applyBorder="1" applyAlignment="1">
      <alignment horizontal="center" vertical="center"/>
    </xf>
    <xf numFmtId="0" fontId="15" fillId="5" borderId="0" xfId="3" applyFont="1" applyBorder="1" applyAlignment="1">
      <alignment vertical="center"/>
    </xf>
    <xf numFmtId="0" fontId="0" fillId="0" borderId="0" xfId="0" applyAlignment="1">
      <alignment horizontal="right" vertical="center"/>
    </xf>
    <xf numFmtId="0" fontId="3" fillId="5" borderId="0" xfId="3" applyFont="1" applyBorder="1" applyAlignment="1">
      <alignment vertical="center"/>
    </xf>
    <xf numFmtId="0" fontId="0" fillId="0" borderId="68" xfId="0" applyBorder="1" applyAlignment="1">
      <alignment horizontal="center" vertical="center"/>
    </xf>
    <xf numFmtId="0" fontId="10" fillId="3" borderId="0" xfId="2" applyFont="1" applyAlignment="1">
      <alignment horizontal="center" vertical="center"/>
    </xf>
    <xf numFmtId="0" fontId="10" fillId="0" borderId="70" xfId="2" applyFont="1" applyFill="1" applyBorder="1" applyAlignment="1">
      <alignment horizontal="center" vertical="center"/>
    </xf>
    <xf numFmtId="0" fontId="10" fillId="0" borderId="71" xfId="2" applyFont="1" applyFill="1" applyBorder="1" applyAlignment="1">
      <alignment horizontal="center" vertical="center"/>
    </xf>
    <xf numFmtId="0" fontId="10" fillId="0" borderId="72" xfId="2" applyFont="1" applyFill="1" applyBorder="1" applyAlignment="1">
      <alignment horizontal="center" vertical="center"/>
    </xf>
    <xf numFmtId="0" fontId="10" fillId="0" borderId="69" xfId="2" applyFont="1" applyFill="1" applyBorder="1" applyAlignment="1">
      <alignment horizontal="center" vertical="center"/>
    </xf>
    <xf numFmtId="0" fontId="1" fillId="3" borderId="0" xfId="2" applyBorder="1" applyAlignment="1">
      <alignment horizontal="center" vertical="center"/>
    </xf>
    <xf numFmtId="0" fontId="1" fillId="3" borderId="0" xfId="2" applyAlignment="1">
      <alignment vertical="top"/>
    </xf>
    <xf numFmtId="0" fontId="0" fillId="0" borderId="6" xfId="0" applyBorder="1" applyAlignment="1">
      <alignment horizontal="center" vertical="center"/>
    </xf>
    <xf numFmtId="0" fontId="0" fillId="0" borderId="0" xfId="0" applyBorder="1" applyAlignment="1">
      <alignment horizontal="center" vertical="center"/>
    </xf>
    <xf numFmtId="0" fontId="1" fillId="6" borderId="0" xfId="4" applyAlignment="1">
      <alignment horizontal="left" vertical="center"/>
    </xf>
    <xf numFmtId="0" fontId="1" fillId="5" borderId="0" xfId="3" applyFont="1" applyAlignment="1">
      <alignment vertical="top"/>
    </xf>
    <xf numFmtId="0" fontId="26" fillId="5" borderId="0" xfId="3" applyFont="1" applyAlignment="1">
      <alignment vertical="center"/>
    </xf>
    <xf numFmtId="0" fontId="5" fillId="5" borderId="0" xfId="3" applyFont="1" applyAlignment="1">
      <alignment vertical="center"/>
    </xf>
    <xf numFmtId="0" fontId="24" fillId="5" borderId="0" xfId="3" applyFont="1" applyAlignment="1">
      <alignment vertical="center"/>
    </xf>
    <xf numFmtId="0" fontId="3" fillId="5" borderId="0" xfId="3" applyFont="1" applyAlignment="1">
      <alignment vertical="top"/>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1" fillId="0" borderId="0" xfId="0" applyFont="1" applyAlignment="1">
      <alignment horizontal="left" vertical="center"/>
    </xf>
    <xf numFmtId="0" fontId="10" fillId="3" borderId="0" xfId="2" applyFont="1" applyAlignment="1">
      <alignment horizontal="left" vertical="center"/>
    </xf>
    <xf numFmtId="0" fontId="10" fillId="3" borderId="0" xfId="2" applyFont="1" applyAlignment="1">
      <alignment vertical="center"/>
    </xf>
    <xf numFmtId="0" fontId="1" fillId="3" borderId="0" xfId="2" applyAlignment="1">
      <alignment vertical="center"/>
    </xf>
    <xf numFmtId="0" fontId="27" fillId="0" borderId="72" xfId="2" applyFont="1" applyFill="1" applyBorder="1" applyAlignment="1">
      <alignment horizontal="center" vertical="center"/>
    </xf>
    <xf numFmtId="0" fontId="0" fillId="0" borderId="24" xfId="0" applyFont="1" applyBorder="1" applyAlignment="1">
      <alignment horizontal="center" vertical="center"/>
    </xf>
    <xf numFmtId="0" fontId="1" fillId="0" borderId="0" xfId="4" quotePrefix="1" applyFill="1" applyAlignment="1">
      <alignment vertical="center"/>
    </xf>
    <xf numFmtId="0" fontId="2" fillId="0" borderId="61" xfId="0" applyFont="1" applyBorder="1" applyAlignment="1">
      <alignment horizontal="center" vertical="center"/>
    </xf>
    <xf numFmtId="0" fontId="16" fillId="0" borderId="59" xfId="0" applyFont="1" applyBorder="1" applyAlignment="1">
      <alignment horizontal="center" vertical="center"/>
    </xf>
    <xf numFmtId="0" fontId="16" fillId="0" borderId="14" xfId="0" applyFont="1" applyBorder="1" applyAlignment="1">
      <alignment horizontal="center" vertical="center"/>
    </xf>
    <xf numFmtId="0" fontId="16" fillId="0" borderId="61" xfId="0" applyFont="1" applyBorder="1" applyAlignment="1">
      <alignment horizontal="center" vertical="center"/>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48" xfId="0" applyFont="1" applyBorder="1" applyAlignment="1">
      <alignment horizontal="center" vertical="center"/>
    </xf>
    <xf numFmtId="0" fontId="16" fillId="0" borderId="44" xfId="0" applyFont="1" applyBorder="1" applyAlignment="1">
      <alignment horizontal="center" vertical="center"/>
    </xf>
    <xf numFmtId="0" fontId="22" fillId="0" borderId="9" xfId="0" applyFont="1" applyBorder="1" applyAlignment="1">
      <alignment horizontal="center" vertical="center"/>
    </xf>
    <xf numFmtId="0" fontId="1" fillId="5" borderId="0" xfId="3" applyAlignment="1">
      <alignment vertical="center"/>
    </xf>
    <xf numFmtId="0" fontId="9" fillId="0" borderId="52" xfId="0" quotePrefix="1" applyFont="1" applyBorder="1" applyAlignment="1">
      <alignment horizontal="center" vertical="center"/>
    </xf>
    <xf numFmtId="0" fontId="1" fillId="0" borderId="0" xfId="4" quotePrefix="1" applyFill="1" applyAlignment="1">
      <alignment horizontal="left" vertical="center"/>
    </xf>
    <xf numFmtId="0" fontId="21" fillId="0" borderId="0" xfId="0" applyFont="1" applyAlignment="1">
      <alignment horizontal="left" vertical="center"/>
    </xf>
    <xf numFmtId="0" fontId="8"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1" fillId="6" borderId="0" xfId="4" applyFont="1" applyAlignment="1">
      <alignment horizontal="center" vertical="center"/>
    </xf>
    <xf numFmtId="0" fontId="1" fillId="6" borderId="0" xfId="4" applyAlignment="1">
      <alignment horizontal="left"/>
    </xf>
    <xf numFmtId="0" fontId="21" fillId="6" borderId="0" xfId="4" applyFont="1" applyAlignment="1">
      <alignment horizontal="left"/>
    </xf>
    <xf numFmtId="0" fontId="1" fillId="0" borderId="0" xfId="4" quotePrefix="1" applyFill="1" applyAlignment="1">
      <alignment horizontal="left" vertical="center"/>
    </xf>
    <xf numFmtId="0" fontId="1" fillId="3" borderId="0" xfId="2" applyAlignment="1">
      <alignment horizontal="center" vertical="center"/>
    </xf>
    <xf numFmtId="0" fontId="21" fillId="0" borderId="0" xfId="0" applyFont="1" applyAlignment="1">
      <alignment horizontal="left" vertical="center"/>
    </xf>
    <xf numFmtId="0" fontId="1" fillId="0" borderId="0" xfId="4" quotePrefix="1" applyFill="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1" fillId="6" borderId="0" xfId="4" applyAlignment="1">
      <alignment horizontal="left" vertical="center"/>
    </xf>
    <xf numFmtId="0" fontId="1" fillId="0" borderId="0" xfId="4" applyFill="1" applyAlignment="1">
      <alignment horizontal="left" vertical="center"/>
    </xf>
    <xf numFmtId="0" fontId="1" fillId="0" borderId="0" xfId="4" applyFill="1" applyAlignment="1">
      <alignment horizontal="left"/>
    </xf>
    <xf numFmtId="0" fontId="1" fillId="0" borderId="0" xfId="4" applyFill="1"/>
    <xf numFmtId="0" fontId="1" fillId="0" borderId="0" xfId="4" applyFill="1" applyAlignment="1">
      <alignment vertical="center"/>
    </xf>
    <xf numFmtId="0" fontId="0" fillId="0" borderId="0" xfId="0" applyFill="1" applyAlignment="1">
      <alignment vertical="center"/>
    </xf>
    <xf numFmtId="0" fontId="0" fillId="6" borderId="0" xfId="4" applyFont="1" applyAlignment="1">
      <alignment vertical="center"/>
    </xf>
    <xf numFmtId="49" fontId="1" fillId="3" borderId="0" xfId="2" applyNumberFormat="1" applyAlignment="1">
      <alignment vertical="center" wrapText="1"/>
    </xf>
    <xf numFmtId="0" fontId="21" fillId="0" borderId="0" xfId="4" applyFont="1" applyFill="1" applyAlignment="1">
      <alignment horizontal="left" vertical="center"/>
    </xf>
    <xf numFmtId="0" fontId="21" fillId="0" borderId="0" xfId="4" applyFont="1" applyFill="1" applyAlignment="1">
      <alignment horizontal="left"/>
    </xf>
    <xf numFmtId="0" fontId="21" fillId="0" borderId="0" xfId="0" applyFont="1" applyFill="1" applyAlignment="1">
      <alignment horizontal="left" vertical="center"/>
    </xf>
    <xf numFmtId="0" fontId="21" fillId="0" borderId="0" xfId="0" applyFont="1" applyFill="1" applyAlignment="1">
      <alignment vertical="center"/>
    </xf>
    <xf numFmtId="0" fontId="21" fillId="0" borderId="0" xfId="4" applyFont="1" applyFill="1" applyAlignment="1">
      <alignment vertical="center"/>
    </xf>
    <xf numFmtId="0" fontId="21" fillId="0" borderId="0" xfId="4" applyFont="1" applyFill="1"/>
    <xf numFmtId="0" fontId="0" fillId="0" borderId="44" xfId="0" applyFont="1" applyBorder="1" applyAlignment="1">
      <alignment horizontal="center" vertical="center"/>
    </xf>
    <xf numFmtId="0" fontId="0" fillId="0" borderId="0" xfId="2" applyFont="1" applyFill="1" applyAlignment="1">
      <alignment vertical="center" wrapText="1"/>
    </xf>
    <xf numFmtId="0" fontId="0" fillId="0" borderId="0" xfId="0" applyFill="1"/>
    <xf numFmtId="49" fontId="1" fillId="3" borderId="0" xfId="2" applyNumberFormat="1" applyAlignment="1">
      <alignment horizontal="left" vertical="center"/>
    </xf>
    <xf numFmtId="49" fontId="2" fillId="3" borderId="0" xfId="2" applyNumberFormat="1" applyFont="1" applyAlignment="1">
      <alignment horizontal="left" vertical="center"/>
    </xf>
    <xf numFmtId="0" fontId="9" fillId="0" borderId="44" xfId="0" applyFont="1" applyBorder="1" applyAlignment="1">
      <alignment horizontal="center" vertical="center"/>
    </xf>
    <xf numFmtId="0" fontId="9" fillId="0" borderId="50" xfId="0" quotePrefix="1" applyFont="1" applyBorder="1" applyAlignment="1">
      <alignment horizontal="center" vertical="center"/>
    </xf>
    <xf numFmtId="0" fontId="9" fillId="0" borderId="11" xfId="0" applyFont="1" applyBorder="1" applyAlignment="1">
      <alignment horizontal="center" vertical="center"/>
    </xf>
    <xf numFmtId="0" fontId="9" fillId="0" borderId="59"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1" fillId="10" borderId="5" xfId="1" applyFill="1" applyBorder="1" applyAlignment="1">
      <alignment horizontal="center" vertical="center"/>
    </xf>
    <xf numFmtId="0" fontId="1" fillId="10" borderId="6" xfId="1" applyFill="1" applyBorder="1" applyAlignment="1">
      <alignment horizontal="center" vertical="center"/>
    </xf>
    <xf numFmtId="0" fontId="1" fillId="10" borderId="0" xfId="1" applyFill="1" applyBorder="1" applyAlignment="1">
      <alignment horizontal="center" vertical="center"/>
    </xf>
    <xf numFmtId="0" fontId="1" fillId="10" borderId="3" xfId="1" applyFill="1" applyBorder="1" applyAlignment="1">
      <alignment horizontal="center" vertical="center"/>
    </xf>
    <xf numFmtId="0" fontId="1" fillId="10" borderId="8" xfId="1" applyFill="1" applyBorder="1" applyAlignment="1">
      <alignment horizontal="center" vertical="center"/>
    </xf>
    <xf numFmtId="0" fontId="1" fillId="10" borderId="9" xfId="1" applyFill="1" applyBorder="1" applyAlignment="1">
      <alignment horizontal="center" vertical="center"/>
    </xf>
    <xf numFmtId="0" fontId="1" fillId="10" borderId="0" xfId="1" applyFill="1" applyAlignment="1">
      <alignment horizontal="center" vertical="center"/>
    </xf>
    <xf numFmtId="0" fontId="1" fillId="10" borderId="7" xfId="1" applyFill="1" applyBorder="1"/>
    <xf numFmtId="0" fontId="1" fillId="10" borderId="9" xfId="1" applyFill="1" applyBorder="1"/>
    <xf numFmtId="0" fontId="1" fillId="10" borderId="8" xfId="1" applyFill="1" applyBorder="1"/>
    <xf numFmtId="0" fontId="1" fillId="10" borderId="7" xfId="1" applyFill="1" applyBorder="1" applyAlignment="1">
      <alignment horizontal="center" vertical="center"/>
    </xf>
    <xf numFmtId="0" fontId="0" fillId="10" borderId="4" xfId="0" applyFill="1" applyBorder="1"/>
    <xf numFmtId="0" fontId="0" fillId="10" borderId="6" xfId="0" applyFill="1" applyBorder="1"/>
    <xf numFmtId="0" fontId="0" fillId="10" borderId="5" xfId="0" applyFill="1" applyBorder="1"/>
    <xf numFmtId="0" fontId="24" fillId="0" borderId="0" xfId="0" applyFont="1" applyAlignment="1">
      <alignment vertical="center"/>
    </xf>
    <xf numFmtId="0" fontId="26" fillId="5" borderId="0" xfId="3" applyFont="1" applyAlignment="1">
      <alignment vertical="center" wrapText="1"/>
    </xf>
    <xf numFmtId="0" fontId="1" fillId="3" borderId="0" xfId="2" applyAlignment="1">
      <alignment vertical="center" wrapText="1"/>
    </xf>
    <xf numFmtId="0" fontId="30" fillId="7" borderId="0" xfId="5" applyFont="1" applyAlignment="1">
      <alignment horizontal="left" vertical="center"/>
    </xf>
    <xf numFmtId="0" fontId="30" fillId="7" borderId="0" xfId="5" applyFont="1" applyBorder="1" applyAlignment="1">
      <alignment horizontal="left" vertical="center"/>
    </xf>
    <xf numFmtId="0" fontId="0" fillId="6" borderId="0" xfId="4" applyFont="1" applyAlignment="1">
      <alignment horizontal="left" vertical="center"/>
    </xf>
    <xf numFmtId="0" fontId="0" fillId="6" borderId="8" xfId="4" applyFont="1" applyBorder="1" applyAlignment="1">
      <alignment horizontal="left" vertical="center"/>
    </xf>
    <xf numFmtId="0" fontId="0" fillId="6" borderId="0" xfId="4" applyFont="1" applyBorder="1" applyAlignment="1">
      <alignment horizontal="left" vertical="center"/>
    </xf>
    <xf numFmtId="0" fontId="3" fillId="6" borderId="0" xfId="4" applyFont="1" applyAlignment="1">
      <alignment horizontal="center" vertical="center"/>
    </xf>
    <xf numFmtId="0" fontId="3" fillId="6" borderId="8" xfId="4" applyFont="1" applyBorder="1" applyAlignment="1">
      <alignment horizontal="center" vertical="center"/>
    </xf>
    <xf numFmtId="0" fontId="3" fillId="6" borderId="0" xfId="4" applyFont="1" applyAlignment="1">
      <alignment horizontal="left" vertical="center" wrapText="1"/>
    </xf>
    <xf numFmtId="0" fontId="2" fillId="0" borderId="59" xfId="0" applyFont="1" applyBorder="1" applyAlignment="1">
      <alignment horizontal="center" vertical="center"/>
    </xf>
    <xf numFmtId="0" fontId="2" fillId="0" borderId="49" xfId="0" applyFont="1" applyBorder="1" applyAlignment="1">
      <alignment horizontal="center" vertical="center"/>
    </xf>
    <xf numFmtId="0" fontId="5" fillId="7" borderId="0" xfId="5" applyFont="1" applyAlignment="1">
      <alignment horizontal="left" vertical="center"/>
    </xf>
    <xf numFmtId="0" fontId="0" fillId="6" borderId="0" xfId="4" applyFont="1" applyBorder="1" applyAlignment="1">
      <alignment horizontal="left" vertical="center" wrapText="1"/>
    </xf>
    <xf numFmtId="0" fontId="0" fillId="6" borderId="8" xfId="4" applyFont="1" applyBorder="1" applyAlignment="1">
      <alignment horizontal="left" vertical="center" wrapText="1"/>
    </xf>
    <xf numFmtId="0" fontId="0" fillId="6" borderId="0" xfId="4" applyFont="1" applyAlignment="1">
      <alignment horizontal="left" vertical="center" wrapText="1"/>
    </xf>
    <xf numFmtId="0" fontId="31" fillId="7" borderId="0" xfId="8" applyFont="1" applyFill="1" applyAlignment="1">
      <alignment horizontal="right" vertical="center"/>
    </xf>
    <xf numFmtId="0" fontId="30" fillId="7" borderId="5" xfId="5" applyFont="1" applyBorder="1" applyAlignment="1">
      <alignment horizontal="left" vertical="center"/>
    </xf>
    <xf numFmtId="0" fontId="1" fillId="6" borderId="0" xfId="4" applyFont="1" applyAlignment="1">
      <alignment horizontal="left" vertical="center" wrapText="1"/>
    </xf>
    <xf numFmtId="0" fontId="1" fillId="6" borderId="8" xfId="4" applyFont="1" applyBorder="1" applyAlignment="1">
      <alignment horizontal="left" vertical="center" wrapText="1"/>
    </xf>
    <xf numFmtId="0" fontId="26" fillId="5" borderId="0" xfId="3" applyFont="1" applyAlignment="1">
      <alignment horizontal="left" vertical="center"/>
    </xf>
    <xf numFmtId="0" fontId="26" fillId="7" borderId="0" xfId="5" applyFont="1" applyAlignment="1">
      <alignment horizontal="left" vertical="center"/>
    </xf>
    <xf numFmtId="0" fontId="0" fillId="3" borderId="0" xfId="2" applyFont="1" applyAlignment="1">
      <alignment horizontal="left" vertical="center" wrapText="1"/>
    </xf>
    <xf numFmtId="0" fontId="3" fillId="5" borderId="0" xfId="3" applyFont="1" applyAlignment="1">
      <alignment horizontal="left" vertical="top"/>
    </xf>
    <xf numFmtId="0" fontId="8" fillId="8" borderId="0" xfId="6" applyFont="1" applyAlignment="1">
      <alignment horizontal="left" vertical="center"/>
    </xf>
    <xf numFmtId="0" fontId="26" fillId="9" borderId="0" xfId="7" applyFont="1" applyAlignment="1">
      <alignment horizontal="left" vertical="center"/>
    </xf>
    <xf numFmtId="0" fontId="29" fillId="8" borderId="0" xfId="8" applyFont="1" applyFill="1" applyAlignment="1">
      <alignment horizontal="center" vertical="center"/>
    </xf>
    <xf numFmtId="0" fontId="29" fillId="8" borderId="0" xfId="8" quotePrefix="1" applyFont="1" applyFill="1" applyAlignment="1">
      <alignment horizontal="center" vertical="center"/>
    </xf>
    <xf numFmtId="0" fontId="8" fillId="8" borderId="0" xfId="6" applyFont="1" applyAlignment="1">
      <alignment horizontal="center" vertical="center"/>
    </xf>
    <xf numFmtId="0" fontId="10" fillId="3" borderId="0" xfId="2" applyFont="1" applyAlignment="1">
      <alignment horizontal="right" vertical="center"/>
    </xf>
    <xf numFmtId="0" fontId="1" fillId="3" borderId="0" xfId="2" applyAlignment="1">
      <alignment horizontal="center" vertical="center"/>
    </xf>
    <xf numFmtId="0" fontId="28" fillId="3" borderId="0" xfId="2" applyFont="1" applyAlignment="1">
      <alignment horizontal="center" vertical="center" wrapText="1"/>
    </xf>
    <xf numFmtId="0" fontId="15" fillId="5" borderId="0" xfId="3" applyFont="1" applyBorder="1" applyAlignment="1">
      <alignment horizontal="right" vertical="center"/>
    </xf>
    <xf numFmtId="0" fontId="15" fillId="5" borderId="0" xfId="3" applyFont="1"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6" fillId="5" borderId="0" xfId="3" applyFont="1" applyAlignment="1">
      <alignment horizontal="left" vertical="center" wrapText="1"/>
    </xf>
    <xf numFmtId="0" fontId="3" fillId="5" borderId="0" xfId="3" applyFont="1" applyAlignment="1">
      <alignment horizontal="left" vertical="top" wrapText="1"/>
    </xf>
    <xf numFmtId="0" fontId="30" fillId="7" borderId="0" xfId="5" applyFont="1" applyAlignment="1">
      <alignment horizontal="left" vertical="center" wrapText="1"/>
    </xf>
    <xf numFmtId="0" fontId="26" fillId="7" borderId="0" xfId="5" applyFont="1" applyAlignment="1">
      <alignment horizontal="left" vertical="center" wrapText="1"/>
    </xf>
    <xf numFmtId="0" fontId="30" fillId="7" borderId="5" xfId="5" applyFont="1" applyBorder="1" applyAlignment="1">
      <alignment horizontal="left" vertical="center" wrapText="1"/>
    </xf>
    <xf numFmtId="0" fontId="1" fillId="6" borderId="0" xfId="4" applyFont="1" applyBorder="1" applyAlignment="1">
      <alignment horizontal="left" vertical="center" wrapText="1"/>
    </xf>
    <xf numFmtId="0" fontId="26" fillId="9" borderId="0" xfId="7" applyFont="1" applyAlignment="1">
      <alignment horizontal="left" vertical="center" wrapText="1"/>
    </xf>
    <xf numFmtId="0" fontId="10" fillId="3" borderId="0" xfId="2" applyFont="1" applyAlignment="1">
      <alignment horizontal="center" vertical="center"/>
    </xf>
    <xf numFmtId="0" fontId="13" fillId="3" borderId="0" xfId="2" applyFont="1" applyAlignment="1">
      <alignment horizontal="center" vertical="center" wrapText="1"/>
    </xf>
    <xf numFmtId="0" fontId="10" fillId="3" borderId="0" xfId="2" applyFont="1" applyAlignment="1">
      <alignment horizontal="center"/>
    </xf>
    <xf numFmtId="0" fontId="32" fillId="3" borderId="14" xfId="2" applyFont="1" applyBorder="1" applyAlignment="1">
      <alignment horizontal="center" vertical="center"/>
    </xf>
    <xf numFmtId="0" fontId="32" fillId="3" borderId="13" xfId="2" applyFont="1" applyBorder="1" applyAlignment="1">
      <alignment horizontal="center" vertical="center"/>
    </xf>
    <xf numFmtId="0" fontId="32" fillId="3" borderId="15" xfId="2" applyFont="1" applyBorder="1" applyAlignment="1">
      <alignment horizontal="center" vertical="center"/>
    </xf>
    <xf numFmtId="0" fontId="0" fillId="0" borderId="1" xfId="0" applyBorder="1" applyAlignment="1">
      <alignment horizontal="center" vertical="center"/>
    </xf>
  </cellXfs>
  <cellStyles count="9">
    <cellStyle name="20 % – Zvýraznění 1" xfId="6" builtinId="30"/>
    <cellStyle name="20 % – Zvýraznění 4" xfId="2" builtinId="42"/>
    <cellStyle name="20 % – Zvýraznění 6" xfId="4" builtinId="50"/>
    <cellStyle name="40 % – Zvýraznění 1" xfId="7" builtinId="31"/>
    <cellStyle name="40 % – Zvýraznění 4" xfId="3" builtinId="43"/>
    <cellStyle name="40 % – Zvýraznění 5" xfId="1" builtinId="47"/>
    <cellStyle name="40 % – Zvýraznění 6" xfId="5" builtinId="51"/>
    <cellStyle name="Hypertextový odkaz" xfId="8" builtinId="8"/>
    <cellStyle name="Normální" xfId="0" builtinId="0"/>
  </cellStyles>
  <dxfs count="3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ont>
        <color rgb="FFC00000"/>
      </font>
    </dxf>
    <dxf>
      <font>
        <color rgb="FFC00000"/>
      </font>
    </dxf>
    <dxf>
      <font>
        <color rgb="FFC00000"/>
      </font>
    </dxf>
    <dxf>
      <font>
        <color rgb="FFC0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ont>
        <color rgb="FFC00000"/>
      </font>
    </dxf>
    <dxf>
      <fill>
        <patternFill>
          <bgColor theme="9" tint="0.59996337778862885"/>
        </patternFill>
      </fill>
    </dxf>
    <dxf>
      <font>
        <color rgb="FFC0000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ont>
        <color rgb="FFC00000"/>
      </font>
    </dxf>
    <dxf>
      <fill>
        <patternFill>
          <bgColor theme="8" tint="0.59996337778862885"/>
        </patternFill>
      </fill>
    </dxf>
    <dxf>
      <fill>
        <patternFill>
          <bgColor theme="8" tint="0.59996337778862885"/>
        </patternFill>
      </fill>
    </dxf>
    <dxf>
      <fill>
        <patternFill>
          <bgColor theme="9" tint="0.59996337778862885"/>
        </patternFill>
      </fill>
    </dxf>
    <dxf>
      <font>
        <color rgb="FFC0000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ont>
        <color rgb="FFC00000"/>
      </font>
    </dxf>
    <dxf>
      <fill>
        <patternFill>
          <bgColor theme="9" tint="0.59996337778862885"/>
        </patternFill>
      </fill>
    </dxf>
    <dxf>
      <font>
        <color rgb="FFC00000"/>
      </font>
    </dxf>
  </dxfs>
  <tableStyles count="0" defaultTableStyle="TableStyleMedium2" defaultPivotStyle="PivotStyleLight16"/>
  <colors>
    <mruColors>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F491-08DD-4226-80A2-FB4F00DA75E4}">
  <sheetPr codeName="List3">
    <tabColor theme="5" tint="0.39997558519241921"/>
  </sheetPr>
  <dimension ref="B1:AE216"/>
  <sheetViews>
    <sheetView tabSelected="1" zoomScaleNormal="100" workbookViewId="0">
      <selection activeCell="C2" sqref="C2:H3"/>
    </sheetView>
  </sheetViews>
  <sheetFormatPr defaultColWidth="8.77734375" defaultRowHeight="18" customHeight="1" x14ac:dyDescent="0.3"/>
  <cols>
    <col min="1" max="1" width="3.77734375" customWidth="1"/>
    <col min="2" max="2" width="2.77734375" customWidth="1"/>
    <col min="3" max="29" width="8.77734375" customWidth="1"/>
    <col min="30" max="30" width="2.77734375" customWidth="1"/>
  </cols>
  <sheetData>
    <row r="1" spans="2:30" ht="15" x14ac:dyDescent="0.3"/>
    <row r="2" spans="2:30" ht="12" customHeight="1" x14ac:dyDescent="0.3">
      <c r="B2" s="212"/>
      <c r="C2" s="321" t="s">
        <v>170</v>
      </c>
      <c r="D2" s="321"/>
      <c r="E2" s="321"/>
      <c r="F2" s="321"/>
      <c r="G2" s="321"/>
      <c r="H2" s="321"/>
      <c r="I2" s="212"/>
      <c r="J2" s="71"/>
      <c r="K2" s="71"/>
      <c r="L2" s="321" t="s">
        <v>39</v>
      </c>
      <c r="M2" s="321"/>
      <c r="N2" s="71"/>
      <c r="O2" s="71"/>
      <c r="P2" s="71"/>
      <c r="Q2" s="71"/>
      <c r="R2" s="71"/>
      <c r="S2" s="71"/>
      <c r="T2" s="71"/>
      <c r="U2" s="71"/>
      <c r="V2" s="71"/>
      <c r="W2" s="71"/>
      <c r="X2" s="71"/>
      <c r="Y2" s="71"/>
      <c r="Z2" s="71"/>
      <c r="AA2" s="71"/>
      <c r="AB2" s="71"/>
      <c r="AC2" s="71"/>
      <c r="AD2" s="71"/>
    </row>
    <row r="3" spans="2:30" ht="24.3" customHeight="1" x14ac:dyDescent="0.3">
      <c r="B3" s="212"/>
      <c r="C3" s="321"/>
      <c r="D3" s="321"/>
      <c r="E3" s="321"/>
      <c r="F3" s="321"/>
      <c r="G3" s="321"/>
      <c r="H3" s="321"/>
      <c r="I3" s="224"/>
      <c r="J3" s="72"/>
      <c r="K3" s="71"/>
      <c r="L3" s="321"/>
      <c r="M3" s="321"/>
      <c r="N3" s="248"/>
      <c r="O3" s="248"/>
      <c r="P3" s="248"/>
      <c r="Q3" s="248"/>
      <c r="R3" s="248"/>
      <c r="S3" s="248"/>
      <c r="T3" s="248"/>
      <c r="U3" s="248"/>
      <c r="V3" s="248"/>
      <c r="W3" s="248"/>
      <c r="X3" s="248"/>
      <c r="Y3" s="248"/>
      <c r="Z3" s="248"/>
      <c r="AA3" s="248"/>
      <c r="AB3" s="248"/>
      <c r="AC3" s="248"/>
      <c r="AD3" s="71"/>
    </row>
    <row r="4" spans="2:30" ht="18" customHeight="1" x14ac:dyDescent="0.3">
      <c r="B4" s="211"/>
      <c r="C4" s="324" t="s">
        <v>129</v>
      </c>
      <c r="D4" s="324"/>
      <c r="E4" s="324"/>
      <c r="F4" s="224"/>
      <c r="G4" s="72"/>
      <c r="H4" s="72"/>
      <c r="I4" s="72"/>
      <c r="J4" s="72"/>
      <c r="K4" s="71"/>
      <c r="L4" s="323" t="s">
        <v>314</v>
      </c>
      <c r="M4" s="323"/>
      <c r="N4" s="323"/>
      <c r="O4" s="323"/>
      <c r="P4" s="323"/>
      <c r="Q4" s="323"/>
      <c r="R4" s="323"/>
      <c r="S4" s="323"/>
      <c r="T4" s="323"/>
      <c r="U4" s="323"/>
      <c r="V4" s="323"/>
      <c r="W4" s="323"/>
      <c r="X4" s="323"/>
      <c r="Y4" s="323"/>
      <c r="Z4" s="323"/>
      <c r="AA4" s="323"/>
      <c r="AB4" s="323"/>
      <c r="AC4" s="323"/>
      <c r="AD4" s="71"/>
    </row>
    <row r="5" spans="2:30" ht="18" customHeight="1" x14ac:dyDescent="0.3">
      <c r="B5" s="71"/>
      <c r="C5" s="324"/>
      <c r="D5" s="324"/>
      <c r="E5" s="324"/>
      <c r="F5" s="224"/>
      <c r="G5" s="260"/>
      <c r="H5" s="260"/>
      <c r="I5" s="260"/>
      <c r="J5" s="260"/>
      <c r="K5" s="71"/>
      <c r="L5" s="323"/>
      <c r="M5" s="323"/>
      <c r="N5" s="323"/>
      <c r="O5" s="323"/>
      <c r="P5" s="323"/>
      <c r="Q5" s="323"/>
      <c r="R5" s="323"/>
      <c r="S5" s="323"/>
      <c r="T5" s="323"/>
      <c r="U5" s="323"/>
      <c r="V5" s="323"/>
      <c r="W5" s="323"/>
      <c r="X5" s="323"/>
      <c r="Y5" s="323"/>
      <c r="Z5" s="323"/>
      <c r="AA5" s="323"/>
      <c r="AB5" s="323"/>
      <c r="AC5" s="323"/>
      <c r="AD5" s="71"/>
    </row>
    <row r="6" spans="2:30" ht="18" customHeight="1" x14ac:dyDescent="0.3">
      <c r="B6" s="71"/>
      <c r="C6" s="271" t="s">
        <v>210</v>
      </c>
      <c r="D6" s="270"/>
      <c r="E6" s="270"/>
      <c r="F6" s="270"/>
      <c r="G6" s="270"/>
      <c r="H6" s="270"/>
      <c r="I6" s="270"/>
      <c r="J6" s="270"/>
      <c r="K6" s="71"/>
      <c r="L6" s="323"/>
      <c r="M6" s="323"/>
      <c r="N6" s="323"/>
      <c r="O6" s="323"/>
      <c r="P6" s="323"/>
      <c r="Q6" s="323"/>
      <c r="R6" s="323"/>
      <c r="S6" s="323"/>
      <c r="T6" s="323"/>
      <c r="U6" s="323"/>
      <c r="V6" s="323"/>
      <c r="W6" s="323"/>
      <c r="X6" s="323"/>
      <c r="Y6" s="323"/>
      <c r="Z6" s="323"/>
      <c r="AA6" s="323"/>
      <c r="AB6" s="323"/>
      <c r="AC6" s="323"/>
      <c r="AD6" s="71"/>
    </row>
    <row r="7" spans="2:30" ht="18" customHeight="1" x14ac:dyDescent="0.3">
      <c r="B7" s="71"/>
      <c r="C7" s="190" t="s">
        <v>213</v>
      </c>
      <c r="D7" s="270"/>
      <c r="E7" s="270"/>
      <c r="F7" s="270"/>
      <c r="G7" s="270"/>
      <c r="H7" s="270"/>
      <c r="I7" s="270"/>
      <c r="J7" s="270"/>
      <c r="K7" s="71"/>
      <c r="L7" s="323"/>
      <c r="M7" s="323"/>
      <c r="N7" s="323"/>
      <c r="O7" s="323"/>
      <c r="P7" s="323"/>
      <c r="Q7" s="323"/>
      <c r="R7" s="323"/>
      <c r="S7" s="323"/>
      <c r="T7" s="323"/>
      <c r="U7" s="323"/>
      <c r="V7" s="323"/>
      <c r="W7" s="323"/>
      <c r="X7" s="323"/>
      <c r="Y7" s="323"/>
      <c r="Z7" s="323"/>
      <c r="AA7" s="323"/>
      <c r="AB7" s="323"/>
      <c r="AC7" s="323"/>
      <c r="AD7" s="71"/>
    </row>
    <row r="8" spans="2:30" ht="18" customHeight="1" x14ac:dyDescent="0.3">
      <c r="B8" s="71"/>
      <c r="C8" s="190" t="s">
        <v>214</v>
      </c>
      <c r="D8" s="270"/>
      <c r="E8" s="270"/>
      <c r="F8" s="270"/>
      <c r="G8" s="270"/>
      <c r="H8" s="270"/>
      <c r="I8" s="270"/>
      <c r="J8" s="270"/>
      <c r="K8" s="71"/>
      <c r="L8" s="323"/>
      <c r="M8" s="323"/>
      <c r="N8" s="323"/>
      <c r="O8" s="323"/>
      <c r="P8" s="323"/>
      <c r="Q8" s="323"/>
      <c r="R8" s="323"/>
      <c r="S8" s="323"/>
      <c r="T8" s="323"/>
      <c r="U8" s="323"/>
      <c r="V8" s="323"/>
      <c r="W8" s="323"/>
      <c r="X8" s="323"/>
      <c r="Y8" s="323"/>
      <c r="Z8" s="323"/>
      <c r="AA8" s="323"/>
      <c r="AB8" s="323"/>
      <c r="AC8" s="323"/>
      <c r="AD8" s="71"/>
    </row>
    <row r="9" spans="2:30" ht="18" customHeight="1" x14ac:dyDescent="0.3">
      <c r="B9" s="71"/>
      <c r="C9" s="190" t="s">
        <v>212</v>
      </c>
      <c r="D9" s="270"/>
      <c r="E9" s="270"/>
      <c r="F9" s="270"/>
      <c r="G9" s="270"/>
      <c r="H9" s="270"/>
      <c r="I9" s="270"/>
      <c r="J9" s="270"/>
      <c r="K9" s="71"/>
      <c r="L9" s="323"/>
      <c r="M9" s="323"/>
      <c r="N9" s="323"/>
      <c r="O9" s="323"/>
      <c r="P9" s="323"/>
      <c r="Q9" s="323"/>
      <c r="R9" s="323"/>
      <c r="S9" s="323"/>
      <c r="T9" s="323"/>
      <c r="U9" s="323"/>
      <c r="V9" s="323"/>
      <c r="W9" s="323"/>
      <c r="X9" s="323"/>
      <c r="Y9" s="323"/>
      <c r="Z9" s="323"/>
      <c r="AA9" s="323"/>
      <c r="AB9" s="323"/>
      <c r="AC9" s="323"/>
      <c r="AD9" s="71"/>
    </row>
    <row r="10" spans="2:30" ht="18" customHeight="1" x14ac:dyDescent="0.3">
      <c r="B10" s="71"/>
      <c r="C10" s="270" t="s">
        <v>289</v>
      </c>
      <c r="D10" s="270"/>
      <c r="E10" s="270"/>
      <c r="F10" s="270"/>
      <c r="G10" s="270"/>
      <c r="H10" s="270"/>
      <c r="I10" s="270"/>
      <c r="J10" s="270"/>
      <c r="K10" s="71"/>
      <c r="L10" s="323"/>
      <c r="M10" s="323"/>
      <c r="N10" s="323"/>
      <c r="O10" s="323"/>
      <c r="P10" s="323"/>
      <c r="Q10" s="323"/>
      <c r="R10" s="323"/>
      <c r="S10" s="323"/>
      <c r="T10" s="323"/>
      <c r="U10" s="323"/>
      <c r="V10" s="323"/>
      <c r="W10" s="323"/>
      <c r="X10" s="323"/>
      <c r="Y10" s="323"/>
      <c r="Z10" s="323"/>
      <c r="AA10" s="323"/>
      <c r="AB10" s="323"/>
      <c r="AC10" s="323"/>
      <c r="AD10" s="71"/>
    </row>
    <row r="11" spans="2:30" ht="18" customHeight="1" x14ac:dyDescent="0.3">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row>
    <row r="13" spans="2:30" ht="18" customHeight="1" x14ac:dyDescent="0.3">
      <c r="B13" s="127"/>
      <c r="C13" s="326" t="s">
        <v>47</v>
      </c>
      <c r="D13" s="326"/>
      <c r="E13" s="326"/>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2:30" ht="18" customHeight="1" x14ac:dyDescent="0.3">
      <c r="B14" s="127"/>
      <c r="C14" s="326"/>
      <c r="D14" s="326"/>
      <c r="E14" s="326"/>
      <c r="F14" s="328" t="s">
        <v>56</v>
      </c>
      <c r="G14" s="328"/>
      <c r="H14" s="327" t="s">
        <v>75</v>
      </c>
      <c r="I14" s="327"/>
      <c r="J14" s="327" t="s">
        <v>88</v>
      </c>
      <c r="K14" s="327"/>
      <c r="L14" s="327" t="s">
        <v>105</v>
      </c>
      <c r="M14" s="327"/>
      <c r="N14" s="128"/>
      <c r="O14" s="128"/>
      <c r="P14" s="128"/>
      <c r="Q14" s="128"/>
      <c r="R14" s="128"/>
      <c r="S14" s="128"/>
      <c r="T14" s="128"/>
      <c r="U14" s="128"/>
      <c r="V14" s="128"/>
      <c r="W14" s="128"/>
      <c r="X14" s="128"/>
      <c r="Y14" s="128"/>
      <c r="Z14" s="128"/>
      <c r="AA14" s="128"/>
      <c r="AB14" s="128"/>
      <c r="AC14" s="128"/>
      <c r="AD14" s="127"/>
    </row>
    <row r="15" spans="2:30" ht="18" customHeight="1" x14ac:dyDescent="0.3">
      <c r="B15" s="126"/>
      <c r="C15" s="325" t="s">
        <v>306</v>
      </c>
      <c r="D15" s="325"/>
      <c r="E15" s="325"/>
      <c r="F15" s="329" t="s">
        <v>121</v>
      </c>
      <c r="G15" s="329"/>
      <c r="H15" s="329" t="s">
        <v>122</v>
      </c>
      <c r="I15" s="329"/>
      <c r="J15" s="329" t="s">
        <v>123</v>
      </c>
      <c r="K15" s="329"/>
      <c r="L15" s="329" t="s">
        <v>124</v>
      </c>
      <c r="M15" s="329"/>
      <c r="N15" s="128"/>
      <c r="O15" s="128"/>
      <c r="P15" s="128"/>
      <c r="Q15" s="128"/>
      <c r="R15" s="128"/>
      <c r="S15" s="128"/>
      <c r="T15" s="128"/>
      <c r="U15" s="128"/>
      <c r="V15" s="128"/>
      <c r="W15" s="128"/>
      <c r="X15" s="128"/>
      <c r="Y15" s="128"/>
      <c r="Z15" s="128"/>
      <c r="AA15" s="128"/>
      <c r="AB15" s="128"/>
      <c r="AC15" s="128"/>
      <c r="AD15" s="127"/>
    </row>
    <row r="16" spans="2:30" ht="18" customHeight="1" x14ac:dyDescent="0.3">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8" spans="2:31" ht="18" customHeight="1" x14ac:dyDescent="0.3">
      <c r="B18" s="105"/>
      <c r="C18" s="322" t="s">
        <v>56</v>
      </c>
      <c r="D18" s="322"/>
      <c r="E18" s="322"/>
      <c r="F18" s="105"/>
      <c r="G18" s="107"/>
      <c r="H18" s="107"/>
      <c r="I18" s="107"/>
      <c r="J18" s="98"/>
      <c r="K18" s="98"/>
      <c r="L18" s="98"/>
      <c r="M18" s="98"/>
      <c r="N18" s="98"/>
      <c r="O18" s="98"/>
      <c r="P18" s="98"/>
      <c r="Q18" s="98"/>
      <c r="R18" s="98"/>
      <c r="S18" s="98"/>
      <c r="T18" s="98"/>
      <c r="U18" s="98"/>
      <c r="V18" s="98"/>
      <c r="W18" s="98"/>
      <c r="X18" s="98"/>
      <c r="Y18" s="98"/>
      <c r="Z18" s="98"/>
      <c r="AA18" s="317" t="s">
        <v>307</v>
      </c>
      <c r="AB18" s="317"/>
      <c r="AC18" s="317"/>
      <c r="AD18" s="98"/>
    </row>
    <row r="19" spans="2:31" ht="18" customHeight="1" x14ac:dyDescent="0.3">
      <c r="B19" s="105"/>
      <c r="C19" s="322"/>
      <c r="D19" s="322"/>
      <c r="E19" s="322"/>
      <c r="F19" s="310" t="s">
        <v>209</v>
      </c>
      <c r="G19" s="310"/>
      <c r="H19" s="310"/>
      <c r="I19" s="310"/>
      <c r="J19" s="310"/>
      <c r="K19" s="98"/>
      <c r="L19" s="308" t="s">
        <v>40</v>
      </c>
      <c r="M19" s="308"/>
      <c r="N19" s="308"/>
      <c r="O19" s="308"/>
      <c r="P19" s="308"/>
      <c r="Q19" s="308"/>
      <c r="R19" s="308"/>
      <c r="S19" s="308"/>
      <c r="T19" s="98"/>
      <c r="U19" s="308" t="s">
        <v>265</v>
      </c>
      <c r="V19" s="308"/>
      <c r="W19" s="308"/>
      <c r="X19" s="308"/>
      <c r="Y19" s="308"/>
      <c r="Z19" s="308"/>
      <c r="AA19" s="308"/>
      <c r="AB19" s="308"/>
      <c r="AC19" s="308"/>
      <c r="AD19" s="98"/>
    </row>
    <row r="20" spans="2:31" ht="18" customHeight="1" x14ac:dyDescent="0.3">
      <c r="B20" s="98"/>
      <c r="C20" s="316" t="s">
        <v>285</v>
      </c>
      <c r="D20" s="319"/>
      <c r="E20" s="319"/>
      <c r="F20" s="319"/>
      <c r="G20" s="314" t="s">
        <v>286</v>
      </c>
      <c r="H20" s="314"/>
      <c r="I20" s="314"/>
      <c r="J20" s="314"/>
      <c r="K20" s="98"/>
      <c r="L20" s="309"/>
      <c r="M20" s="309"/>
      <c r="N20" s="309"/>
      <c r="O20" s="309"/>
      <c r="P20" s="309"/>
      <c r="Q20" s="309"/>
      <c r="R20" s="309"/>
      <c r="S20" s="309"/>
      <c r="T20" s="98"/>
      <c r="U20" s="308"/>
      <c r="V20" s="308"/>
      <c r="W20" s="308"/>
      <c r="X20" s="308"/>
      <c r="Y20" s="308"/>
      <c r="Z20" s="308"/>
      <c r="AA20" s="308"/>
      <c r="AB20" s="308"/>
      <c r="AC20" s="308"/>
      <c r="AD20" s="98"/>
    </row>
    <row r="21" spans="2:31" ht="18" customHeight="1" thickBot="1" x14ac:dyDescent="0.35">
      <c r="B21" s="98"/>
      <c r="C21" s="320"/>
      <c r="D21" s="320"/>
      <c r="E21" s="320"/>
      <c r="F21" s="320"/>
      <c r="G21" s="315"/>
      <c r="H21" s="315"/>
      <c r="I21" s="315"/>
      <c r="J21" s="315"/>
      <c r="K21" s="98"/>
      <c r="L21" s="73" t="s">
        <v>32</v>
      </c>
      <c r="M21" s="74" t="s">
        <v>33</v>
      </c>
      <c r="N21" s="76" t="s">
        <v>34</v>
      </c>
      <c r="O21" s="76" t="s">
        <v>38</v>
      </c>
      <c r="P21" s="74" t="s">
        <v>35</v>
      </c>
      <c r="Q21" s="75" t="s">
        <v>36</v>
      </c>
      <c r="R21" s="73" t="s">
        <v>37</v>
      </c>
      <c r="S21" s="76" t="s">
        <v>13</v>
      </c>
      <c r="T21" s="98"/>
      <c r="U21" s="75" t="s">
        <v>298</v>
      </c>
      <c r="V21" s="73" t="s">
        <v>32</v>
      </c>
      <c r="W21" s="74" t="s">
        <v>33</v>
      </c>
      <c r="X21" s="76" t="s">
        <v>34</v>
      </c>
      <c r="Y21" s="76" t="s">
        <v>38</v>
      </c>
      <c r="Z21" s="74" t="s">
        <v>35</v>
      </c>
      <c r="AA21" s="75" t="s">
        <v>36</v>
      </c>
      <c r="AB21" s="73" t="s">
        <v>37</v>
      </c>
      <c r="AC21" s="76" t="s">
        <v>13</v>
      </c>
      <c r="AD21" s="98"/>
    </row>
    <row r="22" spans="2:31" ht="18" customHeight="1" x14ac:dyDescent="0.3">
      <c r="B22" s="98"/>
      <c r="C22" s="135">
        <v>2</v>
      </c>
      <c r="D22" s="102" t="s">
        <v>0</v>
      </c>
      <c r="E22" s="3">
        <f ca="1">RANDBETWEEN(2,6)</f>
        <v>5</v>
      </c>
      <c r="F22" s="102" t="s">
        <v>1</v>
      </c>
      <c r="G22" s="3">
        <f ca="1">RANDBETWEEN(7,10)</f>
        <v>9</v>
      </c>
      <c r="H22" s="3" t="s">
        <v>2</v>
      </c>
      <c r="I22" s="83" t="s">
        <v>31</v>
      </c>
      <c r="J22" s="102">
        <f ca="1">RANDBETWEEN(650,900)</f>
        <v>781</v>
      </c>
      <c r="K22" s="104"/>
      <c r="L22" s="77" t="s">
        <v>35</v>
      </c>
      <c r="M22" s="116">
        <f>C22</f>
        <v>2</v>
      </c>
      <c r="N22" s="87">
        <f ca="1">E22</f>
        <v>5</v>
      </c>
      <c r="O22" s="88">
        <f ca="1">G22</f>
        <v>9</v>
      </c>
      <c r="P22" s="116">
        <v>1</v>
      </c>
      <c r="Q22" s="110">
        <v>0</v>
      </c>
      <c r="R22" s="134">
        <v>0</v>
      </c>
      <c r="S22" s="86">
        <f ca="1">J22</f>
        <v>781</v>
      </c>
      <c r="T22" s="104"/>
      <c r="U22" s="110">
        <v>0</v>
      </c>
      <c r="V22" s="115" t="s">
        <v>43</v>
      </c>
      <c r="W22" s="116">
        <v>0</v>
      </c>
      <c r="X22" s="87" t="s">
        <v>205</v>
      </c>
      <c r="Y22" s="88" t="s">
        <v>205</v>
      </c>
      <c r="Z22" s="116">
        <v>1</v>
      </c>
      <c r="AA22" s="110">
        <v>0</v>
      </c>
      <c r="AB22" s="134">
        <v>-0.4</v>
      </c>
      <c r="AC22" s="86">
        <f ca="1">ROUND((S22-((S24/O24)*O22))-(((S24/O24)/(M24/O24))*(M22-((M24/O24)*O22))),2)</f>
        <v>422.2</v>
      </c>
      <c r="AD22" s="98"/>
      <c r="AE22" s="142"/>
    </row>
    <row r="23" spans="2:31" ht="18" customHeight="1" x14ac:dyDescent="0.3">
      <c r="B23" s="98"/>
      <c r="C23" s="136">
        <v>1</v>
      </c>
      <c r="D23" s="101" t="s">
        <v>0</v>
      </c>
      <c r="E23" s="100">
        <f ca="1">RANDBETWEEN(1,4)</f>
        <v>3</v>
      </c>
      <c r="F23" s="101" t="s">
        <v>1</v>
      </c>
      <c r="G23" s="100">
        <f ca="1">RANDBETWEEN(0,3)</f>
        <v>0</v>
      </c>
      <c r="H23" s="100" t="s">
        <v>2</v>
      </c>
      <c r="I23" s="84" t="s">
        <v>31</v>
      </c>
      <c r="J23" s="101">
        <f ca="1">RANDBETWEEN(200,400)</f>
        <v>342</v>
      </c>
      <c r="K23" s="104"/>
      <c r="L23" s="103" t="s">
        <v>36</v>
      </c>
      <c r="M23" s="129">
        <f>C23</f>
        <v>1</v>
      </c>
      <c r="N23" s="90">
        <f ca="1">E23</f>
        <v>3</v>
      </c>
      <c r="O23" s="91">
        <f ca="1">G23</f>
        <v>0</v>
      </c>
      <c r="P23" s="129">
        <v>0</v>
      </c>
      <c r="Q23" s="111">
        <v>1</v>
      </c>
      <c r="R23" s="132">
        <v>0</v>
      </c>
      <c r="S23" s="89">
        <f ca="1">J23</f>
        <v>342</v>
      </c>
      <c r="T23" s="104"/>
      <c r="U23" s="111">
        <v>0</v>
      </c>
      <c r="V23" s="114" t="s">
        <v>42</v>
      </c>
      <c r="W23" s="129">
        <v>0</v>
      </c>
      <c r="X23" s="90" t="s">
        <v>205</v>
      </c>
      <c r="Y23" s="91" t="s">
        <v>205</v>
      </c>
      <c r="Z23" s="129">
        <v>0</v>
      </c>
      <c r="AA23" s="111">
        <v>1</v>
      </c>
      <c r="AB23" s="132">
        <v>-0.2</v>
      </c>
      <c r="AC23" s="89">
        <f ca="1">ROUND((S23-((S24/O24)*O23))-(((S24/O24)/(M24/O24))*(M23-((M24/O24)*O23))),2)</f>
        <v>162.6</v>
      </c>
      <c r="AD23" s="98"/>
    </row>
    <row r="24" spans="2:31" ht="18" customHeight="1" thickBot="1" x14ac:dyDescent="0.35">
      <c r="B24" s="98"/>
      <c r="C24" s="136">
        <v>5</v>
      </c>
      <c r="D24" s="101" t="s">
        <v>0</v>
      </c>
      <c r="E24" s="100">
        <f ca="1">RANDBETWEEN(7,9)</f>
        <v>7</v>
      </c>
      <c r="F24" s="101" t="s">
        <v>1</v>
      </c>
      <c r="G24" s="100">
        <f ca="1">RANDBETWEEN(14,15)</f>
        <v>15</v>
      </c>
      <c r="H24" s="100" t="s">
        <v>2</v>
      </c>
      <c r="I24" s="84" t="s">
        <v>31</v>
      </c>
      <c r="J24" s="101">
        <f ca="1">RANDBETWEEN(700,900)</f>
        <v>897</v>
      </c>
      <c r="K24" s="104"/>
      <c r="L24" s="73" t="s">
        <v>37</v>
      </c>
      <c r="M24" s="130">
        <f>C24</f>
        <v>5</v>
      </c>
      <c r="N24" s="93">
        <f ca="1">E24</f>
        <v>7</v>
      </c>
      <c r="O24" s="94">
        <f ca="1">G24</f>
        <v>15</v>
      </c>
      <c r="P24" s="130">
        <v>0</v>
      </c>
      <c r="Q24" s="131">
        <v>0</v>
      </c>
      <c r="R24" s="133">
        <v>1</v>
      </c>
      <c r="S24" s="92">
        <f ca="1">J24</f>
        <v>897</v>
      </c>
      <c r="T24" s="104"/>
      <c r="U24" s="147">
        <f ca="1">C25</f>
        <v>33</v>
      </c>
      <c r="V24" s="113" t="s">
        <v>41</v>
      </c>
      <c r="W24" s="130">
        <v>1</v>
      </c>
      <c r="X24" s="93" t="s">
        <v>205</v>
      </c>
      <c r="Y24" s="94" t="s">
        <v>205</v>
      </c>
      <c r="Z24" s="130">
        <v>0</v>
      </c>
      <c r="AA24" s="131">
        <v>0</v>
      </c>
      <c r="AB24" s="133">
        <v>0.2</v>
      </c>
      <c r="AC24" s="92">
        <f ca="1">ROUND((S24/O24)/(M24/O24),2)</f>
        <v>179.4</v>
      </c>
      <c r="AD24" s="98"/>
    </row>
    <row r="25" spans="2:31" ht="18" customHeight="1" thickTop="1" x14ac:dyDescent="0.3">
      <c r="B25" s="98"/>
      <c r="C25" s="80">
        <f ca="1">RANDBETWEEN(30,35)</f>
        <v>33</v>
      </c>
      <c r="D25" s="81" t="s">
        <v>0</v>
      </c>
      <c r="E25" s="137">
        <v>40</v>
      </c>
      <c r="F25" s="81" t="s">
        <v>1</v>
      </c>
      <c r="G25" s="82">
        <f ca="1">RANDBETWEEN(75,82)</f>
        <v>75</v>
      </c>
      <c r="H25" s="82" t="s">
        <v>2</v>
      </c>
      <c r="I25" s="85" t="s">
        <v>6</v>
      </c>
      <c r="J25" s="81" t="s">
        <v>7</v>
      </c>
      <c r="K25" s="104"/>
      <c r="L25" s="78" t="s">
        <v>8</v>
      </c>
      <c r="M25" s="95">
        <f ca="1">C25*(-1)</f>
        <v>-33</v>
      </c>
      <c r="N25" s="138">
        <f>E25*(-1)</f>
        <v>-40</v>
      </c>
      <c r="O25" s="97">
        <f ca="1">G25*(-1)</f>
        <v>-75</v>
      </c>
      <c r="P25" s="116">
        <v>0</v>
      </c>
      <c r="Q25" s="110">
        <v>0</v>
      </c>
      <c r="R25" s="134">
        <v>0</v>
      </c>
      <c r="S25" s="139">
        <v>0</v>
      </c>
      <c r="T25" s="104"/>
      <c r="U25" s="311" t="s">
        <v>8</v>
      </c>
      <c r="V25" s="312"/>
      <c r="W25" s="112">
        <v>0</v>
      </c>
      <c r="X25" s="96">
        <f ca="1">ROUND(C25*((N24/O24)/(M24/O24))-E25,2)</f>
        <v>6.2</v>
      </c>
      <c r="Y25" s="97">
        <f ca="1">ROUND((C25*(1/(M24/O24)))-G25,2)</f>
        <v>24</v>
      </c>
      <c r="Z25" s="116">
        <v>0</v>
      </c>
      <c r="AA25" s="110">
        <v>0</v>
      </c>
      <c r="AB25" s="88">
        <f ca="1">ROUND(C25*0.2,2)</f>
        <v>6.6</v>
      </c>
      <c r="AC25" s="79">
        <f ca="1">ROUND(C25*((S24/O24)/(M24/O24)),2)</f>
        <v>5920.2</v>
      </c>
      <c r="AD25" s="98"/>
    </row>
    <row r="26" spans="2:31" ht="18" customHeight="1" x14ac:dyDescent="0.3">
      <c r="B26" s="117"/>
      <c r="C26" s="318" t="s">
        <v>187</v>
      </c>
      <c r="D26" s="318"/>
      <c r="E26" s="318"/>
      <c r="F26" s="117"/>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98"/>
    </row>
    <row r="27" spans="2:31" ht="18" customHeight="1" thickBot="1" x14ac:dyDescent="0.35">
      <c r="B27" s="117"/>
      <c r="C27" s="303"/>
      <c r="D27" s="303"/>
      <c r="E27" s="303"/>
      <c r="F27" s="99"/>
      <c r="G27" s="99"/>
      <c r="H27" s="109"/>
      <c r="I27" s="109"/>
      <c r="J27" s="98"/>
      <c r="K27" s="122"/>
      <c r="L27" s="118" t="s">
        <v>45</v>
      </c>
      <c r="M27" s="119" t="s">
        <v>44</v>
      </c>
      <c r="N27" s="104"/>
      <c r="O27" s="122"/>
      <c r="P27" s="118" t="s">
        <v>45</v>
      </c>
      <c r="Q27" s="119" t="s">
        <v>44</v>
      </c>
      <c r="R27" s="104"/>
      <c r="S27" s="122"/>
      <c r="T27" s="118" t="s">
        <v>45</v>
      </c>
      <c r="U27" s="119" t="s">
        <v>44</v>
      </c>
      <c r="V27" s="98"/>
      <c r="W27" s="122"/>
      <c r="X27" s="118" t="s">
        <v>45</v>
      </c>
      <c r="Y27" s="119" t="s">
        <v>44</v>
      </c>
      <c r="Z27" s="98"/>
      <c r="AA27" s="122"/>
      <c r="AB27" s="118" t="s">
        <v>45</v>
      </c>
      <c r="AC27" s="119" t="s">
        <v>44</v>
      </c>
      <c r="AD27" s="98"/>
    </row>
    <row r="28" spans="2:31" ht="18" customHeight="1" x14ac:dyDescent="0.3">
      <c r="B28" s="98"/>
      <c r="C28" s="123"/>
      <c r="D28" s="123"/>
      <c r="E28" s="123"/>
      <c r="F28" s="99"/>
      <c r="G28" s="99"/>
      <c r="H28" s="109"/>
      <c r="I28" s="108"/>
      <c r="J28" s="98"/>
      <c r="K28" s="121" t="s">
        <v>57</v>
      </c>
      <c r="L28" s="140">
        <v>2</v>
      </c>
      <c r="M28" s="141">
        <v>2</v>
      </c>
      <c r="N28" s="106"/>
      <c r="O28" s="121" t="s">
        <v>60</v>
      </c>
      <c r="P28" s="140">
        <v>1</v>
      </c>
      <c r="Q28" s="141">
        <v>1</v>
      </c>
      <c r="R28" s="104"/>
      <c r="S28" s="121" t="s">
        <v>63</v>
      </c>
      <c r="T28" s="140">
        <v>5</v>
      </c>
      <c r="U28" s="141">
        <v>5</v>
      </c>
      <c r="V28" s="98"/>
      <c r="W28" s="121" t="s">
        <v>66</v>
      </c>
      <c r="X28" s="124">
        <v>650</v>
      </c>
      <c r="Y28" s="125">
        <v>900</v>
      </c>
      <c r="Z28" s="98"/>
      <c r="AA28" s="121" t="s">
        <v>69</v>
      </c>
      <c r="AB28" s="124">
        <v>30</v>
      </c>
      <c r="AC28" s="125">
        <v>35</v>
      </c>
      <c r="AD28" s="98"/>
    </row>
    <row r="29" spans="2:31" ht="18" customHeight="1" x14ac:dyDescent="0.3">
      <c r="B29" s="98"/>
      <c r="C29" s="253" t="s">
        <v>51</v>
      </c>
      <c r="D29" s="253"/>
      <c r="E29" s="253"/>
      <c r="F29" s="148">
        <f>(M29-L29+1)*(M30-L30+1)*(Q29-P29+1)*(Q30-P30+1)*(U29-T29+1)*(U30-T30+1)*(Y28-X28+1)*(Y29-X29+1)*(Y30-X30+1)*(AC28-AB28+1)*(AC29-AB29+1)*(AC30-AB30+1)*(U28-T28+1)*(Q28-P28+1)*(M28-L28+1)</f>
        <v>934562396160</v>
      </c>
      <c r="G29" s="99"/>
      <c r="H29" s="109"/>
      <c r="I29" s="108"/>
      <c r="J29" s="98"/>
      <c r="K29" s="120" t="s">
        <v>58</v>
      </c>
      <c r="L29" s="124">
        <v>2</v>
      </c>
      <c r="M29" s="125">
        <v>6</v>
      </c>
      <c r="N29" s="106"/>
      <c r="O29" s="109" t="s">
        <v>61</v>
      </c>
      <c r="P29" s="124">
        <v>1</v>
      </c>
      <c r="Q29" s="125">
        <v>4</v>
      </c>
      <c r="R29" s="104"/>
      <c r="S29" s="109" t="s">
        <v>64</v>
      </c>
      <c r="T29" s="124">
        <v>7</v>
      </c>
      <c r="U29" s="125">
        <v>9</v>
      </c>
      <c r="V29" s="98"/>
      <c r="W29" s="109" t="s">
        <v>67</v>
      </c>
      <c r="X29" s="124">
        <v>200</v>
      </c>
      <c r="Y29" s="125">
        <v>400</v>
      </c>
      <c r="Z29" s="98"/>
      <c r="AA29" s="109" t="s">
        <v>70</v>
      </c>
      <c r="AB29" s="140">
        <v>40</v>
      </c>
      <c r="AC29" s="141">
        <v>40</v>
      </c>
      <c r="AD29" s="98"/>
    </row>
    <row r="30" spans="2:31" ht="18" customHeight="1" x14ac:dyDescent="0.3">
      <c r="B30" s="98"/>
      <c r="C30" s="259" t="s">
        <v>181</v>
      </c>
      <c r="D30" s="123"/>
      <c r="E30" s="123"/>
      <c r="F30" s="99"/>
      <c r="G30" s="99"/>
      <c r="H30" s="109"/>
      <c r="I30" s="108"/>
      <c r="J30" s="98"/>
      <c r="K30" s="120" t="s">
        <v>59</v>
      </c>
      <c r="L30" s="124">
        <v>7</v>
      </c>
      <c r="M30" s="125">
        <v>10</v>
      </c>
      <c r="N30" s="106"/>
      <c r="O30" s="109" t="s">
        <v>62</v>
      </c>
      <c r="P30" s="124">
        <v>0</v>
      </c>
      <c r="Q30" s="125">
        <v>3</v>
      </c>
      <c r="R30" s="104"/>
      <c r="S30" s="109" t="s">
        <v>65</v>
      </c>
      <c r="T30" s="124">
        <v>14</v>
      </c>
      <c r="U30" s="125">
        <v>15</v>
      </c>
      <c r="V30" s="98"/>
      <c r="W30" s="109" t="s">
        <v>68</v>
      </c>
      <c r="X30" s="124">
        <v>700</v>
      </c>
      <c r="Y30" s="125">
        <v>900</v>
      </c>
      <c r="Z30" s="98"/>
      <c r="AA30" s="109" t="s">
        <v>71</v>
      </c>
      <c r="AB30" s="124">
        <v>75</v>
      </c>
      <c r="AC30" s="125">
        <v>82</v>
      </c>
      <c r="AD30" s="98"/>
    </row>
    <row r="31" spans="2:31" ht="18" customHeight="1" x14ac:dyDescent="0.3">
      <c r="B31" s="117"/>
      <c r="C31" s="303" t="s">
        <v>46</v>
      </c>
      <c r="D31" s="303"/>
      <c r="E31" s="303"/>
      <c r="F31" s="117"/>
      <c r="G31" s="117"/>
      <c r="H31" s="104"/>
      <c r="I31" s="104"/>
      <c r="J31" s="104"/>
      <c r="K31" s="104"/>
      <c r="L31" s="104"/>
      <c r="M31" s="104"/>
      <c r="N31" s="104"/>
      <c r="O31" s="104"/>
      <c r="P31" s="104"/>
      <c r="Q31" s="104"/>
      <c r="R31" s="104"/>
      <c r="S31" s="104"/>
      <c r="T31" s="104"/>
      <c r="U31" s="104"/>
      <c r="V31" s="104"/>
      <c r="W31" s="104"/>
      <c r="X31" s="104"/>
      <c r="Y31" s="104"/>
      <c r="Z31" s="104"/>
      <c r="AA31" s="104"/>
      <c r="AB31" s="104"/>
      <c r="AC31" s="104"/>
      <c r="AD31" s="98"/>
    </row>
    <row r="32" spans="2:31" ht="18" customHeight="1" x14ac:dyDescent="0.3">
      <c r="B32" s="117"/>
      <c r="C32" s="303"/>
      <c r="D32" s="303"/>
      <c r="E32" s="303"/>
      <c r="F32" s="108"/>
      <c r="G32" s="108"/>
      <c r="H32" s="109"/>
      <c r="I32" s="109"/>
      <c r="J32" s="109"/>
      <c r="K32" s="109"/>
      <c r="L32" s="109"/>
      <c r="M32" s="109"/>
      <c r="N32" s="109"/>
      <c r="O32" s="109"/>
      <c r="P32" s="109"/>
      <c r="Q32" s="109"/>
      <c r="R32" s="109"/>
      <c r="S32" s="109"/>
      <c r="T32" s="109"/>
      <c r="U32" s="109"/>
      <c r="V32" s="109"/>
      <c r="W32" s="109"/>
      <c r="X32" s="109"/>
      <c r="Y32" s="109"/>
      <c r="Z32" s="109"/>
      <c r="AA32" s="109"/>
      <c r="AB32" s="109"/>
      <c r="AC32" s="109"/>
      <c r="AD32" s="98"/>
    </row>
    <row r="33" spans="2:30" ht="18" customHeight="1" x14ac:dyDescent="0.3">
      <c r="B33" s="104"/>
      <c r="C33" s="109" t="s">
        <v>52</v>
      </c>
      <c r="D33" s="239">
        <v>0</v>
      </c>
      <c r="E33" s="239"/>
      <c r="F33" s="247"/>
      <c r="G33" s="254"/>
      <c r="H33" s="254"/>
      <c r="I33" s="254"/>
      <c r="J33" s="254"/>
      <c r="K33" s="254"/>
      <c r="L33" s="254"/>
      <c r="M33" s="254"/>
      <c r="N33" s="254"/>
      <c r="O33" s="254"/>
      <c r="P33" s="254"/>
      <c r="Q33" s="125"/>
      <c r="R33" s="125"/>
      <c r="S33" s="125"/>
      <c r="T33" s="125"/>
      <c r="U33" s="125"/>
      <c r="V33" s="125"/>
      <c r="W33" s="125"/>
      <c r="X33" s="125"/>
      <c r="Y33" s="125"/>
      <c r="Z33" s="125"/>
      <c r="AA33" s="125"/>
      <c r="AB33" s="125"/>
      <c r="AC33" s="109"/>
      <c r="AD33" s="98"/>
    </row>
    <row r="34" spans="2:30" ht="18" customHeight="1" x14ac:dyDescent="0.3">
      <c r="B34" s="104"/>
      <c r="C34" s="109" t="s">
        <v>53</v>
      </c>
      <c r="D34" s="239" t="s">
        <v>183</v>
      </c>
      <c r="E34" s="239"/>
      <c r="F34" s="239"/>
      <c r="G34" s="239"/>
      <c r="H34" s="239"/>
      <c r="I34" s="239"/>
      <c r="J34" s="239"/>
      <c r="K34" s="239"/>
      <c r="L34" s="247"/>
      <c r="M34" s="254"/>
      <c r="N34" s="254"/>
      <c r="O34" s="254"/>
      <c r="P34" s="254"/>
      <c r="Q34" s="125"/>
      <c r="R34" s="125"/>
      <c r="S34" s="125"/>
      <c r="T34" s="125"/>
      <c r="U34" s="125"/>
      <c r="V34" s="125"/>
      <c r="W34" s="125"/>
      <c r="X34" s="125"/>
      <c r="Y34" s="125"/>
      <c r="Z34" s="125"/>
      <c r="AA34" s="125"/>
      <c r="AB34" s="125"/>
      <c r="AC34" s="109"/>
      <c r="AD34" s="98"/>
    </row>
    <row r="35" spans="2:30" ht="18" customHeight="1" x14ac:dyDescent="0.3">
      <c r="B35" s="104"/>
      <c r="C35" s="109" t="s">
        <v>54</v>
      </c>
      <c r="D35" s="239" t="s">
        <v>184</v>
      </c>
      <c r="E35" s="239"/>
      <c r="F35" s="239"/>
      <c r="G35" s="239"/>
      <c r="H35" s="239"/>
      <c r="I35" s="239"/>
      <c r="J35" s="239"/>
      <c r="K35" s="254"/>
      <c r="L35" s="254"/>
      <c r="M35" s="254"/>
      <c r="N35" s="254"/>
      <c r="O35" s="254"/>
      <c r="P35" s="254"/>
      <c r="Q35" s="125"/>
      <c r="R35" s="125"/>
      <c r="S35" s="125"/>
      <c r="T35" s="125"/>
      <c r="U35" s="125"/>
      <c r="V35" s="125"/>
      <c r="W35" s="125"/>
      <c r="X35" s="125"/>
      <c r="Y35" s="125"/>
      <c r="Z35" s="125"/>
      <c r="AA35" s="125"/>
      <c r="AB35" s="125"/>
      <c r="AC35" s="109"/>
      <c r="AD35" s="98"/>
    </row>
    <row r="36" spans="2:30" ht="18" customHeight="1" x14ac:dyDescent="0.3">
      <c r="B36" s="104"/>
      <c r="C36" s="109" t="s">
        <v>218</v>
      </c>
      <c r="D36" s="239">
        <v>0</v>
      </c>
      <c r="E36" s="239"/>
      <c r="F36" s="254"/>
      <c r="G36" s="254"/>
      <c r="H36" s="254"/>
      <c r="I36" s="254"/>
      <c r="J36" s="254"/>
      <c r="K36" s="254"/>
      <c r="L36" s="254"/>
      <c r="M36" s="254"/>
      <c r="N36" s="254"/>
      <c r="O36" s="254"/>
      <c r="P36" s="254"/>
      <c r="Q36" s="125"/>
      <c r="R36" s="125"/>
      <c r="S36" s="125"/>
      <c r="T36" s="125"/>
      <c r="U36" s="125"/>
      <c r="V36" s="125"/>
      <c r="W36" s="125"/>
      <c r="X36" s="125"/>
      <c r="Y36" s="125"/>
      <c r="Z36" s="125"/>
      <c r="AA36" s="125"/>
      <c r="AB36" s="125"/>
      <c r="AC36" s="109"/>
      <c r="AD36" s="98"/>
    </row>
    <row r="37" spans="2:30" ht="18" customHeight="1" x14ac:dyDescent="0.3">
      <c r="B37" s="104"/>
      <c r="C37" s="109" t="s">
        <v>219</v>
      </c>
      <c r="D37" s="239">
        <v>0</v>
      </c>
      <c r="E37" s="239"/>
      <c r="F37" s="254"/>
      <c r="G37" s="254"/>
      <c r="H37" s="254"/>
      <c r="I37" s="254"/>
      <c r="J37" s="254"/>
      <c r="K37" s="254"/>
      <c r="L37" s="254"/>
      <c r="M37" s="254"/>
      <c r="N37" s="254"/>
      <c r="O37" s="254"/>
      <c r="P37" s="254"/>
      <c r="Q37" s="125"/>
      <c r="R37" s="125"/>
      <c r="S37" s="125"/>
      <c r="T37" s="125"/>
      <c r="U37" s="125"/>
      <c r="V37" s="125"/>
      <c r="W37" s="125"/>
      <c r="X37" s="125"/>
      <c r="Y37" s="125"/>
      <c r="Z37" s="125"/>
      <c r="AA37" s="125"/>
      <c r="AB37" s="125"/>
      <c r="AC37" s="109"/>
      <c r="AD37" s="98"/>
    </row>
    <row r="38" spans="2:30" ht="18" customHeight="1" x14ac:dyDescent="0.3">
      <c r="B38" s="104"/>
      <c r="C38" s="109" t="s">
        <v>220</v>
      </c>
      <c r="D38" s="239" t="s">
        <v>185</v>
      </c>
      <c r="E38" s="239"/>
      <c r="F38" s="239"/>
      <c r="G38" s="239"/>
      <c r="H38" s="255"/>
      <c r="I38" s="255"/>
      <c r="J38" s="255"/>
      <c r="K38" s="255"/>
      <c r="L38" s="255"/>
      <c r="M38" s="255"/>
      <c r="N38" s="255"/>
      <c r="O38" s="255"/>
      <c r="P38" s="255"/>
      <c r="Q38" s="256"/>
      <c r="R38" s="256"/>
      <c r="S38" s="256"/>
      <c r="T38" s="256"/>
      <c r="U38" s="256"/>
      <c r="V38" s="256"/>
      <c r="W38" s="256"/>
      <c r="X38" s="256"/>
      <c r="Y38" s="256"/>
      <c r="Z38" s="256"/>
      <c r="AA38" s="256"/>
      <c r="AB38" s="256"/>
      <c r="AC38" s="99"/>
      <c r="AD38" s="98"/>
    </row>
    <row r="39" spans="2:30" ht="18" customHeight="1" x14ac:dyDescent="0.3">
      <c r="B39" s="104"/>
      <c r="C39" s="109" t="s">
        <v>8</v>
      </c>
      <c r="D39" s="239" t="s">
        <v>186</v>
      </c>
      <c r="E39" s="239"/>
      <c r="F39" s="239"/>
      <c r="G39" s="239"/>
      <c r="H39" s="239"/>
      <c r="I39" s="239"/>
      <c r="J39" s="239"/>
      <c r="K39" s="247"/>
      <c r="L39" s="255"/>
      <c r="M39" s="255"/>
      <c r="N39" s="255"/>
      <c r="O39" s="255"/>
      <c r="P39" s="255"/>
      <c r="Q39" s="256"/>
      <c r="R39" s="256"/>
      <c r="S39" s="256"/>
      <c r="T39" s="256"/>
      <c r="U39" s="256"/>
      <c r="V39" s="256"/>
      <c r="W39" s="256"/>
      <c r="X39" s="256"/>
      <c r="Y39" s="256"/>
      <c r="Z39" s="256"/>
      <c r="AA39" s="256"/>
      <c r="AB39" s="256"/>
      <c r="AC39" s="99"/>
      <c r="AD39" s="98"/>
    </row>
    <row r="40" spans="2:30" ht="18" customHeight="1" x14ac:dyDescent="0.3">
      <c r="B40" s="104"/>
      <c r="C40" s="99"/>
      <c r="D40" s="245"/>
      <c r="E40" s="245"/>
      <c r="F40" s="245"/>
      <c r="G40" s="245"/>
      <c r="H40" s="245"/>
      <c r="I40" s="245"/>
      <c r="J40" s="245"/>
      <c r="K40" s="245"/>
      <c r="L40" s="245"/>
      <c r="M40" s="245"/>
      <c r="N40" s="245"/>
      <c r="O40" s="245"/>
      <c r="P40" s="245"/>
      <c r="Q40" s="99"/>
      <c r="R40" s="99"/>
      <c r="S40" s="99"/>
      <c r="T40" s="99"/>
      <c r="U40" s="99"/>
      <c r="V40" s="99"/>
      <c r="W40" s="99"/>
      <c r="X40" s="99"/>
      <c r="Y40" s="99"/>
      <c r="Z40" s="99"/>
      <c r="AA40" s="99"/>
      <c r="AB40" s="99"/>
      <c r="AC40" s="99"/>
      <c r="AD40" s="98"/>
    </row>
    <row r="41" spans="2:30" ht="18" customHeight="1" x14ac:dyDescent="0.3">
      <c r="B41" s="104"/>
      <c r="C41" s="244" t="s">
        <v>48</v>
      </c>
      <c r="D41" s="250" t="s">
        <v>269</v>
      </c>
      <c r="E41" s="239"/>
      <c r="F41" s="239"/>
      <c r="G41" s="239"/>
      <c r="H41" s="239"/>
      <c r="I41" s="239"/>
      <c r="J41" s="239"/>
      <c r="K41" s="239"/>
      <c r="L41" s="239"/>
      <c r="M41" s="239"/>
      <c r="N41" s="239"/>
      <c r="O41" s="239"/>
      <c r="P41" s="239"/>
      <c r="Q41" s="227"/>
      <c r="R41" s="256"/>
      <c r="S41" s="256"/>
      <c r="T41" s="256"/>
      <c r="U41" s="256"/>
      <c r="V41" s="256"/>
      <c r="W41" s="256"/>
      <c r="X41" s="256"/>
      <c r="Y41" s="256"/>
      <c r="Z41" s="256"/>
      <c r="AA41" s="256"/>
      <c r="AB41" s="256"/>
      <c r="AC41" s="99"/>
      <c r="AD41" s="98"/>
    </row>
    <row r="42" spans="2:30" ht="18" customHeight="1" x14ac:dyDescent="0.3">
      <c r="B42" s="104"/>
      <c r="C42" s="244" t="s">
        <v>49</v>
      </c>
      <c r="D42" s="250" t="s">
        <v>270</v>
      </c>
      <c r="E42" s="239"/>
      <c r="F42" s="239"/>
      <c r="G42" s="239"/>
      <c r="H42" s="239"/>
      <c r="I42" s="239"/>
      <c r="J42" s="239"/>
      <c r="K42" s="239"/>
      <c r="L42" s="239"/>
      <c r="M42" s="239"/>
      <c r="N42" s="239"/>
      <c r="O42" s="239"/>
      <c r="P42" s="239"/>
      <c r="Q42" s="227"/>
      <c r="R42" s="256"/>
      <c r="S42" s="256"/>
      <c r="T42" s="256"/>
      <c r="U42" s="256"/>
      <c r="V42" s="256"/>
      <c r="W42" s="256"/>
      <c r="X42" s="256"/>
      <c r="Y42" s="256"/>
      <c r="Z42" s="256"/>
      <c r="AA42" s="256"/>
      <c r="AB42" s="256"/>
      <c r="AC42" s="99"/>
      <c r="AD42" s="98"/>
    </row>
    <row r="43" spans="2:30" ht="18" customHeight="1" x14ac:dyDescent="0.3">
      <c r="B43" s="104"/>
      <c r="C43" s="244" t="s">
        <v>50</v>
      </c>
      <c r="D43" s="250" t="s">
        <v>271</v>
      </c>
      <c r="E43" s="239"/>
      <c r="F43" s="239"/>
      <c r="G43" s="239"/>
      <c r="H43" s="239"/>
      <c r="I43" s="239"/>
      <c r="J43" s="239"/>
      <c r="K43" s="255"/>
      <c r="L43" s="255"/>
      <c r="M43" s="255"/>
      <c r="N43" s="255"/>
      <c r="O43" s="255"/>
      <c r="P43" s="255"/>
      <c r="Q43" s="256"/>
      <c r="R43" s="256"/>
      <c r="S43" s="256"/>
      <c r="T43" s="256"/>
      <c r="U43" s="256"/>
      <c r="V43" s="256"/>
      <c r="W43" s="256"/>
      <c r="X43" s="256"/>
      <c r="Y43" s="256"/>
      <c r="Z43" s="256"/>
      <c r="AA43" s="256"/>
      <c r="AB43" s="256"/>
      <c r="AC43" s="99"/>
      <c r="AD43" s="98"/>
    </row>
    <row r="44" spans="2:30" ht="18" customHeight="1" x14ac:dyDescent="0.3">
      <c r="B44" s="104"/>
      <c r="C44" s="148"/>
      <c r="D44" s="167"/>
      <c r="E44" s="167"/>
      <c r="F44" s="167"/>
      <c r="G44" s="167"/>
      <c r="H44" s="167"/>
      <c r="I44" s="167"/>
      <c r="J44" s="167"/>
      <c r="K44" s="245"/>
      <c r="L44" s="245"/>
      <c r="M44" s="245"/>
      <c r="N44" s="245"/>
      <c r="O44" s="245"/>
      <c r="P44" s="245"/>
      <c r="Q44" s="99"/>
      <c r="R44" s="99"/>
      <c r="S44" s="99"/>
      <c r="T44" s="99"/>
      <c r="U44" s="99"/>
      <c r="V44" s="99"/>
      <c r="W44" s="99"/>
      <c r="X44" s="99"/>
      <c r="Y44" s="99"/>
      <c r="Z44" s="99"/>
      <c r="AA44" s="99"/>
      <c r="AB44" s="99"/>
      <c r="AC44" s="99"/>
      <c r="AD44" s="98"/>
    </row>
    <row r="45" spans="2:30" ht="18" customHeight="1" x14ac:dyDescent="0.3">
      <c r="B45" s="104"/>
      <c r="C45" s="173" t="s">
        <v>162</v>
      </c>
      <c r="D45" s="239" t="s">
        <v>65</v>
      </c>
      <c r="E45" s="239"/>
      <c r="F45" s="239"/>
      <c r="G45" s="247"/>
      <c r="H45" s="247"/>
      <c r="I45" s="247"/>
      <c r="J45" s="247"/>
      <c r="K45" s="247"/>
      <c r="L45" s="247"/>
      <c r="M45" s="247"/>
      <c r="N45" s="247"/>
      <c r="O45" s="247"/>
      <c r="P45" s="247"/>
      <c r="Q45" s="227"/>
      <c r="R45" s="256"/>
      <c r="S45" s="256"/>
      <c r="T45" s="256"/>
      <c r="U45" s="256"/>
      <c r="V45" s="256"/>
      <c r="W45" s="256"/>
      <c r="X45" s="256"/>
      <c r="Y45" s="256"/>
      <c r="Z45" s="256"/>
      <c r="AA45" s="256"/>
      <c r="AB45" s="256"/>
      <c r="AC45" s="99"/>
      <c r="AD45" s="98"/>
    </row>
    <row r="46" spans="2:30" ht="18" customHeight="1" x14ac:dyDescent="0.3">
      <c r="B46" s="104"/>
      <c r="C46" s="173" t="s">
        <v>164</v>
      </c>
      <c r="D46" s="239" t="s">
        <v>189</v>
      </c>
      <c r="E46" s="239"/>
      <c r="F46" s="239"/>
      <c r="G46" s="239"/>
      <c r="H46" s="247"/>
      <c r="I46" s="247"/>
      <c r="J46" s="247"/>
      <c r="K46" s="255"/>
      <c r="L46" s="255"/>
      <c r="M46" s="255"/>
      <c r="N46" s="255"/>
      <c r="O46" s="255"/>
      <c r="P46" s="255"/>
      <c r="Q46" s="256"/>
      <c r="R46" s="256"/>
      <c r="S46" s="256"/>
      <c r="T46" s="256"/>
      <c r="U46" s="256"/>
      <c r="V46" s="256"/>
      <c r="W46" s="256"/>
      <c r="X46" s="256"/>
      <c r="Y46" s="256"/>
      <c r="Z46" s="256"/>
      <c r="AA46" s="256"/>
      <c r="AB46" s="256"/>
      <c r="AC46" s="99"/>
      <c r="AD46" s="98"/>
    </row>
    <row r="47" spans="2:30" ht="18" customHeight="1" x14ac:dyDescent="0.3">
      <c r="B47" s="117"/>
      <c r="C47" s="303" t="s">
        <v>188</v>
      </c>
      <c r="D47" s="303"/>
      <c r="E47" s="303"/>
      <c r="F47" s="117"/>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2:30" ht="18" customHeight="1" x14ac:dyDescent="0.3">
      <c r="B48" s="117"/>
      <c r="C48" s="303"/>
      <c r="D48" s="303"/>
      <c r="E48" s="303"/>
      <c r="F48" s="108"/>
      <c r="G48" s="99"/>
      <c r="H48" s="99"/>
      <c r="I48" s="99"/>
      <c r="J48" s="99"/>
      <c r="K48" s="99"/>
      <c r="L48" s="99"/>
      <c r="M48" s="99"/>
      <c r="N48" s="99"/>
      <c r="O48" s="99"/>
      <c r="P48" s="99"/>
      <c r="Q48" s="99"/>
      <c r="R48" s="99"/>
      <c r="S48" s="99"/>
      <c r="T48" s="99"/>
      <c r="U48" s="99"/>
      <c r="V48" s="99"/>
      <c r="W48" s="99"/>
      <c r="X48" s="99"/>
      <c r="Y48" s="99"/>
      <c r="Z48" s="99"/>
      <c r="AA48" s="99"/>
      <c r="AB48" s="99"/>
      <c r="AC48" s="99"/>
      <c r="AD48" s="98"/>
    </row>
    <row r="49" spans="2:30" ht="18" customHeight="1" x14ac:dyDescent="0.3">
      <c r="B49" s="98"/>
      <c r="C49" s="109" t="s">
        <v>52</v>
      </c>
      <c r="D49" s="249" t="s">
        <v>311</v>
      </c>
      <c r="E49" s="241"/>
      <c r="F49" s="241"/>
      <c r="G49" s="241"/>
      <c r="H49" s="241"/>
      <c r="I49" s="241"/>
      <c r="J49" s="241"/>
      <c r="K49" s="241"/>
      <c r="L49" s="241"/>
      <c r="M49" s="241"/>
      <c r="N49" s="241"/>
      <c r="O49" s="241"/>
      <c r="P49" s="241"/>
      <c r="Q49" s="241"/>
      <c r="R49" s="241"/>
      <c r="S49" s="241"/>
      <c r="T49" s="241"/>
      <c r="U49" s="241"/>
      <c r="V49" s="241"/>
      <c r="W49" s="241"/>
      <c r="X49" s="241"/>
      <c r="Y49" s="241"/>
      <c r="Z49" s="257"/>
      <c r="AA49" s="257"/>
      <c r="AB49" s="256"/>
      <c r="AC49" s="99"/>
      <c r="AD49" s="98"/>
    </row>
    <row r="50" spans="2:30" ht="18" customHeight="1" x14ac:dyDescent="0.3">
      <c r="B50" s="98"/>
      <c r="C50" s="109" t="s">
        <v>53</v>
      </c>
      <c r="D50" s="249" t="s">
        <v>312</v>
      </c>
      <c r="E50" s="241"/>
      <c r="F50" s="241"/>
      <c r="G50" s="241"/>
      <c r="H50" s="241"/>
      <c r="I50" s="241"/>
      <c r="J50" s="241"/>
      <c r="K50" s="241"/>
      <c r="L50" s="241"/>
      <c r="M50" s="241"/>
      <c r="N50" s="241"/>
      <c r="O50" s="241"/>
      <c r="P50" s="241"/>
      <c r="Q50" s="241"/>
      <c r="R50" s="241"/>
      <c r="S50" s="241"/>
      <c r="T50" s="241"/>
      <c r="U50" s="241"/>
      <c r="V50" s="241"/>
      <c r="W50" s="241"/>
      <c r="X50" s="241"/>
      <c r="Y50" s="241"/>
      <c r="Z50" s="257"/>
      <c r="AA50" s="257"/>
      <c r="AB50" s="256"/>
      <c r="AC50" s="99"/>
      <c r="AD50" s="98"/>
    </row>
    <row r="51" spans="2:30" ht="18" customHeight="1" x14ac:dyDescent="0.3">
      <c r="B51" s="98"/>
      <c r="C51" s="109" t="s">
        <v>54</v>
      </c>
      <c r="D51" s="249" t="s">
        <v>313</v>
      </c>
      <c r="E51" s="241"/>
      <c r="F51" s="241"/>
      <c r="G51" s="241"/>
      <c r="H51" s="241"/>
      <c r="I51" s="241"/>
      <c r="J51" s="241"/>
      <c r="K51" s="241"/>
      <c r="L51" s="241"/>
      <c r="M51" s="241"/>
      <c r="N51" s="241"/>
      <c r="O51" s="241"/>
      <c r="P51" s="241"/>
      <c r="Q51" s="241"/>
      <c r="R51" s="241"/>
      <c r="S51" s="241"/>
      <c r="T51" s="241"/>
      <c r="U51" s="241"/>
      <c r="V51" s="241"/>
      <c r="W51" s="241"/>
      <c r="X51" s="241"/>
      <c r="Y51" s="241"/>
      <c r="Z51" s="257"/>
      <c r="AA51" s="257"/>
      <c r="AB51" s="256"/>
      <c r="AC51" s="99"/>
      <c r="AD51" s="98"/>
    </row>
    <row r="52" spans="2:30" ht="18" customHeight="1" x14ac:dyDescent="0.3">
      <c r="B52" s="98"/>
      <c r="C52" s="109" t="s">
        <v>291</v>
      </c>
      <c r="D52" s="249" t="s">
        <v>315</v>
      </c>
      <c r="E52" s="243"/>
      <c r="F52" s="243"/>
      <c r="G52" s="243"/>
      <c r="H52" s="243"/>
      <c r="I52" s="243"/>
      <c r="J52" s="243"/>
      <c r="K52" s="243"/>
      <c r="L52" s="243"/>
      <c r="M52" s="243"/>
      <c r="N52" s="243"/>
      <c r="O52" s="243"/>
      <c r="P52" s="243"/>
      <c r="Q52" s="243"/>
      <c r="R52" s="243"/>
      <c r="S52" s="243"/>
      <c r="T52" s="243"/>
      <c r="U52" s="243"/>
      <c r="V52" s="243"/>
      <c r="W52" s="243"/>
      <c r="X52" s="243"/>
      <c r="Y52" s="243"/>
      <c r="Z52" s="257"/>
      <c r="AA52" s="257"/>
      <c r="AB52" s="257"/>
      <c r="AC52" s="99"/>
      <c r="AD52" s="98"/>
    </row>
    <row r="53" spans="2:30" ht="18" customHeight="1" x14ac:dyDescent="0.3">
      <c r="B53" s="98"/>
      <c r="C53" s="109" t="s">
        <v>290</v>
      </c>
      <c r="D53" s="249" t="s">
        <v>316</v>
      </c>
      <c r="E53" s="243"/>
      <c r="F53" s="243"/>
      <c r="G53" s="243"/>
      <c r="H53" s="243"/>
      <c r="I53" s="243"/>
      <c r="J53" s="243"/>
      <c r="K53" s="243"/>
      <c r="L53" s="243"/>
      <c r="M53" s="243"/>
      <c r="N53" s="243"/>
      <c r="O53" s="243"/>
      <c r="P53" s="243"/>
      <c r="Q53" s="243"/>
      <c r="R53" s="243"/>
      <c r="S53" s="243"/>
      <c r="T53" s="243"/>
      <c r="U53" s="243"/>
      <c r="V53" s="243"/>
      <c r="W53" s="243"/>
      <c r="X53" s="243"/>
      <c r="Y53" s="243"/>
      <c r="Z53" s="257"/>
      <c r="AA53" s="257"/>
      <c r="AB53" s="257"/>
      <c r="AC53" s="99"/>
      <c r="AD53" s="98"/>
    </row>
    <row r="54" spans="2:30" ht="18" customHeight="1" x14ac:dyDescent="0.3">
      <c r="B54" s="98"/>
      <c r="C54" s="109" t="s">
        <v>293</v>
      </c>
      <c r="D54" s="249" t="s">
        <v>317</v>
      </c>
      <c r="E54" s="243"/>
      <c r="F54" s="243"/>
      <c r="G54" s="243"/>
      <c r="H54" s="243"/>
      <c r="I54" s="243"/>
      <c r="J54" s="243"/>
      <c r="K54" s="243"/>
      <c r="L54" s="243"/>
      <c r="M54" s="243"/>
      <c r="N54" s="243"/>
      <c r="O54" s="243"/>
      <c r="P54" s="243"/>
      <c r="Q54" s="243"/>
      <c r="R54" s="243"/>
      <c r="S54" s="243"/>
      <c r="T54" s="243"/>
      <c r="U54" s="243"/>
      <c r="V54" s="243"/>
      <c r="W54" s="243"/>
      <c r="X54" s="243"/>
      <c r="Y54" s="243"/>
      <c r="Z54" s="257"/>
      <c r="AA54" s="257"/>
      <c r="AB54" s="257"/>
      <c r="AC54" s="99"/>
      <c r="AD54" s="98"/>
    </row>
    <row r="55" spans="2:30" ht="18" customHeight="1" x14ac:dyDescent="0.3">
      <c r="B55" s="98"/>
      <c r="C55" s="109" t="s">
        <v>292</v>
      </c>
      <c r="D55" s="249" t="s">
        <v>318</v>
      </c>
      <c r="E55" s="243"/>
      <c r="F55" s="243"/>
      <c r="G55" s="243"/>
      <c r="H55" s="243"/>
      <c r="I55" s="243"/>
      <c r="J55" s="243"/>
      <c r="K55" s="243"/>
      <c r="L55" s="243"/>
      <c r="M55" s="243"/>
      <c r="N55" s="243"/>
      <c r="O55" s="243"/>
      <c r="P55" s="243"/>
      <c r="Q55" s="243"/>
      <c r="R55" s="243"/>
      <c r="S55" s="243"/>
      <c r="T55" s="243"/>
      <c r="U55" s="243"/>
      <c r="V55" s="243"/>
      <c r="W55" s="243"/>
      <c r="X55" s="243"/>
      <c r="Y55" s="243"/>
      <c r="Z55" s="257"/>
      <c r="AA55" s="257"/>
      <c r="AB55" s="257"/>
      <c r="AC55" s="99"/>
      <c r="AD55" s="98"/>
    </row>
    <row r="56" spans="2:30" ht="18" customHeight="1" x14ac:dyDescent="0.3">
      <c r="B56" s="98"/>
      <c r="C56" s="109" t="s">
        <v>294</v>
      </c>
      <c r="D56" s="249" t="s">
        <v>319</v>
      </c>
      <c r="E56" s="243"/>
      <c r="F56" s="243"/>
      <c r="G56" s="243"/>
      <c r="H56" s="243"/>
      <c r="I56" s="243"/>
      <c r="J56" s="243"/>
      <c r="K56" s="243"/>
      <c r="L56" s="243"/>
      <c r="M56" s="243"/>
      <c r="N56" s="243"/>
      <c r="O56" s="243"/>
      <c r="P56" s="243"/>
      <c r="Q56" s="243"/>
      <c r="R56" s="243"/>
      <c r="S56" s="243"/>
      <c r="T56" s="243"/>
      <c r="U56" s="243"/>
      <c r="V56" s="243"/>
      <c r="W56" s="243"/>
      <c r="X56" s="243"/>
      <c r="Y56" s="243"/>
      <c r="Z56" s="257"/>
      <c r="AA56" s="257"/>
      <c r="AB56" s="257"/>
      <c r="AC56" s="99"/>
      <c r="AD56" s="98"/>
    </row>
    <row r="57" spans="2:30" ht="18" customHeight="1" x14ac:dyDescent="0.3">
      <c r="B57" s="98"/>
      <c r="C57" s="109" t="s">
        <v>295</v>
      </c>
      <c r="D57" s="249" t="s">
        <v>320</v>
      </c>
      <c r="E57" s="243"/>
      <c r="F57" s="243"/>
      <c r="G57" s="243"/>
      <c r="H57" s="243"/>
      <c r="I57" s="243"/>
      <c r="J57" s="243"/>
      <c r="K57" s="243"/>
      <c r="L57" s="243"/>
      <c r="M57" s="243"/>
      <c r="N57" s="243"/>
      <c r="O57" s="243"/>
      <c r="P57" s="243"/>
      <c r="Q57" s="243"/>
      <c r="R57" s="243"/>
      <c r="S57" s="243"/>
      <c r="T57" s="243"/>
      <c r="U57" s="243"/>
      <c r="V57" s="243"/>
      <c r="W57" s="243"/>
      <c r="X57" s="243"/>
      <c r="Y57" s="243"/>
      <c r="Z57" s="257"/>
      <c r="AA57" s="257"/>
      <c r="AB57" s="257"/>
      <c r="AC57" s="99"/>
      <c r="AD57" s="98"/>
    </row>
    <row r="58" spans="2:30" ht="18" customHeight="1" x14ac:dyDescent="0.3">
      <c r="B58" s="98"/>
      <c r="C58" s="109" t="s">
        <v>8</v>
      </c>
      <c r="D58" s="240" t="s">
        <v>182</v>
      </c>
      <c r="E58" s="241"/>
      <c r="F58" s="241"/>
      <c r="G58" s="241"/>
      <c r="H58" s="241"/>
      <c r="I58" s="241"/>
      <c r="J58" s="241"/>
      <c r="K58" s="241"/>
      <c r="L58" s="241"/>
      <c r="M58" s="241"/>
      <c r="N58" s="241"/>
      <c r="O58" s="257"/>
      <c r="P58" s="256"/>
      <c r="Q58" s="256"/>
      <c r="R58" s="256"/>
      <c r="S58" s="256"/>
      <c r="T58" s="256"/>
      <c r="U58" s="256"/>
      <c r="V58" s="256"/>
      <c r="W58" s="256"/>
      <c r="X58" s="256"/>
      <c r="Y58" s="256"/>
      <c r="Z58" s="256"/>
      <c r="AA58" s="256"/>
      <c r="AB58" s="256"/>
      <c r="AC58" s="99"/>
      <c r="AD58" s="98"/>
    </row>
    <row r="59" spans="2:30" ht="18" customHeight="1" x14ac:dyDescent="0.3">
      <c r="B59" s="98"/>
      <c r="C59" s="99"/>
      <c r="D59" s="245"/>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8"/>
    </row>
    <row r="60" spans="2:30" ht="18" customHeight="1" x14ac:dyDescent="0.3">
      <c r="B60" s="98"/>
      <c r="C60" s="244" t="s">
        <v>48</v>
      </c>
      <c r="D60" s="240" t="s">
        <v>266</v>
      </c>
      <c r="E60" s="242"/>
      <c r="F60" s="242"/>
      <c r="G60" s="242"/>
      <c r="H60" s="242"/>
      <c r="I60" s="242"/>
      <c r="J60" s="242"/>
      <c r="K60" s="242"/>
      <c r="L60" s="242"/>
      <c r="M60" s="242"/>
      <c r="N60" s="242"/>
      <c r="O60" s="242"/>
      <c r="P60" s="256"/>
      <c r="Q60" s="256"/>
      <c r="R60" s="256"/>
      <c r="S60" s="256"/>
      <c r="T60" s="256"/>
      <c r="U60" s="256"/>
      <c r="V60" s="256"/>
      <c r="W60" s="256"/>
      <c r="X60" s="256"/>
      <c r="Y60" s="256"/>
      <c r="Z60" s="256"/>
      <c r="AA60" s="256"/>
      <c r="AB60" s="256"/>
      <c r="AC60" s="99"/>
      <c r="AD60" s="98"/>
    </row>
    <row r="61" spans="2:30" ht="18" customHeight="1" x14ac:dyDescent="0.3">
      <c r="B61" s="98"/>
      <c r="C61" s="244" t="s">
        <v>49</v>
      </c>
      <c r="D61" s="240" t="s">
        <v>267</v>
      </c>
      <c r="E61" s="242"/>
      <c r="F61" s="242"/>
      <c r="G61" s="242"/>
      <c r="H61" s="242"/>
      <c r="I61" s="242"/>
      <c r="J61" s="242"/>
      <c r="K61" s="242"/>
      <c r="L61" s="242"/>
      <c r="M61" s="242"/>
      <c r="N61" s="256"/>
      <c r="O61" s="256"/>
      <c r="P61" s="256"/>
      <c r="Q61" s="256"/>
      <c r="R61" s="256"/>
      <c r="S61" s="256"/>
      <c r="T61" s="256"/>
      <c r="U61" s="256"/>
      <c r="V61" s="256"/>
      <c r="W61" s="256"/>
      <c r="X61" s="256"/>
      <c r="Y61" s="256"/>
      <c r="Z61" s="256"/>
      <c r="AA61" s="256"/>
      <c r="AB61" s="256"/>
      <c r="AC61" s="99"/>
      <c r="AD61" s="98"/>
    </row>
    <row r="62" spans="2:30" ht="18" customHeight="1" x14ac:dyDescent="0.3">
      <c r="B62" s="98"/>
      <c r="C62" s="244" t="s">
        <v>50</v>
      </c>
      <c r="D62" s="240" t="s">
        <v>268</v>
      </c>
      <c r="E62" s="242"/>
      <c r="F62" s="242"/>
      <c r="G62" s="242"/>
      <c r="H62" s="242"/>
      <c r="I62" s="242"/>
      <c r="J62" s="242"/>
      <c r="K62" s="242"/>
      <c r="L62" s="242"/>
      <c r="M62" s="242"/>
      <c r="N62" s="258"/>
      <c r="O62" s="258"/>
      <c r="P62" s="256"/>
      <c r="Q62" s="256"/>
      <c r="R62" s="256"/>
      <c r="S62" s="256"/>
      <c r="T62" s="256"/>
      <c r="U62" s="256"/>
      <c r="V62" s="256"/>
      <c r="W62" s="256"/>
      <c r="X62" s="256"/>
      <c r="Y62" s="256"/>
      <c r="Z62" s="256"/>
      <c r="AA62" s="256"/>
      <c r="AB62" s="256"/>
      <c r="AC62" s="99"/>
      <c r="AD62" s="98"/>
    </row>
    <row r="63" spans="2:30" ht="18" customHeight="1" x14ac:dyDescent="0.3">
      <c r="B63" s="98"/>
      <c r="C63" s="99"/>
      <c r="D63" s="246"/>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8"/>
    </row>
    <row r="64" spans="2:30" ht="18" customHeight="1" x14ac:dyDescent="0.3">
      <c r="B64" s="98"/>
      <c r="C64" s="173" t="s">
        <v>162</v>
      </c>
      <c r="D64" s="249" t="s">
        <v>283</v>
      </c>
      <c r="E64" s="242"/>
      <c r="F64" s="242"/>
      <c r="G64" s="242"/>
      <c r="H64" s="242"/>
      <c r="I64" s="242"/>
      <c r="J64" s="242"/>
      <c r="K64" s="242"/>
      <c r="L64" s="242"/>
      <c r="M64" s="242"/>
      <c r="N64" s="257"/>
      <c r="O64" s="257"/>
      <c r="P64" s="257"/>
      <c r="Q64" s="257"/>
      <c r="R64" s="257"/>
      <c r="S64" s="257"/>
      <c r="T64" s="257"/>
      <c r="U64" s="256"/>
      <c r="V64" s="256"/>
      <c r="W64" s="256"/>
      <c r="X64" s="256"/>
      <c r="Y64" s="256"/>
      <c r="Z64" s="256"/>
      <c r="AA64" s="256"/>
      <c r="AB64" s="256"/>
      <c r="AC64" s="99"/>
      <c r="AD64" s="98"/>
    </row>
    <row r="65" spans="2:31" ht="18" customHeight="1" x14ac:dyDescent="0.3">
      <c r="B65" s="98"/>
      <c r="C65" s="173" t="s">
        <v>164</v>
      </c>
      <c r="D65" s="249" t="s">
        <v>284</v>
      </c>
      <c r="E65" s="242"/>
      <c r="F65" s="242"/>
      <c r="G65" s="242"/>
      <c r="H65" s="242"/>
      <c r="I65" s="242"/>
      <c r="J65" s="242"/>
      <c r="K65" s="242"/>
      <c r="L65" s="242"/>
      <c r="M65" s="242"/>
      <c r="N65" s="256"/>
      <c r="O65" s="256"/>
      <c r="P65" s="256"/>
      <c r="Q65" s="256"/>
      <c r="R65" s="256"/>
      <c r="S65" s="256"/>
      <c r="T65" s="256"/>
      <c r="U65" s="256"/>
      <c r="V65" s="256"/>
      <c r="W65" s="256"/>
      <c r="X65" s="256"/>
      <c r="Y65" s="256"/>
      <c r="Z65" s="256"/>
      <c r="AA65" s="256"/>
      <c r="AB65" s="256"/>
      <c r="AC65" s="99"/>
      <c r="AD65" s="98"/>
    </row>
    <row r="66" spans="2:31" ht="18" customHeight="1" x14ac:dyDescent="0.3">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8" spans="2:31" ht="18" customHeight="1" x14ac:dyDescent="0.3">
      <c r="B68" s="105"/>
      <c r="C68" s="313" t="s">
        <v>75</v>
      </c>
      <c r="D68" s="313"/>
      <c r="E68" s="313"/>
      <c r="F68" s="105"/>
      <c r="G68" s="107"/>
      <c r="H68" s="107"/>
      <c r="I68" s="107"/>
      <c r="J68" s="98"/>
      <c r="K68" s="98"/>
      <c r="L68" s="98"/>
      <c r="M68" s="98"/>
      <c r="N68" s="98"/>
      <c r="O68" s="98"/>
      <c r="P68" s="98"/>
      <c r="Q68" s="98"/>
      <c r="R68" s="98"/>
      <c r="S68" s="98"/>
      <c r="T68" s="98"/>
      <c r="U68" s="98"/>
      <c r="V68" s="98"/>
      <c r="W68" s="98"/>
      <c r="X68" s="98"/>
      <c r="Y68" s="98"/>
      <c r="Z68" s="98"/>
      <c r="AA68" s="317" t="s">
        <v>307</v>
      </c>
      <c r="AB68" s="317"/>
      <c r="AC68" s="317"/>
      <c r="AD68" s="98"/>
    </row>
    <row r="69" spans="2:31" ht="18" customHeight="1" x14ac:dyDescent="0.3">
      <c r="B69" s="105"/>
      <c r="C69" s="313"/>
      <c r="D69" s="313"/>
      <c r="E69" s="313"/>
      <c r="F69" s="310" t="s">
        <v>209</v>
      </c>
      <c r="G69" s="310"/>
      <c r="H69" s="310"/>
      <c r="I69" s="310"/>
      <c r="J69" s="310"/>
      <c r="K69" s="98"/>
      <c r="L69" s="308" t="s">
        <v>40</v>
      </c>
      <c r="M69" s="308"/>
      <c r="N69" s="308"/>
      <c r="O69" s="308"/>
      <c r="P69" s="308"/>
      <c r="Q69" s="308"/>
      <c r="R69" s="308"/>
      <c r="S69" s="308"/>
      <c r="T69" s="98"/>
      <c r="U69" s="308" t="s">
        <v>265</v>
      </c>
      <c r="V69" s="308"/>
      <c r="W69" s="308"/>
      <c r="X69" s="308"/>
      <c r="Y69" s="308"/>
      <c r="Z69" s="308"/>
      <c r="AA69" s="308"/>
      <c r="AB69" s="308"/>
      <c r="AC69" s="308"/>
      <c r="AD69" s="98"/>
    </row>
    <row r="70" spans="2:31" ht="18" customHeight="1" x14ac:dyDescent="0.3">
      <c r="B70" s="98"/>
      <c r="C70" s="316" t="s">
        <v>285</v>
      </c>
      <c r="D70" s="316"/>
      <c r="E70" s="316"/>
      <c r="F70" s="316"/>
      <c r="G70" s="314" t="s">
        <v>287</v>
      </c>
      <c r="H70" s="314"/>
      <c r="I70" s="314"/>
      <c r="J70" s="314"/>
      <c r="K70" s="98"/>
      <c r="L70" s="309"/>
      <c r="M70" s="309"/>
      <c r="N70" s="309"/>
      <c r="O70" s="309"/>
      <c r="P70" s="309"/>
      <c r="Q70" s="309"/>
      <c r="R70" s="309"/>
      <c r="S70" s="309"/>
      <c r="T70" s="98"/>
      <c r="U70" s="308"/>
      <c r="V70" s="308"/>
      <c r="W70" s="308"/>
      <c r="X70" s="308"/>
      <c r="Y70" s="308"/>
      <c r="Z70" s="308"/>
      <c r="AA70" s="308"/>
      <c r="AB70" s="308"/>
      <c r="AC70" s="308"/>
      <c r="AD70" s="98"/>
    </row>
    <row r="71" spans="2:31" ht="18" customHeight="1" thickBot="1" x14ac:dyDescent="0.35">
      <c r="B71" s="98"/>
      <c r="C71" s="315"/>
      <c r="D71" s="315"/>
      <c r="E71" s="315"/>
      <c r="F71" s="315"/>
      <c r="G71" s="315"/>
      <c r="H71" s="315"/>
      <c r="I71" s="315"/>
      <c r="J71" s="315"/>
      <c r="K71" s="98"/>
      <c r="L71" s="73" t="s">
        <v>32</v>
      </c>
      <c r="M71" s="74" t="s">
        <v>33</v>
      </c>
      <c r="N71" s="76" t="s">
        <v>34</v>
      </c>
      <c r="O71" s="76" t="s">
        <v>38</v>
      </c>
      <c r="P71" s="74" t="s">
        <v>35</v>
      </c>
      <c r="Q71" s="75" t="s">
        <v>36</v>
      </c>
      <c r="R71" s="73" t="s">
        <v>37</v>
      </c>
      <c r="S71" s="76" t="s">
        <v>13</v>
      </c>
      <c r="T71" s="98"/>
      <c r="U71" s="75" t="s">
        <v>298</v>
      </c>
      <c r="V71" s="73" t="s">
        <v>32</v>
      </c>
      <c r="W71" s="74" t="s">
        <v>33</v>
      </c>
      <c r="X71" s="76" t="s">
        <v>34</v>
      </c>
      <c r="Y71" s="76" t="s">
        <v>38</v>
      </c>
      <c r="Z71" s="74" t="s">
        <v>35</v>
      </c>
      <c r="AA71" s="75" t="s">
        <v>36</v>
      </c>
      <c r="AB71" s="73" t="s">
        <v>37</v>
      </c>
      <c r="AC71" s="76" t="s">
        <v>13</v>
      </c>
      <c r="AD71" s="98"/>
    </row>
    <row r="72" spans="2:31" ht="18" customHeight="1" x14ac:dyDescent="0.3">
      <c r="B72" s="98"/>
      <c r="C72" s="157">
        <f ca="1">RANDBETWEEN(1,3)</f>
        <v>1</v>
      </c>
      <c r="D72" s="145" t="s">
        <v>0</v>
      </c>
      <c r="E72" s="16">
        <f ca="1">RANDBETWEEN(4,6)</f>
        <v>5</v>
      </c>
      <c r="F72" s="145" t="s">
        <v>1</v>
      </c>
      <c r="G72" s="3">
        <f ca="1">RANDBETWEEN(7,10)</f>
        <v>8</v>
      </c>
      <c r="H72" s="3" t="s">
        <v>2</v>
      </c>
      <c r="I72" s="83" t="s">
        <v>31</v>
      </c>
      <c r="J72" s="145">
        <f ca="1">RANDBETWEEN(650,900)</f>
        <v>778</v>
      </c>
      <c r="K72" s="104"/>
      <c r="L72" s="77" t="s">
        <v>35</v>
      </c>
      <c r="M72" s="160">
        <f ca="1">C72</f>
        <v>1</v>
      </c>
      <c r="N72" s="150">
        <f ca="1">E72</f>
        <v>5</v>
      </c>
      <c r="O72" s="88">
        <f ca="1">G72</f>
        <v>8</v>
      </c>
      <c r="P72" s="116">
        <v>1</v>
      </c>
      <c r="Q72" s="110">
        <v>0</v>
      </c>
      <c r="R72" s="134">
        <v>0</v>
      </c>
      <c r="S72" s="86">
        <f ca="1">J72</f>
        <v>778</v>
      </c>
      <c r="T72" s="104"/>
      <c r="U72" s="110">
        <v>0</v>
      </c>
      <c r="V72" s="115" t="s">
        <v>43</v>
      </c>
      <c r="W72" s="116">
        <v>0</v>
      </c>
      <c r="X72" s="87" t="s">
        <v>205</v>
      </c>
      <c r="Y72" s="134">
        <v>0</v>
      </c>
      <c r="Z72" s="116">
        <v>1</v>
      </c>
      <c r="AA72" s="150" t="s">
        <v>205</v>
      </c>
      <c r="AB72" s="153" t="s">
        <v>205</v>
      </c>
      <c r="AC72" s="86">
        <f ca="1">ROUND((J72-((J74/G74)*G72))-(((J73-((J74/G74)*G73))/(C73-((C74/G74)*G73)))*(C72-((C74/G74)*G72))),2)</f>
        <v>395.44</v>
      </c>
      <c r="AD72" s="98"/>
    </row>
    <row r="73" spans="2:31" ht="18" customHeight="1" x14ac:dyDescent="0.3">
      <c r="B73" s="98"/>
      <c r="C73" s="136">
        <v>3</v>
      </c>
      <c r="D73" s="144" t="s">
        <v>0</v>
      </c>
      <c r="E73" s="159">
        <f ca="1">RANDBETWEEN(3,5)</f>
        <v>4</v>
      </c>
      <c r="F73" s="144" t="s">
        <v>1</v>
      </c>
      <c r="G73" s="143">
        <f ca="1">RANDBETWEEN(1,3)</f>
        <v>2</v>
      </c>
      <c r="H73" s="143" t="s">
        <v>2</v>
      </c>
      <c r="I73" s="84" t="s">
        <v>31</v>
      </c>
      <c r="J73" s="144">
        <f ca="1">RANDBETWEEN(200,400)</f>
        <v>278</v>
      </c>
      <c r="K73" s="104"/>
      <c r="L73" s="146" t="s">
        <v>36</v>
      </c>
      <c r="M73" s="129">
        <f>C73</f>
        <v>3</v>
      </c>
      <c r="N73" s="90">
        <f ca="1">E73</f>
        <v>4</v>
      </c>
      <c r="O73" s="91">
        <f ca="1">G73</f>
        <v>2</v>
      </c>
      <c r="P73" s="129">
        <v>0</v>
      </c>
      <c r="Q73" s="111">
        <v>1</v>
      </c>
      <c r="R73" s="132">
        <v>0</v>
      </c>
      <c r="S73" s="89">
        <f ca="1">J73</f>
        <v>278</v>
      </c>
      <c r="T73" s="104"/>
      <c r="U73" s="149">
        <f ca="1">C75</f>
        <v>34</v>
      </c>
      <c r="V73" s="114" t="s">
        <v>41</v>
      </c>
      <c r="W73" s="129">
        <v>1</v>
      </c>
      <c r="X73" s="90" t="s">
        <v>205</v>
      </c>
      <c r="Y73" s="132">
        <v>0</v>
      </c>
      <c r="Z73" s="129">
        <v>0</v>
      </c>
      <c r="AA73" s="149" t="s">
        <v>205</v>
      </c>
      <c r="AB73" s="154" t="s">
        <v>205</v>
      </c>
      <c r="AC73" s="89">
        <f ca="1">ROUND((J73-((J74/G74)*G73))/(C73-((C74/G74)*G73)),2)</f>
        <v>66.31</v>
      </c>
      <c r="AD73" s="98"/>
    </row>
    <row r="74" spans="2:31" ht="18" customHeight="1" thickBot="1" x14ac:dyDescent="0.35">
      <c r="B74" s="98"/>
      <c r="C74" s="158">
        <f ca="1">RANDBETWEEN(3,5)</f>
        <v>5</v>
      </c>
      <c r="D74" s="144" t="s">
        <v>0</v>
      </c>
      <c r="E74" s="156">
        <v>8</v>
      </c>
      <c r="F74" s="144" t="s">
        <v>1</v>
      </c>
      <c r="G74" s="143">
        <f ca="1">RANDBETWEEN(14,15)</f>
        <v>14</v>
      </c>
      <c r="H74" s="143" t="s">
        <v>2</v>
      </c>
      <c r="I74" s="84" t="s">
        <v>31</v>
      </c>
      <c r="J74" s="144">
        <f ca="1">RANDBETWEEN(700,900)</f>
        <v>885</v>
      </c>
      <c r="K74" s="104"/>
      <c r="L74" s="73" t="s">
        <v>37</v>
      </c>
      <c r="M74" s="161">
        <f ca="1">C74</f>
        <v>5</v>
      </c>
      <c r="N74" s="131">
        <f>E74</f>
        <v>8</v>
      </c>
      <c r="O74" s="94">
        <f ca="1">G74</f>
        <v>14</v>
      </c>
      <c r="P74" s="130">
        <v>0</v>
      </c>
      <c r="Q74" s="131">
        <v>0</v>
      </c>
      <c r="R74" s="133">
        <v>1</v>
      </c>
      <c r="S74" s="92">
        <f ca="1">J74</f>
        <v>885</v>
      </c>
      <c r="T74" s="104"/>
      <c r="U74" s="147">
        <f ca="1">G75</f>
        <v>80</v>
      </c>
      <c r="V74" s="113" t="s">
        <v>55</v>
      </c>
      <c r="W74" s="130">
        <v>0</v>
      </c>
      <c r="X74" s="93" t="s">
        <v>205</v>
      </c>
      <c r="Y74" s="133">
        <v>1</v>
      </c>
      <c r="Z74" s="130">
        <v>0</v>
      </c>
      <c r="AA74" s="151" t="s">
        <v>205</v>
      </c>
      <c r="AB74" s="155" t="s">
        <v>205</v>
      </c>
      <c r="AC74" s="92">
        <f ca="1">ROUND((J74/G74)-((J73-((J74/G74)*G73))/(C73-((C74/G74)*G73))*(C74/G74)),2)</f>
        <v>39.53</v>
      </c>
      <c r="AD74" s="98"/>
    </row>
    <row r="75" spans="2:31" ht="18" customHeight="1" thickTop="1" x14ac:dyDescent="0.3">
      <c r="B75" s="98"/>
      <c r="C75" s="80">
        <f ca="1">RANDBETWEEN(30,35)</f>
        <v>34</v>
      </c>
      <c r="D75" s="81" t="s">
        <v>0</v>
      </c>
      <c r="E75" s="137">
        <v>40</v>
      </c>
      <c r="F75" s="81" t="s">
        <v>1</v>
      </c>
      <c r="G75" s="82">
        <f ca="1">RANDBETWEEN(75,82)</f>
        <v>80</v>
      </c>
      <c r="H75" s="82" t="s">
        <v>2</v>
      </c>
      <c r="I75" s="85" t="s">
        <v>6</v>
      </c>
      <c r="J75" s="81" t="s">
        <v>7</v>
      </c>
      <c r="K75" s="104"/>
      <c r="L75" s="78" t="s">
        <v>8</v>
      </c>
      <c r="M75" s="95">
        <f ca="1">C75*(-1)</f>
        <v>-34</v>
      </c>
      <c r="N75" s="138">
        <f>E75*(-1)</f>
        <v>-40</v>
      </c>
      <c r="O75" s="97">
        <f ca="1">G75*(-1)</f>
        <v>-80</v>
      </c>
      <c r="P75" s="116">
        <v>0</v>
      </c>
      <c r="Q75" s="110">
        <v>0</v>
      </c>
      <c r="R75" s="134">
        <v>0</v>
      </c>
      <c r="S75" s="139">
        <v>0</v>
      </c>
      <c r="T75" s="104"/>
      <c r="U75" s="311" t="s">
        <v>8</v>
      </c>
      <c r="V75" s="312"/>
      <c r="W75" s="112">
        <v>0</v>
      </c>
      <c r="X75" s="96">
        <f ca="1">ROUND((C75*((E73-((E74/G74)*G73))/(C73-((C74/G74)*G73)))+G75*((E74/G74)-(((E73-((E74/G74)*G73))/(C73-((C74/G74)*G73)))*(C74/G74))))-E75,2)</f>
        <v>12.5</v>
      </c>
      <c r="Y75" s="152">
        <v>0</v>
      </c>
      <c r="Z75" s="116">
        <v>0</v>
      </c>
      <c r="AA75" s="150">
        <f ca="1">ROUND((C75*(1/(C73-((C74/G74)*G73))))+(G75*(0-(1/(C73-((C74/G74)*G73)))*(C74/G74))),2)</f>
        <v>2.38</v>
      </c>
      <c r="AB75" s="88">
        <f ca="1">ROUND((C75*((0-(G73*(1/G74)))/(C73-((C74/G74)*G73))))+(G75*((1/G74)-(((0-((1/G74)*G73))/(C73-((C74/G74)*G73)))*(C74/G74)))),2)</f>
        <v>5.38</v>
      </c>
      <c r="AC75" s="79">
        <f ca="1">ROUND((C75*((J73-((J74/G74)*G73))/(C73-((C74/G74)*G73))))+(G75*((J74/G74)-((J73-((J74/G74)*G73))/(C73-((C74/G74)*G73))*(C74/G74)))),2)</f>
        <v>5417.13</v>
      </c>
      <c r="AD75" s="98"/>
      <c r="AE75" s="70"/>
    </row>
    <row r="76" spans="2:31" ht="18" customHeight="1" x14ac:dyDescent="0.3">
      <c r="B76" s="117"/>
      <c r="C76" s="304" t="s">
        <v>187</v>
      </c>
      <c r="D76" s="304"/>
      <c r="E76" s="304"/>
      <c r="F76" s="117"/>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98"/>
    </row>
    <row r="77" spans="2:31" ht="18" customHeight="1" thickBot="1" x14ac:dyDescent="0.35">
      <c r="B77" s="117"/>
      <c r="C77" s="304"/>
      <c r="D77" s="304"/>
      <c r="E77" s="304"/>
      <c r="F77" s="99"/>
      <c r="G77" s="99"/>
      <c r="H77" s="109"/>
      <c r="I77" s="109"/>
      <c r="J77" s="98"/>
      <c r="K77" s="122"/>
      <c r="L77" s="118" t="s">
        <v>45</v>
      </c>
      <c r="M77" s="119" t="s">
        <v>44</v>
      </c>
      <c r="N77" s="104"/>
      <c r="O77" s="122"/>
      <c r="P77" s="118" t="s">
        <v>45</v>
      </c>
      <c r="Q77" s="119" t="s">
        <v>44</v>
      </c>
      <c r="R77" s="104"/>
      <c r="S77" s="122"/>
      <c r="T77" s="118" t="s">
        <v>45</v>
      </c>
      <c r="U77" s="119" t="s">
        <v>44</v>
      </c>
      <c r="V77" s="98"/>
      <c r="W77" s="122"/>
      <c r="X77" s="118" t="s">
        <v>45</v>
      </c>
      <c r="Y77" s="119" t="s">
        <v>44</v>
      </c>
      <c r="Z77" s="98"/>
      <c r="AA77" s="122"/>
      <c r="AB77" s="118" t="s">
        <v>45</v>
      </c>
      <c r="AC77" s="119" t="s">
        <v>44</v>
      </c>
      <c r="AD77" s="98"/>
    </row>
    <row r="78" spans="2:31" ht="18" customHeight="1" x14ac:dyDescent="0.3">
      <c r="B78" s="98"/>
      <c r="C78" s="123"/>
      <c r="D78" s="123"/>
      <c r="E78" s="123"/>
      <c r="F78" s="99"/>
      <c r="G78" s="99"/>
      <c r="H78" s="109"/>
      <c r="I78" s="108"/>
      <c r="J78" s="98"/>
      <c r="K78" s="121" t="s">
        <v>72</v>
      </c>
      <c r="L78" s="162">
        <v>1</v>
      </c>
      <c r="M78" s="163">
        <v>3</v>
      </c>
      <c r="N78" s="106"/>
      <c r="O78" s="121" t="s">
        <v>76</v>
      </c>
      <c r="P78" s="140">
        <v>3</v>
      </c>
      <c r="Q78" s="141">
        <v>3</v>
      </c>
      <c r="R78" s="104"/>
      <c r="S78" s="121" t="s">
        <v>79</v>
      </c>
      <c r="T78" s="162">
        <v>3</v>
      </c>
      <c r="U78" s="163">
        <v>5</v>
      </c>
      <c r="V78" s="98"/>
      <c r="W78" s="121" t="s">
        <v>82</v>
      </c>
      <c r="X78" s="124">
        <v>650</v>
      </c>
      <c r="Y78" s="125">
        <v>900</v>
      </c>
      <c r="Z78" s="98"/>
      <c r="AA78" s="121" t="s">
        <v>85</v>
      </c>
      <c r="AB78" s="124">
        <v>30</v>
      </c>
      <c r="AC78" s="125">
        <v>35</v>
      </c>
      <c r="AD78" s="98"/>
    </row>
    <row r="79" spans="2:31" ht="18" customHeight="1" x14ac:dyDescent="0.3">
      <c r="B79" s="98"/>
      <c r="C79" s="123" t="s">
        <v>51</v>
      </c>
      <c r="D79" s="123"/>
      <c r="E79" s="123"/>
      <c r="F79" s="148">
        <f>(M79-L79+1)*(M80-L80+1)*(Q79-P79+1)*(Q80-P80+1)*(U79-T79+1)*(U80-T80+1)*(Y78-X78+1)*(Y79-X79+1)*(Y80-X80+1)*(AC78-AB78+1)*(AC79-AB79+1)*(AC80-AB80+1)*(U78-T78+1)*(Q78-P78+1)*(M78-L78+1)</f>
        <v>946244426112</v>
      </c>
      <c r="G79" s="99"/>
      <c r="H79" s="109"/>
      <c r="I79" s="108"/>
      <c r="J79" s="98"/>
      <c r="K79" s="120" t="s">
        <v>73</v>
      </c>
      <c r="L79" s="162">
        <v>4</v>
      </c>
      <c r="M79" s="163">
        <v>6</v>
      </c>
      <c r="N79" s="106"/>
      <c r="O79" s="109" t="s">
        <v>77</v>
      </c>
      <c r="P79" s="124">
        <v>3</v>
      </c>
      <c r="Q79" s="125">
        <v>5</v>
      </c>
      <c r="R79" s="104"/>
      <c r="S79" s="109" t="s">
        <v>80</v>
      </c>
      <c r="T79" s="140">
        <v>8</v>
      </c>
      <c r="U79" s="141">
        <v>8</v>
      </c>
      <c r="V79" s="98"/>
      <c r="W79" s="109" t="s">
        <v>83</v>
      </c>
      <c r="X79" s="124">
        <v>200</v>
      </c>
      <c r="Y79" s="125">
        <v>400</v>
      </c>
      <c r="Z79" s="98"/>
      <c r="AA79" s="109" t="s">
        <v>86</v>
      </c>
      <c r="AB79" s="140">
        <v>40</v>
      </c>
      <c r="AC79" s="141">
        <v>40</v>
      </c>
      <c r="AD79" s="98"/>
    </row>
    <row r="80" spans="2:31" ht="18" customHeight="1" x14ac:dyDescent="0.3">
      <c r="B80" s="98"/>
      <c r="C80" s="259" t="s">
        <v>181</v>
      </c>
      <c r="D80" s="123"/>
      <c r="E80" s="123"/>
      <c r="F80" s="99"/>
      <c r="G80" s="99"/>
      <c r="H80" s="109"/>
      <c r="I80" s="108"/>
      <c r="J80" s="98"/>
      <c r="K80" s="120" t="s">
        <v>74</v>
      </c>
      <c r="L80" s="124">
        <v>7</v>
      </c>
      <c r="M80" s="125">
        <v>10</v>
      </c>
      <c r="N80" s="106"/>
      <c r="O80" s="109" t="s">
        <v>78</v>
      </c>
      <c r="P80" s="124">
        <v>1</v>
      </c>
      <c r="Q80" s="125">
        <v>3</v>
      </c>
      <c r="R80" s="104"/>
      <c r="S80" s="109" t="s">
        <v>81</v>
      </c>
      <c r="T80" s="124">
        <v>14</v>
      </c>
      <c r="U80" s="125">
        <v>15</v>
      </c>
      <c r="V80" s="98"/>
      <c r="W80" s="109" t="s">
        <v>84</v>
      </c>
      <c r="X80" s="124">
        <v>700</v>
      </c>
      <c r="Y80" s="125">
        <v>900</v>
      </c>
      <c r="Z80" s="98"/>
      <c r="AA80" s="109" t="s">
        <v>87</v>
      </c>
      <c r="AB80" s="124">
        <v>75</v>
      </c>
      <c r="AC80" s="125">
        <v>82</v>
      </c>
      <c r="AD80" s="98"/>
    </row>
    <row r="81" spans="2:30" ht="18" customHeight="1" x14ac:dyDescent="0.3">
      <c r="B81" s="117"/>
      <c r="C81" s="303" t="s">
        <v>46</v>
      </c>
      <c r="D81" s="303"/>
      <c r="E81" s="303"/>
      <c r="F81" s="117"/>
      <c r="G81" s="117"/>
      <c r="H81" s="104"/>
      <c r="I81" s="104"/>
      <c r="J81" s="104"/>
      <c r="K81" s="104"/>
      <c r="L81" s="104"/>
      <c r="M81" s="104"/>
      <c r="N81" s="104"/>
      <c r="O81" s="104"/>
      <c r="P81" s="104"/>
      <c r="Q81" s="104"/>
      <c r="R81" s="104"/>
      <c r="S81" s="104"/>
      <c r="T81" s="104"/>
      <c r="U81" s="104"/>
      <c r="V81" s="104"/>
      <c r="W81" s="104"/>
      <c r="X81" s="104"/>
      <c r="Y81" s="104"/>
      <c r="Z81" s="104"/>
      <c r="AA81" s="104"/>
      <c r="AB81" s="104"/>
      <c r="AC81" s="104"/>
      <c r="AD81" s="98"/>
    </row>
    <row r="82" spans="2:30" ht="18" customHeight="1" x14ac:dyDescent="0.3">
      <c r="B82" s="117"/>
      <c r="C82" s="303"/>
      <c r="D82" s="303"/>
      <c r="E82" s="303"/>
      <c r="F82" s="108"/>
      <c r="G82" s="108"/>
      <c r="H82" s="109"/>
      <c r="I82" s="109"/>
      <c r="J82" s="109"/>
      <c r="K82" s="109"/>
      <c r="L82" s="109"/>
      <c r="M82" s="109"/>
      <c r="N82" s="109"/>
      <c r="O82" s="109"/>
      <c r="P82" s="109"/>
      <c r="Q82" s="109"/>
      <c r="R82" s="109"/>
      <c r="S82" s="109"/>
      <c r="T82" s="109"/>
      <c r="U82" s="109"/>
      <c r="V82" s="109"/>
      <c r="W82" s="109"/>
      <c r="X82" s="109"/>
      <c r="Y82" s="109"/>
      <c r="Z82" s="109"/>
      <c r="AA82" s="109"/>
      <c r="AB82" s="109"/>
      <c r="AC82" s="109"/>
      <c r="AD82" s="98"/>
    </row>
    <row r="83" spans="2:30" ht="18" customHeight="1" x14ac:dyDescent="0.3">
      <c r="B83" s="104"/>
      <c r="C83" s="109" t="s">
        <v>52</v>
      </c>
      <c r="D83" s="250">
        <v>0</v>
      </c>
      <c r="E83" s="250"/>
      <c r="F83" s="250"/>
      <c r="G83" s="250"/>
      <c r="H83" s="250"/>
      <c r="I83" s="254"/>
      <c r="J83" s="254"/>
      <c r="K83" s="254"/>
      <c r="L83" s="254"/>
      <c r="M83" s="254"/>
      <c r="N83" s="254"/>
      <c r="O83" s="254"/>
      <c r="P83" s="254"/>
      <c r="Q83" s="254"/>
      <c r="R83" s="254"/>
      <c r="S83" s="254"/>
      <c r="T83" s="254"/>
      <c r="U83" s="254"/>
      <c r="V83" s="254"/>
      <c r="W83" s="254"/>
      <c r="X83" s="254"/>
      <c r="Y83" s="254"/>
      <c r="Z83" s="125"/>
      <c r="AA83" s="125"/>
      <c r="AB83" s="125"/>
      <c r="AC83" s="109"/>
      <c r="AD83" s="98"/>
    </row>
    <row r="84" spans="2:30" ht="18" customHeight="1" x14ac:dyDescent="0.3">
      <c r="B84" s="104"/>
      <c r="C84" s="109" t="s">
        <v>53</v>
      </c>
      <c r="D84" s="250" t="s">
        <v>190</v>
      </c>
      <c r="E84" s="250"/>
      <c r="F84" s="250"/>
      <c r="G84" s="250"/>
      <c r="H84" s="250"/>
      <c r="I84" s="250"/>
      <c r="J84" s="250"/>
      <c r="K84" s="250"/>
      <c r="L84" s="250"/>
      <c r="M84" s="250"/>
      <c r="N84" s="250"/>
      <c r="O84" s="250"/>
      <c r="P84" s="250"/>
      <c r="Q84" s="250"/>
      <c r="R84" s="250"/>
      <c r="S84" s="250"/>
      <c r="T84" s="250"/>
      <c r="U84" s="250"/>
      <c r="V84" s="250"/>
      <c r="W84" s="250"/>
      <c r="X84" s="250"/>
      <c r="Y84" s="250"/>
      <c r="Z84" s="227"/>
      <c r="AA84" s="227"/>
      <c r="AB84" s="125"/>
      <c r="AC84" s="109"/>
      <c r="AD84" s="98"/>
    </row>
    <row r="85" spans="2:30" ht="18" customHeight="1" x14ac:dyDescent="0.3">
      <c r="B85" s="104"/>
      <c r="C85" s="109" t="s">
        <v>54</v>
      </c>
      <c r="D85" s="250">
        <v>0</v>
      </c>
      <c r="E85" s="250"/>
      <c r="F85" s="250"/>
      <c r="G85" s="250"/>
      <c r="H85" s="250"/>
      <c r="I85" s="250"/>
      <c r="J85" s="254"/>
      <c r="K85" s="254"/>
      <c r="L85" s="254"/>
      <c r="M85" s="254"/>
      <c r="N85" s="254"/>
      <c r="O85" s="254"/>
      <c r="P85" s="254"/>
      <c r="Q85" s="254"/>
      <c r="R85" s="254"/>
      <c r="S85" s="254"/>
      <c r="T85" s="254"/>
      <c r="U85" s="254"/>
      <c r="V85" s="254"/>
      <c r="W85" s="254"/>
      <c r="X85" s="254"/>
      <c r="Y85" s="254"/>
      <c r="Z85" s="125"/>
      <c r="AA85" s="125"/>
      <c r="AB85" s="125"/>
      <c r="AC85" s="109"/>
      <c r="AD85" s="98"/>
    </row>
    <row r="86" spans="2:30" ht="18" customHeight="1" x14ac:dyDescent="0.3">
      <c r="B86" s="104"/>
      <c r="C86" s="109" t="s">
        <v>218</v>
      </c>
      <c r="D86" s="250">
        <v>0</v>
      </c>
      <c r="E86" s="250"/>
      <c r="F86" s="254"/>
      <c r="G86" s="254"/>
      <c r="H86" s="254"/>
      <c r="I86" s="254"/>
      <c r="J86" s="254"/>
      <c r="K86" s="254"/>
      <c r="L86" s="254"/>
      <c r="M86" s="254"/>
      <c r="N86" s="254"/>
      <c r="O86" s="254"/>
      <c r="P86" s="254"/>
      <c r="Q86" s="254"/>
      <c r="R86" s="254"/>
      <c r="S86" s="254"/>
      <c r="T86" s="254"/>
      <c r="U86" s="254"/>
      <c r="V86" s="254"/>
      <c r="W86" s="254"/>
      <c r="X86" s="254"/>
      <c r="Y86" s="254"/>
      <c r="Z86" s="125"/>
      <c r="AA86" s="125"/>
      <c r="AB86" s="125"/>
      <c r="AC86" s="109"/>
      <c r="AD86" s="98"/>
    </row>
    <row r="87" spans="2:30" ht="18" customHeight="1" x14ac:dyDescent="0.3">
      <c r="B87" s="104"/>
      <c r="C87" s="109" t="s">
        <v>219</v>
      </c>
      <c r="D87" s="250" t="s">
        <v>191</v>
      </c>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125"/>
      <c r="AC87" s="109"/>
      <c r="AD87" s="98"/>
    </row>
    <row r="88" spans="2:30" ht="18" customHeight="1" x14ac:dyDescent="0.3">
      <c r="B88" s="104"/>
      <c r="C88" s="109" t="s">
        <v>220</v>
      </c>
      <c r="D88" s="250" t="s">
        <v>192</v>
      </c>
      <c r="E88" s="250"/>
      <c r="F88" s="250"/>
      <c r="G88" s="250"/>
      <c r="H88" s="250"/>
      <c r="I88" s="250"/>
      <c r="J88" s="250"/>
      <c r="K88" s="250"/>
      <c r="L88" s="250"/>
      <c r="M88" s="250"/>
      <c r="N88" s="250"/>
      <c r="O88" s="250"/>
      <c r="P88" s="250"/>
      <c r="Q88" s="250"/>
      <c r="R88" s="250"/>
      <c r="S88" s="250"/>
      <c r="T88" s="250"/>
      <c r="U88" s="250"/>
      <c r="V88" s="250"/>
      <c r="W88" s="250"/>
      <c r="X88" s="250"/>
      <c r="Y88" s="254"/>
      <c r="Z88" s="125"/>
      <c r="AA88" s="256"/>
      <c r="AB88" s="256"/>
      <c r="AC88" s="99"/>
      <c r="AD88" s="98"/>
    </row>
    <row r="89" spans="2:30" ht="18" customHeight="1" x14ac:dyDescent="0.3">
      <c r="B89" s="104"/>
      <c r="C89" s="109" t="s">
        <v>8</v>
      </c>
      <c r="D89" s="250" t="s">
        <v>193</v>
      </c>
      <c r="E89" s="250"/>
      <c r="F89" s="250"/>
      <c r="G89" s="250"/>
      <c r="H89" s="250"/>
      <c r="I89" s="250"/>
      <c r="J89" s="250"/>
      <c r="K89" s="250"/>
      <c r="L89" s="250"/>
      <c r="M89" s="250"/>
      <c r="N89" s="250"/>
      <c r="O89" s="250"/>
      <c r="P89" s="250"/>
      <c r="Q89" s="250"/>
      <c r="R89" s="250"/>
      <c r="S89" s="250"/>
      <c r="T89" s="250"/>
      <c r="U89" s="250"/>
      <c r="V89" s="250"/>
      <c r="W89" s="250"/>
      <c r="X89" s="250"/>
      <c r="Y89" s="250"/>
      <c r="Z89" s="227"/>
      <c r="AA89" s="256"/>
      <c r="AB89" s="256"/>
      <c r="AC89" s="99"/>
      <c r="AD89" s="98"/>
    </row>
    <row r="90" spans="2:30" ht="18" customHeight="1" x14ac:dyDescent="0.3">
      <c r="B90" s="104"/>
      <c r="C90" s="99"/>
      <c r="D90" s="167"/>
      <c r="E90" s="253"/>
      <c r="F90" s="253"/>
      <c r="G90" s="253"/>
      <c r="H90" s="253"/>
      <c r="I90" s="253"/>
      <c r="J90" s="253"/>
      <c r="K90" s="253"/>
      <c r="L90" s="253"/>
      <c r="M90" s="253"/>
      <c r="N90" s="253"/>
      <c r="O90" s="253"/>
      <c r="P90" s="253"/>
      <c r="Q90" s="253"/>
      <c r="R90" s="253"/>
      <c r="S90" s="253"/>
      <c r="T90" s="253"/>
      <c r="U90" s="253"/>
      <c r="V90" s="253"/>
      <c r="W90" s="253"/>
      <c r="X90" s="253"/>
      <c r="Y90" s="253"/>
      <c r="Z90" s="99"/>
      <c r="AA90" s="99"/>
      <c r="AB90" s="99"/>
      <c r="AC90" s="99"/>
      <c r="AD90" s="98"/>
    </row>
    <row r="91" spans="2:30" ht="18" customHeight="1" x14ac:dyDescent="0.3">
      <c r="B91" s="104"/>
      <c r="C91" s="244" t="s">
        <v>48</v>
      </c>
      <c r="D91" s="250" t="s">
        <v>272</v>
      </c>
      <c r="E91" s="250"/>
      <c r="F91" s="250"/>
      <c r="G91" s="250"/>
      <c r="H91" s="250"/>
      <c r="I91" s="250"/>
      <c r="J91" s="250"/>
      <c r="K91" s="250"/>
      <c r="L91" s="250"/>
      <c r="M91" s="250"/>
      <c r="N91" s="250"/>
      <c r="O91" s="250"/>
      <c r="P91" s="250"/>
      <c r="Q91" s="250"/>
      <c r="R91" s="250"/>
      <c r="S91" s="250"/>
      <c r="T91" s="250"/>
      <c r="U91" s="250"/>
      <c r="V91" s="254"/>
      <c r="W91" s="254"/>
      <c r="X91" s="254"/>
      <c r="Y91" s="254"/>
      <c r="Z91" s="256"/>
      <c r="AA91" s="256"/>
      <c r="AB91" s="256"/>
      <c r="AC91" s="99"/>
      <c r="AD91" s="98"/>
    </row>
    <row r="92" spans="2:30" ht="18" customHeight="1" x14ac:dyDescent="0.3">
      <c r="B92" s="104"/>
      <c r="C92" s="244" t="s">
        <v>49</v>
      </c>
      <c r="D92" s="250" t="s">
        <v>273</v>
      </c>
      <c r="E92" s="250"/>
      <c r="F92" s="250"/>
      <c r="G92" s="250"/>
      <c r="H92" s="250"/>
      <c r="I92" s="250"/>
      <c r="J92" s="250"/>
      <c r="K92" s="250"/>
      <c r="L92" s="250"/>
      <c r="M92" s="250"/>
      <c r="N92" s="250"/>
      <c r="O92" s="250"/>
      <c r="P92" s="250"/>
      <c r="Q92" s="250"/>
      <c r="R92" s="254"/>
      <c r="S92" s="254"/>
      <c r="T92" s="254"/>
      <c r="U92" s="254"/>
      <c r="V92" s="254"/>
      <c r="W92" s="254"/>
      <c r="X92" s="254"/>
      <c r="Y92" s="254"/>
      <c r="Z92" s="256"/>
      <c r="AA92" s="256"/>
      <c r="AB92" s="256"/>
      <c r="AC92" s="99"/>
      <c r="AD92" s="98"/>
    </row>
    <row r="93" spans="2:30" ht="18" customHeight="1" x14ac:dyDescent="0.3">
      <c r="B93" s="104"/>
      <c r="C93" s="244" t="s">
        <v>50</v>
      </c>
      <c r="D93" s="250" t="s">
        <v>274</v>
      </c>
      <c r="E93" s="250"/>
      <c r="F93" s="250"/>
      <c r="G93" s="250"/>
      <c r="H93" s="250"/>
      <c r="I93" s="250"/>
      <c r="J93" s="250"/>
      <c r="K93" s="250"/>
      <c r="L93" s="250"/>
      <c r="M93" s="250"/>
      <c r="N93" s="250"/>
      <c r="O93" s="250"/>
      <c r="P93" s="250"/>
      <c r="Q93" s="250"/>
      <c r="R93" s="254"/>
      <c r="S93" s="254"/>
      <c r="T93" s="254"/>
      <c r="U93" s="254"/>
      <c r="V93" s="254"/>
      <c r="W93" s="254"/>
      <c r="X93" s="254"/>
      <c r="Y93" s="254"/>
      <c r="Z93" s="256"/>
      <c r="AA93" s="256"/>
      <c r="AB93" s="256"/>
      <c r="AC93" s="99"/>
      <c r="AD93" s="98"/>
    </row>
    <row r="94" spans="2:30" ht="18" customHeight="1" x14ac:dyDescent="0.3">
      <c r="B94" s="104"/>
      <c r="C94" s="109"/>
      <c r="D94" s="167"/>
      <c r="E94" s="167"/>
      <c r="F94" s="167"/>
      <c r="G94" s="167"/>
      <c r="H94" s="167"/>
      <c r="I94" s="167"/>
      <c r="J94" s="167"/>
      <c r="K94" s="167"/>
      <c r="L94" s="167"/>
      <c r="M94" s="167"/>
      <c r="N94" s="167"/>
      <c r="O94" s="167"/>
      <c r="P94" s="167"/>
      <c r="Q94" s="167"/>
      <c r="R94" s="253"/>
      <c r="S94" s="253"/>
      <c r="T94" s="253"/>
      <c r="U94" s="253"/>
      <c r="V94" s="253"/>
      <c r="W94" s="253"/>
      <c r="X94" s="253"/>
      <c r="Y94" s="253"/>
      <c r="Z94" s="99"/>
      <c r="AA94" s="99"/>
      <c r="AB94" s="99"/>
      <c r="AC94" s="99"/>
      <c r="AD94" s="98"/>
    </row>
    <row r="95" spans="2:30" ht="18" customHeight="1" x14ac:dyDescent="0.3">
      <c r="B95" s="104"/>
      <c r="C95" s="173" t="s">
        <v>163</v>
      </c>
      <c r="D95" s="250" t="s">
        <v>81</v>
      </c>
      <c r="E95" s="250"/>
      <c r="F95" s="250"/>
      <c r="G95" s="250"/>
      <c r="H95" s="250"/>
      <c r="I95" s="250"/>
      <c r="J95" s="250"/>
      <c r="K95" s="250"/>
      <c r="L95" s="250"/>
      <c r="M95" s="250"/>
      <c r="N95" s="250"/>
      <c r="O95" s="250"/>
      <c r="P95" s="250"/>
      <c r="Q95" s="250"/>
      <c r="R95" s="250"/>
      <c r="S95" s="250"/>
      <c r="T95" s="250"/>
      <c r="U95" s="254"/>
      <c r="V95" s="254"/>
      <c r="W95" s="254"/>
      <c r="X95" s="254"/>
      <c r="Y95" s="254"/>
      <c r="Z95" s="256"/>
      <c r="AA95" s="256"/>
      <c r="AB95" s="256"/>
      <c r="AC95" s="99"/>
      <c r="AD95" s="98"/>
    </row>
    <row r="96" spans="2:30" ht="18" customHeight="1" x14ac:dyDescent="0.3">
      <c r="B96" s="104"/>
      <c r="C96" s="173" t="s">
        <v>165</v>
      </c>
      <c r="D96" s="250" t="s">
        <v>194</v>
      </c>
      <c r="E96" s="250"/>
      <c r="F96" s="250"/>
      <c r="G96" s="250"/>
      <c r="H96" s="250"/>
      <c r="I96" s="250"/>
      <c r="J96" s="250"/>
      <c r="K96" s="250"/>
      <c r="L96" s="250"/>
      <c r="M96" s="250"/>
      <c r="N96" s="250"/>
      <c r="O96" s="250"/>
      <c r="P96" s="250"/>
      <c r="Q96" s="250"/>
      <c r="R96" s="254"/>
      <c r="S96" s="254"/>
      <c r="T96" s="254"/>
      <c r="U96" s="254"/>
      <c r="V96" s="254"/>
      <c r="W96" s="254"/>
      <c r="X96" s="254"/>
      <c r="Y96" s="254"/>
      <c r="Z96" s="256"/>
      <c r="AA96" s="256"/>
      <c r="AB96" s="256"/>
      <c r="AC96" s="99"/>
      <c r="AD96" s="98"/>
    </row>
    <row r="97" spans="2:30" ht="18" customHeight="1" x14ac:dyDescent="0.3">
      <c r="B97" s="117"/>
      <c r="C97" s="303" t="s">
        <v>188</v>
      </c>
      <c r="D97" s="303"/>
      <c r="E97" s="303"/>
      <c r="F97" s="117"/>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2:30" ht="18" customHeight="1" x14ac:dyDescent="0.3">
      <c r="B98" s="117"/>
      <c r="C98" s="303"/>
      <c r="D98" s="303"/>
      <c r="E98" s="303"/>
      <c r="F98" s="108"/>
      <c r="G98" s="99"/>
      <c r="H98" s="99"/>
      <c r="I98" s="99"/>
      <c r="J98" s="99"/>
      <c r="K98" s="99"/>
      <c r="L98" s="99"/>
      <c r="M98" s="99"/>
      <c r="N98" s="99"/>
      <c r="O98" s="99"/>
      <c r="P98" s="99"/>
      <c r="Q98" s="99"/>
      <c r="R98" s="99"/>
      <c r="S98" s="99"/>
      <c r="T98" s="99"/>
      <c r="U98" s="99"/>
      <c r="V98" s="99"/>
      <c r="W98" s="99"/>
      <c r="X98" s="99"/>
      <c r="Y98" s="99"/>
      <c r="Z98" s="99"/>
      <c r="AA98" s="99"/>
      <c r="AB98" s="99"/>
      <c r="AC98" s="99"/>
      <c r="AD98" s="98"/>
    </row>
    <row r="99" spans="2:30" ht="18" customHeight="1" x14ac:dyDescent="0.3">
      <c r="B99" s="98"/>
      <c r="C99" s="109" t="s">
        <v>52</v>
      </c>
      <c r="D99" s="249" t="s">
        <v>311</v>
      </c>
      <c r="E99" s="252"/>
      <c r="F99" s="252"/>
      <c r="G99" s="252"/>
      <c r="H99" s="252"/>
      <c r="I99" s="252"/>
      <c r="J99" s="252"/>
      <c r="K99" s="252"/>
      <c r="L99" s="252"/>
      <c r="M99" s="252"/>
      <c r="N99" s="252"/>
      <c r="O99" s="252"/>
      <c r="P99" s="252"/>
      <c r="Q99" s="252"/>
      <c r="R99" s="252"/>
      <c r="S99" s="252"/>
      <c r="T99" s="252"/>
      <c r="U99" s="252"/>
      <c r="V99" s="252"/>
      <c r="W99" s="252"/>
      <c r="X99" s="252"/>
      <c r="Y99" s="252"/>
      <c r="Z99" s="252"/>
      <c r="AA99" s="254"/>
      <c r="AB99" s="254"/>
      <c r="AC99" s="99"/>
      <c r="AD99" s="98"/>
    </row>
    <row r="100" spans="2:30" ht="18" customHeight="1" x14ac:dyDescent="0.3">
      <c r="B100" s="98"/>
      <c r="C100" s="109" t="s">
        <v>53</v>
      </c>
      <c r="D100" s="249" t="s">
        <v>312</v>
      </c>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4"/>
      <c r="AB100" s="254"/>
      <c r="AC100" s="99"/>
      <c r="AD100" s="98"/>
    </row>
    <row r="101" spans="2:30" ht="18" customHeight="1" x14ac:dyDescent="0.3">
      <c r="B101" s="98"/>
      <c r="C101" s="109" t="s">
        <v>54</v>
      </c>
      <c r="D101" s="249" t="s">
        <v>313</v>
      </c>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4"/>
      <c r="AB101" s="254"/>
      <c r="AC101" s="99"/>
      <c r="AD101" s="98"/>
    </row>
    <row r="102" spans="2:30" ht="18" customHeight="1" x14ac:dyDescent="0.3">
      <c r="B102" s="98"/>
      <c r="C102" s="109" t="s">
        <v>291</v>
      </c>
      <c r="D102" s="249" t="s">
        <v>315</v>
      </c>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99"/>
      <c r="AD102" s="98"/>
    </row>
    <row r="103" spans="2:30" ht="18" customHeight="1" x14ac:dyDescent="0.3">
      <c r="B103" s="98"/>
      <c r="C103" s="109" t="s">
        <v>290</v>
      </c>
      <c r="D103" s="249" t="s">
        <v>316</v>
      </c>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99"/>
      <c r="AD103" s="98"/>
    </row>
    <row r="104" spans="2:30" ht="18" customHeight="1" x14ac:dyDescent="0.3">
      <c r="B104" s="98"/>
      <c r="C104" s="109" t="s">
        <v>293</v>
      </c>
      <c r="D104" s="249" t="s">
        <v>317</v>
      </c>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99"/>
      <c r="AD104" s="98"/>
    </row>
    <row r="105" spans="2:30" ht="18" customHeight="1" x14ac:dyDescent="0.3">
      <c r="B105" s="98"/>
      <c r="C105" s="109" t="s">
        <v>292</v>
      </c>
      <c r="D105" s="249" t="s">
        <v>318</v>
      </c>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99"/>
      <c r="AD105" s="98"/>
    </row>
    <row r="106" spans="2:30" ht="18" customHeight="1" x14ac:dyDescent="0.3">
      <c r="B106" s="98"/>
      <c r="C106" s="109" t="s">
        <v>294</v>
      </c>
      <c r="D106" s="249" t="s">
        <v>319</v>
      </c>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99"/>
      <c r="AD106" s="98"/>
    </row>
    <row r="107" spans="2:30" ht="18" customHeight="1" x14ac:dyDescent="0.3">
      <c r="B107" s="98"/>
      <c r="C107" s="109" t="s">
        <v>295</v>
      </c>
      <c r="D107" s="249" t="s">
        <v>320</v>
      </c>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99"/>
      <c r="AD107" s="98"/>
    </row>
    <row r="108" spans="2:30" ht="18" customHeight="1" x14ac:dyDescent="0.3">
      <c r="B108" s="98"/>
      <c r="C108" s="109" t="s">
        <v>8</v>
      </c>
      <c r="D108" s="249" t="s">
        <v>182</v>
      </c>
      <c r="E108" s="252"/>
      <c r="F108" s="252"/>
      <c r="G108" s="252"/>
      <c r="H108" s="252"/>
      <c r="I108" s="252"/>
      <c r="J108" s="252"/>
      <c r="K108" s="252"/>
      <c r="L108" s="252"/>
      <c r="M108" s="252"/>
      <c r="N108" s="252"/>
      <c r="O108" s="254"/>
      <c r="P108" s="254"/>
      <c r="Q108" s="254"/>
      <c r="R108" s="254"/>
      <c r="S108" s="254"/>
      <c r="T108" s="254"/>
      <c r="U108" s="254"/>
      <c r="V108" s="254"/>
      <c r="W108" s="254"/>
      <c r="X108" s="254"/>
      <c r="Y108" s="254"/>
      <c r="Z108" s="254"/>
      <c r="AA108" s="254"/>
      <c r="AB108" s="254"/>
      <c r="AC108" s="99"/>
      <c r="AD108" s="98"/>
    </row>
    <row r="109" spans="2:30" ht="18" customHeight="1" x14ac:dyDescent="0.3">
      <c r="B109" s="98"/>
      <c r="C109" s="99"/>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99"/>
      <c r="AD109" s="98"/>
    </row>
    <row r="110" spans="2:30" ht="18" customHeight="1" x14ac:dyDescent="0.3">
      <c r="B110" s="98"/>
      <c r="C110" s="244" t="s">
        <v>48</v>
      </c>
      <c r="D110" s="249" t="s">
        <v>266</v>
      </c>
      <c r="E110" s="251"/>
      <c r="F110" s="251"/>
      <c r="G110" s="251"/>
      <c r="H110" s="251"/>
      <c r="I110" s="251"/>
      <c r="J110" s="251"/>
      <c r="K110" s="251"/>
      <c r="L110" s="251"/>
      <c r="M110" s="251"/>
      <c r="N110" s="251"/>
      <c r="O110" s="251"/>
      <c r="P110" s="254"/>
      <c r="Q110" s="254"/>
      <c r="R110" s="254"/>
      <c r="S110" s="254"/>
      <c r="T110" s="254"/>
      <c r="U110" s="254"/>
      <c r="V110" s="254"/>
      <c r="W110" s="254"/>
      <c r="X110" s="254"/>
      <c r="Y110" s="254"/>
      <c r="Z110" s="254"/>
      <c r="AA110" s="254"/>
      <c r="AB110" s="254"/>
      <c r="AC110" s="99"/>
      <c r="AD110" s="98"/>
    </row>
    <row r="111" spans="2:30" ht="18" customHeight="1" x14ac:dyDescent="0.3">
      <c r="B111" s="98"/>
      <c r="C111" s="244" t="s">
        <v>49</v>
      </c>
      <c r="D111" s="249" t="s">
        <v>268</v>
      </c>
      <c r="E111" s="251"/>
      <c r="F111" s="251"/>
      <c r="G111" s="251"/>
      <c r="H111" s="251"/>
      <c r="I111" s="251"/>
      <c r="J111" s="251"/>
      <c r="K111" s="251"/>
      <c r="L111" s="251"/>
      <c r="M111" s="251"/>
      <c r="N111" s="251"/>
      <c r="O111" s="251"/>
      <c r="P111" s="254"/>
      <c r="Q111" s="254"/>
      <c r="R111" s="254"/>
      <c r="S111" s="254"/>
      <c r="T111" s="254"/>
      <c r="U111" s="254"/>
      <c r="V111" s="254"/>
      <c r="W111" s="254"/>
      <c r="X111" s="254"/>
      <c r="Y111" s="254"/>
      <c r="Z111" s="254"/>
      <c r="AA111" s="254"/>
      <c r="AB111" s="254"/>
      <c r="AC111" s="99"/>
      <c r="AD111" s="98"/>
    </row>
    <row r="112" spans="2:30" ht="18" customHeight="1" x14ac:dyDescent="0.3">
      <c r="B112" s="98"/>
      <c r="C112" s="244" t="s">
        <v>50</v>
      </c>
      <c r="D112" s="249" t="s">
        <v>275</v>
      </c>
      <c r="E112" s="251"/>
      <c r="F112" s="251"/>
      <c r="G112" s="251"/>
      <c r="H112" s="251"/>
      <c r="I112" s="251"/>
      <c r="J112" s="251"/>
      <c r="K112" s="251"/>
      <c r="L112" s="251"/>
      <c r="M112" s="251"/>
      <c r="N112" s="251"/>
      <c r="O112" s="251"/>
      <c r="P112" s="254"/>
      <c r="Q112" s="254"/>
      <c r="R112" s="254"/>
      <c r="S112" s="254"/>
      <c r="T112" s="254"/>
      <c r="U112" s="254"/>
      <c r="V112" s="254"/>
      <c r="W112" s="254"/>
      <c r="X112" s="254"/>
      <c r="Y112" s="254"/>
      <c r="Z112" s="254"/>
      <c r="AA112" s="254"/>
      <c r="AB112" s="254"/>
      <c r="AC112" s="99"/>
      <c r="AD112" s="98"/>
    </row>
    <row r="113" spans="2:30" ht="18" customHeight="1" x14ac:dyDescent="0.3">
      <c r="B113" s="98"/>
      <c r="C113" s="99"/>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99"/>
      <c r="AD113" s="98"/>
    </row>
    <row r="114" spans="2:30" ht="18" customHeight="1" x14ac:dyDescent="0.3">
      <c r="B114" s="98"/>
      <c r="C114" s="173" t="s">
        <v>163</v>
      </c>
      <c r="D114" s="249" t="s">
        <v>283</v>
      </c>
      <c r="E114" s="251"/>
      <c r="F114" s="251"/>
      <c r="G114" s="251"/>
      <c r="H114" s="251"/>
      <c r="I114" s="251"/>
      <c r="J114" s="251"/>
      <c r="K114" s="251"/>
      <c r="L114" s="251"/>
      <c r="M114" s="251"/>
      <c r="N114" s="254"/>
      <c r="O114" s="254"/>
      <c r="P114" s="254"/>
      <c r="Q114" s="254"/>
      <c r="R114" s="254"/>
      <c r="S114" s="254"/>
      <c r="T114" s="254"/>
      <c r="U114" s="254"/>
      <c r="V114" s="254"/>
      <c r="W114" s="254"/>
      <c r="X114" s="254"/>
      <c r="Y114" s="254"/>
      <c r="Z114" s="254"/>
      <c r="AA114" s="254"/>
      <c r="AB114" s="254"/>
      <c r="AC114" s="99"/>
      <c r="AD114" s="98"/>
    </row>
    <row r="115" spans="2:30" ht="18" customHeight="1" x14ac:dyDescent="0.3">
      <c r="B115" s="98"/>
      <c r="C115" s="173" t="s">
        <v>165</v>
      </c>
      <c r="D115" s="249" t="s">
        <v>284</v>
      </c>
      <c r="E115" s="251"/>
      <c r="F115" s="251"/>
      <c r="G115" s="251"/>
      <c r="H115" s="251"/>
      <c r="I115" s="251"/>
      <c r="J115" s="251"/>
      <c r="K115" s="251"/>
      <c r="L115" s="251"/>
      <c r="M115" s="251"/>
      <c r="N115" s="254"/>
      <c r="O115" s="254"/>
      <c r="P115" s="254"/>
      <c r="Q115" s="254"/>
      <c r="R115" s="254"/>
      <c r="S115" s="254"/>
      <c r="T115" s="254"/>
      <c r="U115" s="254"/>
      <c r="V115" s="254"/>
      <c r="W115" s="254"/>
      <c r="X115" s="254"/>
      <c r="Y115" s="254"/>
      <c r="Z115" s="254"/>
      <c r="AA115" s="254"/>
      <c r="AB115" s="254"/>
      <c r="AC115" s="99"/>
      <c r="AD115" s="98"/>
    </row>
    <row r="116" spans="2:30" ht="18" customHeight="1" x14ac:dyDescent="0.3">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row>
    <row r="118" spans="2:30" ht="18" customHeight="1" x14ac:dyDescent="0.3">
      <c r="B118" s="105"/>
      <c r="C118" s="313" t="s">
        <v>88</v>
      </c>
      <c r="D118" s="313"/>
      <c r="E118" s="313"/>
      <c r="F118" s="105"/>
      <c r="G118" s="107"/>
      <c r="H118" s="107"/>
      <c r="I118" s="107"/>
      <c r="J118" s="98"/>
      <c r="K118" s="98"/>
      <c r="L118" s="98"/>
      <c r="M118" s="98"/>
      <c r="N118" s="98"/>
      <c r="O118" s="98"/>
      <c r="P118" s="98"/>
      <c r="Q118" s="98"/>
      <c r="R118" s="98"/>
      <c r="S118" s="98"/>
      <c r="T118" s="98"/>
      <c r="U118" s="98"/>
      <c r="V118" s="98"/>
      <c r="W118" s="98"/>
      <c r="X118" s="98"/>
      <c r="Y118" s="98"/>
      <c r="Z118" s="98"/>
      <c r="AA118" s="317" t="s">
        <v>307</v>
      </c>
      <c r="AB118" s="317"/>
      <c r="AC118" s="317"/>
      <c r="AD118" s="98"/>
    </row>
    <row r="119" spans="2:30" ht="18" customHeight="1" x14ac:dyDescent="0.3">
      <c r="B119" s="105"/>
      <c r="C119" s="313"/>
      <c r="D119" s="313"/>
      <c r="E119" s="313"/>
      <c r="F119" s="310" t="s">
        <v>209</v>
      </c>
      <c r="G119" s="310"/>
      <c r="H119" s="310"/>
      <c r="I119" s="310"/>
      <c r="J119" s="310"/>
      <c r="K119" s="98"/>
      <c r="L119" s="308" t="s">
        <v>40</v>
      </c>
      <c r="M119" s="308"/>
      <c r="N119" s="308"/>
      <c r="O119" s="308"/>
      <c r="P119" s="308"/>
      <c r="Q119" s="308"/>
      <c r="R119" s="308"/>
      <c r="S119" s="308"/>
      <c r="T119" s="98"/>
      <c r="U119" s="308" t="s">
        <v>265</v>
      </c>
      <c r="V119" s="308"/>
      <c r="W119" s="308"/>
      <c r="X119" s="308"/>
      <c r="Y119" s="308"/>
      <c r="Z119" s="308"/>
      <c r="AA119" s="308"/>
      <c r="AB119" s="308"/>
      <c r="AC119" s="308"/>
      <c r="AD119" s="98"/>
    </row>
    <row r="120" spans="2:30" ht="18" customHeight="1" x14ac:dyDescent="0.3">
      <c r="B120" s="98"/>
      <c r="C120" s="316" t="s">
        <v>288</v>
      </c>
      <c r="D120" s="316"/>
      <c r="E120" s="316"/>
      <c r="F120" s="316"/>
      <c r="G120" s="314" t="s">
        <v>287</v>
      </c>
      <c r="H120" s="314"/>
      <c r="I120" s="314"/>
      <c r="J120" s="314"/>
      <c r="K120" s="98"/>
      <c r="L120" s="309"/>
      <c r="M120" s="309"/>
      <c r="N120" s="309"/>
      <c r="O120" s="309"/>
      <c r="P120" s="309"/>
      <c r="Q120" s="309"/>
      <c r="R120" s="309"/>
      <c r="S120" s="309"/>
      <c r="T120" s="98"/>
      <c r="U120" s="308"/>
      <c r="V120" s="308"/>
      <c r="W120" s="308"/>
      <c r="X120" s="308"/>
      <c r="Y120" s="308"/>
      <c r="Z120" s="308"/>
      <c r="AA120" s="308"/>
      <c r="AB120" s="308"/>
      <c r="AC120" s="308"/>
      <c r="AD120" s="98"/>
    </row>
    <row r="121" spans="2:30" ht="18" customHeight="1" thickBot="1" x14ac:dyDescent="0.35">
      <c r="B121" s="98"/>
      <c r="C121" s="315"/>
      <c r="D121" s="315"/>
      <c r="E121" s="315"/>
      <c r="F121" s="315"/>
      <c r="G121" s="315"/>
      <c r="H121" s="315"/>
      <c r="I121" s="315"/>
      <c r="J121" s="315"/>
      <c r="K121" s="98"/>
      <c r="L121" s="73" t="s">
        <v>32</v>
      </c>
      <c r="M121" s="74" t="s">
        <v>33</v>
      </c>
      <c r="N121" s="76" t="s">
        <v>34</v>
      </c>
      <c r="O121" s="76" t="s">
        <v>38</v>
      </c>
      <c r="P121" s="74" t="s">
        <v>35</v>
      </c>
      <c r="Q121" s="75" t="s">
        <v>36</v>
      </c>
      <c r="R121" s="73" t="s">
        <v>37</v>
      </c>
      <c r="S121" s="76" t="s">
        <v>13</v>
      </c>
      <c r="T121" s="98"/>
      <c r="U121" s="75" t="s">
        <v>298</v>
      </c>
      <c r="V121" s="73" t="s">
        <v>32</v>
      </c>
      <c r="W121" s="74" t="s">
        <v>33</v>
      </c>
      <c r="X121" s="76" t="s">
        <v>34</v>
      </c>
      <c r="Y121" s="76" t="s">
        <v>38</v>
      </c>
      <c r="Z121" s="74" t="s">
        <v>35</v>
      </c>
      <c r="AA121" s="75" t="s">
        <v>36</v>
      </c>
      <c r="AB121" s="73" t="s">
        <v>37</v>
      </c>
      <c r="AC121" s="76" t="s">
        <v>13</v>
      </c>
      <c r="AD121" s="98"/>
    </row>
    <row r="122" spans="2:30" ht="18" customHeight="1" x14ac:dyDescent="0.3">
      <c r="B122" s="98"/>
      <c r="C122" s="135">
        <v>3</v>
      </c>
      <c r="D122" s="170" t="s">
        <v>0</v>
      </c>
      <c r="E122" s="16">
        <f ca="1">RANDBETWEEN(5,6)</f>
        <v>6</v>
      </c>
      <c r="F122" s="170" t="s">
        <v>1</v>
      </c>
      <c r="G122" s="3">
        <f ca="1">RANDBETWEEN(8,9)</f>
        <v>8</v>
      </c>
      <c r="H122" s="3" t="s">
        <v>2</v>
      </c>
      <c r="I122" s="83" t="s">
        <v>31</v>
      </c>
      <c r="J122" s="170">
        <f ca="1">RANDBETWEEN(680,710)</f>
        <v>708</v>
      </c>
      <c r="K122" s="104"/>
      <c r="L122" s="77" t="s">
        <v>35</v>
      </c>
      <c r="M122" s="116">
        <f>C122</f>
        <v>3</v>
      </c>
      <c r="N122" s="150">
        <f ca="1">E122</f>
        <v>6</v>
      </c>
      <c r="O122" s="88">
        <f ca="1">G122</f>
        <v>8</v>
      </c>
      <c r="P122" s="116">
        <v>1</v>
      </c>
      <c r="Q122" s="110">
        <v>0</v>
      </c>
      <c r="R122" s="134">
        <v>0</v>
      </c>
      <c r="S122" s="86">
        <f ca="1">J122</f>
        <v>708</v>
      </c>
      <c r="T122" s="104"/>
      <c r="U122" s="150">
        <f ca="1">G125</f>
        <v>77</v>
      </c>
      <c r="V122" s="114" t="s">
        <v>55</v>
      </c>
      <c r="W122" s="116">
        <v>0</v>
      </c>
      <c r="X122" s="87" t="s">
        <v>205</v>
      </c>
      <c r="Y122" s="134">
        <v>1</v>
      </c>
      <c r="Z122" s="160" t="s">
        <v>205</v>
      </c>
      <c r="AA122" s="150" t="s">
        <v>205</v>
      </c>
      <c r="AB122" s="134">
        <v>0</v>
      </c>
      <c r="AC122" s="86">
        <f ca="1">ROUND((J122/G122)-(((J123-((J122/G122)*G123))/(C123-((C122/G122)*G123)))*(C122/G122)),2)</f>
        <v>67.67</v>
      </c>
      <c r="AD122" s="98"/>
    </row>
    <row r="123" spans="2:30" ht="18" customHeight="1" x14ac:dyDescent="0.3">
      <c r="B123" s="98"/>
      <c r="C123" s="158">
        <f ca="1">RANDBETWEEN(2,3)</f>
        <v>3</v>
      </c>
      <c r="D123" s="169" t="s">
        <v>0</v>
      </c>
      <c r="E123" s="159">
        <f ca="1">RANDBETWEEN(3,5)</f>
        <v>4</v>
      </c>
      <c r="F123" s="169" t="s">
        <v>1</v>
      </c>
      <c r="G123" s="168">
        <f ca="1">RANDBETWEEN(2,3)</f>
        <v>2</v>
      </c>
      <c r="H123" s="168" t="s">
        <v>2</v>
      </c>
      <c r="I123" s="84" t="s">
        <v>31</v>
      </c>
      <c r="J123" s="169">
        <f ca="1">RANDBETWEEN(300,400)</f>
        <v>302</v>
      </c>
      <c r="K123" s="104"/>
      <c r="L123" s="171" t="s">
        <v>36</v>
      </c>
      <c r="M123" s="176">
        <f ca="1">C123</f>
        <v>3</v>
      </c>
      <c r="N123" s="90">
        <f ca="1">E123</f>
        <v>4</v>
      </c>
      <c r="O123" s="91">
        <f ca="1">G123</f>
        <v>2</v>
      </c>
      <c r="P123" s="129">
        <v>0</v>
      </c>
      <c r="Q123" s="111">
        <v>1</v>
      </c>
      <c r="R123" s="132">
        <v>0</v>
      </c>
      <c r="S123" s="89">
        <f ca="1">J123</f>
        <v>302</v>
      </c>
      <c r="T123" s="104"/>
      <c r="U123" s="149">
        <f ca="1">C125</f>
        <v>32</v>
      </c>
      <c r="V123" s="175" t="s">
        <v>41</v>
      </c>
      <c r="W123" s="129">
        <v>1</v>
      </c>
      <c r="X123" s="90" t="s">
        <v>205</v>
      </c>
      <c r="Y123" s="132">
        <v>0</v>
      </c>
      <c r="Z123" s="176" t="s">
        <v>205</v>
      </c>
      <c r="AA123" s="149" t="s">
        <v>205</v>
      </c>
      <c r="AB123" s="132">
        <v>0</v>
      </c>
      <c r="AC123" s="89">
        <f ca="1">ROUND((J123-((J122/G122)*G123))/(C123-((C122/G122)*G123)),2)</f>
        <v>55.56</v>
      </c>
      <c r="AD123" s="98"/>
    </row>
    <row r="124" spans="2:30" ht="18" customHeight="1" thickBot="1" x14ac:dyDescent="0.35">
      <c r="B124" s="98"/>
      <c r="C124" s="158">
        <f ca="1">RANDBETWEEN(3,4)</f>
        <v>4</v>
      </c>
      <c r="D124" s="169" t="s">
        <v>0</v>
      </c>
      <c r="E124" s="159">
        <f ca="1">RANDBETWEEN(5,8)</f>
        <v>7</v>
      </c>
      <c r="F124" s="169" t="s">
        <v>1</v>
      </c>
      <c r="G124" s="168">
        <f ca="1">RANDBETWEEN(10,11)</f>
        <v>10</v>
      </c>
      <c r="H124" s="168" t="s">
        <v>2</v>
      </c>
      <c r="I124" s="84" t="s">
        <v>31</v>
      </c>
      <c r="J124" s="169">
        <f ca="1">RANDBETWEEN(980,1100)</f>
        <v>1068</v>
      </c>
      <c r="K124" s="104"/>
      <c r="L124" s="73" t="s">
        <v>37</v>
      </c>
      <c r="M124" s="161">
        <f ca="1">C124</f>
        <v>4</v>
      </c>
      <c r="N124" s="151">
        <f ca="1">E124</f>
        <v>7</v>
      </c>
      <c r="O124" s="94">
        <f ca="1">G124</f>
        <v>10</v>
      </c>
      <c r="P124" s="130">
        <v>0</v>
      </c>
      <c r="Q124" s="131">
        <v>0</v>
      </c>
      <c r="R124" s="133">
        <v>1</v>
      </c>
      <c r="S124" s="92">
        <f ca="1">J124</f>
        <v>1068</v>
      </c>
      <c r="T124" s="104"/>
      <c r="U124" s="174">
        <v>0</v>
      </c>
      <c r="V124" s="113" t="s">
        <v>89</v>
      </c>
      <c r="W124" s="130">
        <v>0</v>
      </c>
      <c r="X124" s="93" t="s">
        <v>205</v>
      </c>
      <c r="Y124" s="133">
        <v>0</v>
      </c>
      <c r="Z124" s="161" t="s">
        <v>205</v>
      </c>
      <c r="AA124" s="151" t="s">
        <v>205</v>
      </c>
      <c r="AB124" s="133">
        <v>1</v>
      </c>
      <c r="AC124" s="92">
        <f ca="1">ROUND((J124-((J122/G122)*G124))-(((J123-((J122/G122)*G123))/(C123-((C122/G122)*G123)))*(C124-((C122/G122)*G124))),2)</f>
        <v>169.11</v>
      </c>
      <c r="AD124" s="98"/>
    </row>
    <row r="125" spans="2:30" ht="18" customHeight="1" thickTop="1" x14ac:dyDescent="0.3">
      <c r="B125" s="98"/>
      <c r="C125" s="80">
        <f ca="1">RANDBETWEEN(31,35)</f>
        <v>32</v>
      </c>
      <c r="D125" s="81" t="s">
        <v>0</v>
      </c>
      <c r="E125" s="178">
        <f ca="1">RANDBETWEEN(38,42)</f>
        <v>40</v>
      </c>
      <c r="F125" s="81" t="s">
        <v>1</v>
      </c>
      <c r="G125" s="82">
        <f ca="1">RANDBETWEEN(71,80)</f>
        <v>77</v>
      </c>
      <c r="H125" s="82" t="s">
        <v>2</v>
      </c>
      <c r="I125" s="85" t="s">
        <v>6</v>
      </c>
      <c r="J125" s="81" t="s">
        <v>7</v>
      </c>
      <c r="K125" s="104"/>
      <c r="L125" s="78" t="s">
        <v>8</v>
      </c>
      <c r="M125" s="95">
        <f ca="1">C125*(-1)</f>
        <v>-32</v>
      </c>
      <c r="N125" s="138">
        <f ca="1">E125*(-1)</f>
        <v>-40</v>
      </c>
      <c r="O125" s="97">
        <f ca="1">G125*(-1)</f>
        <v>-77</v>
      </c>
      <c r="P125" s="116">
        <v>0</v>
      </c>
      <c r="Q125" s="110">
        <v>0</v>
      </c>
      <c r="R125" s="134">
        <v>0</v>
      </c>
      <c r="S125" s="139">
        <v>0</v>
      </c>
      <c r="T125" s="104"/>
      <c r="U125" s="311" t="s">
        <v>8</v>
      </c>
      <c r="V125" s="312"/>
      <c r="W125" s="112">
        <v>0</v>
      </c>
      <c r="X125" s="96">
        <f ca="1">ROUND((G125*((E122/G122)-(((E123-((E122/G122)*G123))/(C123-((C122/G122)*G123)))*(C122/G122)))+C125*((E123-((E122/G122)*G123))/(C123-((C122/G122)*G123))))-E125,2)</f>
        <v>21.22</v>
      </c>
      <c r="Y125" s="152">
        <v>0</v>
      </c>
      <c r="Z125" s="160">
        <f ca="1">ROUND(G125*((1/G122)-(((0-((1/G122)*G123))/(C123-((C122/G122)*G123)))*(C122/G122)))+C125*((0-((1/G122)*G123))/(C123-((C122/G122)*G123))),2)</f>
        <v>9.2799999999999994</v>
      </c>
      <c r="AA125" s="150">
        <f ca="1">ROUND(G125*(0-((1/(C123-((C122/G122)*G123)))*(C122/G122)))+C125*(1/(C123-((C122/G122)*G123))),2)</f>
        <v>1.39</v>
      </c>
      <c r="AB125" s="134">
        <v>0</v>
      </c>
      <c r="AC125" s="79">
        <f ca="1">ROUND(G125*((J122/G122)-(((J123-((J122/G122)*G123))/(C123-((C122/G122)*G123)))*(C122/G122)))+C125*((J123-((J122/G122)*G123))/(C123-((C122/G122)*G123))),2)</f>
        <v>6988.11</v>
      </c>
      <c r="AD125" s="98"/>
    </row>
    <row r="126" spans="2:30" ht="18" customHeight="1" x14ac:dyDescent="0.3">
      <c r="B126" s="117"/>
      <c r="C126" s="304" t="s">
        <v>187</v>
      </c>
      <c r="D126" s="304"/>
      <c r="E126" s="304"/>
      <c r="F126" s="117"/>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98"/>
    </row>
    <row r="127" spans="2:30" ht="18" customHeight="1" thickBot="1" x14ac:dyDescent="0.35">
      <c r="B127" s="117"/>
      <c r="C127" s="304"/>
      <c r="D127" s="304"/>
      <c r="E127" s="304"/>
      <c r="F127" s="99"/>
      <c r="G127" s="99"/>
      <c r="H127" s="109"/>
      <c r="I127" s="109"/>
      <c r="J127" s="98"/>
      <c r="K127" s="122"/>
      <c r="L127" s="118" t="s">
        <v>45</v>
      </c>
      <c r="M127" s="119" t="s">
        <v>44</v>
      </c>
      <c r="N127" s="104"/>
      <c r="O127" s="122"/>
      <c r="P127" s="118" t="s">
        <v>45</v>
      </c>
      <c r="Q127" s="119" t="s">
        <v>44</v>
      </c>
      <c r="R127" s="104"/>
      <c r="S127" s="122"/>
      <c r="T127" s="118" t="s">
        <v>45</v>
      </c>
      <c r="U127" s="119" t="s">
        <v>44</v>
      </c>
      <c r="V127" s="98"/>
      <c r="W127" s="122"/>
      <c r="X127" s="118" t="s">
        <v>45</v>
      </c>
      <c r="Y127" s="119" t="s">
        <v>44</v>
      </c>
      <c r="Z127" s="98"/>
      <c r="AA127" s="122"/>
      <c r="AB127" s="118" t="s">
        <v>45</v>
      </c>
      <c r="AC127" s="119" t="s">
        <v>44</v>
      </c>
      <c r="AD127" s="98"/>
    </row>
    <row r="128" spans="2:30" ht="18" customHeight="1" x14ac:dyDescent="0.3">
      <c r="B128" s="98"/>
      <c r="C128" s="172"/>
      <c r="D128" s="172"/>
      <c r="E128" s="172"/>
      <c r="F128" s="99"/>
      <c r="G128" s="99"/>
      <c r="H128" s="109"/>
      <c r="I128" s="108"/>
      <c r="J128" s="98"/>
      <c r="K128" s="121" t="s">
        <v>90</v>
      </c>
      <c r="L128" s="140">
        <v>3</v>
      </c>
      <c r="M128" s="141">
        <v>3</v>
      </c>
      <c r="N128" s="106"/>
      <c r="O128" s="121" t="s">
        <v>93</v>
      </c>
      <c r="P128" s="162">
        <v>2</v>
      </c>
      <c r="Q128" s="163">
        <v>3</v>
      </c>
      <c r="R128" s="104"/>
      <c r="S128" s="121" t="s">
        <v>96</v>
      </c>
      <c r="T128" s="162">
        <v>3</v>
      </c>
      <c r="U128" s="163">
        <v>4</v>
      </c>
      <c r="V128" s="98"/>
      <c r="W128" s="121" t="s">
        <v>99</v>
      </c>
      <c r="X128" s="124">
        <v>680</v>
      </c>
      <c r="Y128" s="125">
        <v>710</v>
      </c>
      <c r="Z128" s="98"/>
      <c r="AA128" s="121" t="s">
        <v>102</v>
      </c>
      <c r="AB128" s="124">
        <v>31</v>
      </c>
      <c r="AC128" s="125">
        <v>35</v>
      </c>
      <c r="AD128" s="98"/>
    </row>
    <row r="129" spans="2:30" ht="18" customHeight="1" x14ac:dyDescent="0.3">
      <c r="B129" s="98"/>
      <c r="C129" s="172" t="s">
        <v>51</v>
      </c>
      <c r="D129" s="172"/>
      <c r="E129" s="172"/>
      <c r="F129" s="148">
        <f>(M129-L129+1)*(M130-L130+1)*(Q129-P129+1)*(Q130-P130+1)*(U129-T129+1)*(U130-T130+1)*(Y128-X128+1)*(Y129-X129+1)*(Y130-X130+1)*(AC128-AB128+1)*(AC129-AB129+1)*(AC130-AB130+1)*(U128-T128+1)*(Q128-P128+1)*(M128-L128+1)</f>
        <v>72739392000</v>
      </c>
      <c r="G129" s="99"/>
      <c r="H129" s="109"/>
      <c r="I129" s="108"/>
      <c r="J129" s="98"/>
      <c r="K129" s="120" t="s">
        <v>91</v>
      </c>
      <c r="L129" s="162">
        <v>5</v>
      </c>
      <c r="M129" s="163">
        <v>6</v>
      </c>
      <c r="N129" s="106"/>
      <c r="O129" s="109" t="s">
        <v>94</v>
      </c>
      <c r="P129" s="124">
        <v>3</v>
      </c>
      <c r="Q129" s="125">
        <v>5</v>
      </c>
      <c r="R129" s="104"/>
      <c r="S129" s="109" t="s">
        <v>97</v>
      </c>
      <c r="T129" s="162">
        <v>5</v>
      </c>
      <c r="U129" s="163">
        <v>8</v>
      </c>
      <c r="V129" s="98"/>
      <c r="W129" s="109" t="s">
        <v>100</v>
      </c>
      <c r="X129" s="124">
        <v>300</v>
      </c>
      <c r="Y129" s="125">
        <v>400</v>
      </c>
      <c r="Z129" s="98"/>
      <c r="AA129" s="109" t="s">
        <v>103</v>
      </c>
      <c r="AB129" s="162">
        <v>38</v>
      </c>
      <c r="AC129" s="163">
        <v>42</v>
      </c>
      <c r="AD129" s="98"/>
    </row>
    <row r="130" spans="2:30" ht="18" customHeight="1" x14ac:dyDescent="0.3">
      <c r="B130" s="98"/>
      <c r="C130" s="259" t="s">
        <v>181</v>
      </c>
      <c r="D130" s="172"/>
      <c r="E130" s="172"/>
      <c r="F130" s="99"/>
      <c r="G130" s="99"/>
      <c r="H130" s="109"/>
      <c r="I130" s="108"/>
      <c r="J130" s="98"/>
      <c r="K130" s="120" t="s">
        <v>92</v>
      </c>
      <c r="L130" s="124">
        <v>8</v>
      </c>
      <c r="M130" s="125">
        <v>9</v>
      </c>
      <c r="N130" s="106"/>
      <c r="O130" s="109" t="s">
        <v>95</v>
      </c>
      <c r="P130" s="124">
        <v>2</v>
      </c>
      <c r="Q130" s="125">
        <v>3</v>
      </c>
      <c r="R130" s="104"/>
      <c r="S130" s="109" t="s">
        <v>98</v>
      </c>
      <c r="T130" s="124">
        <v>10</v>
      </c>
      <c r="U130" s="125">
        <v>11</v>
      </c>
      <c r="V130" s="98"/>
      <c r="W130" s="109" t="s">
        <v>101</v>
      </c>
      <c r="X130" s="124">
        <v>980</v>
      </c>
      <c r="Y130" s="125">
        <v>1100</v>
      </c>
      <c r="Z130" s="98"/>
      <c r="AA130" s="109" t="s">
        <v>104</v>
      </c>
      <c r="AB130" s="124">
        <v>71</v>
      </c>
      <c r="AC130" s="125">
        <v>80</v>
      </c>
      <c r="AD130" s="98"/>
    </row>
    <row r="131" spans="2:30" ht="18" customHeight="1" x14ac:dyDescent="0.3">
      <c r="B131" s="117"/>
      <c r="C131" s="303" t="s">
        <v>46</v>
      </c>
      <c r="D131" s="303"/>
      <c r="E131" s="303"/>
      <c r="F131" s="117"/>
      <c r="G131" s="117"/>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98"/>
    </row>
    <row r="132" spans="2:30" ht="18" customHeight="1" x14ac:dyDescent="0.3">
      <c r="B132" s="117"/>
      <c r="C132" s="303"/>
      <c r="D132" s="303"/>
      <c r="E132" s="303"/>
      <c r="F132" s="108"/>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98"/>
    </row>
    <row r="133" spans="2:30" ht="18" customHeight="1" x14ac:dyDescent="0.3">
      <c r="B133" s="104"/>
      <c r="C133" s="109" t="s">
        <v>52</v>
      </c>
      <c r="D133" s="250">
        <v>0</v>
      </c>
      <c r="E133" s="250"/>
      <c r="F133" s="250"/>
      <c r="G133" s="250"/>
      <c r="H133" s="250"/>
      <c r="I133" s="254"/>
      <c r="J133" s="254"/>
      <c r="K133" s="254"/>
      <c r="L133" s="254"/>
      <c r="M133" s="254"/>
      <c r="N133" s="254"/>
      <c r="O133" s="254"/>
      <c r="P133" s="254"/>
      <c r="Q133" s="254"/>
      <c r="R133" s="254"/>
      <c r="S133" s="254"/>
      <c r="T133" s="254"/>
      <c r="U133" s="254"/>
      <c r="V133" s="254"/>
      <c r="W133" s="254"/>
      <c r="X133" s="254"/>
      <c r="Y133" s="254"/>
      <c r="Z133" s="125"/>
      <c r="AA133" s="125"/>
      <c r="AB133" s="125"/>
      <c r="AC133" s="109"/>
      <c r="AD133" s="98"/>
    </row>
    <row r="134" spans="2:30" ht="18" customHeight="1" x14ac:dyDescent="0.3">
      <c r="B134" s="104"/>
      <c r="C134" s="109" t="s">
        <v>53</v>
      </c>
      <c r="D134" s="250" t="s">
        <v>195</v>
      </c>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27"/>
      <c r="AA134" s="227"/>
      <c r="AB134" s="125"/>
      <c r="AC134" s="109"/>
      <c r="AD134" s="98"/>
    </row>
    <row r="135" spans="2:30" ht="18" customHeight="1" x14ac:dyDescent="0.3">
      <c r="B135" s="104"/>
      <c r="C135" s="109" t="s">
        <v>54</v>
      </c>
      <c r="D135" s="250">
        <v>0</v>
      </c>
      <c r="E135" s="250"/>
      <c r="F135" s="250"/>
      <c r="G135" s="250"/>
      <c r="H135" s="250"/>
      <c r="I135" s="250"/>
      <c r="J135" s="254"/>
      <c r="K135" s="254"/>
      <c r="L135" s="254"/>
      <c r="M135" s="254"/>
      <c r="N135" s="254"/>
      <c r="O135" s="254"/>
      <c r="P135" s="254"/>
      <c r="Q135" s="254"/>
      <c r="R135" s="254"/>
      <c r="S135" s="254"/>
      <c r="T135" s="254"/>
      <c r="U135" s="254"/>
      <c r="V135" s="254"/>
      <c r="W135" s="254"/>
      <c r="X135" s="254"/>
      <c r="Y135" s="254"/>
      <c r="Z135" s="125"/>
      <c r="AA135" s="125"/>
      <c r="AB135" s="125"/>
      <c r="AC135" s="109"/>
      <c r="AD135" s="98"/>
    </row>
    <row r="136" spans="2:30" ht="18" customHeight="1" x14ac:dyDescent="0.3">
      <c r="B136" s="104"/>
      <c r="C136" s="109" t="s">
        <v>218</v>
      </c>
      <c r="D136" s="250" t="s">
        <v>196</v>
      </c>
      <c r="E136" s="250"/>
      <c r="F136" s="250"/>
      <c r="G136" s="250"/>
      <c r="H136" s="250"/>
      <c r="I136" s="250"/>
      <c r="J136" s="250"/>
      <c r="K136" s="250"/>
      <c r="L136" s="250"/>
      <c r="M136" s="250"/>
      <c r="N136" s="250"/>
      <c r="O136" s="250"/>
      <c r="P136" s="250"/>
      <c r="Q136" s="250"/>
      <c r="R136" s="250"/>
      <c r="S136" s="250"/>
      <c r="T136" s="250"/>
      <c r="U136" s="250"/>
      <c r="V136" s="254"/>
      <c r="W136" s="254"/>
      <c r="X136" s="254"/>
      <c r="Y136" s="254"/>
      <c r="Z136" s="125"/>
      <c r="AA136" s="125"/>
      <c r="AB136" s="125"/>
      <c r="AC136" s="109"/>
      <c r="AD136" s="98"/>
    </row>
    <row r="137" spans="2:30" ht="18" customHeight="1" x14ac:dyDescent="0.3">
      <c r="B137" s="104"/>
      <c r="C137" s="109" t="s">
        <v>219</v>
      </c>
      <c r="D137" s="250" t="s">
        <v>197</v>
      </c>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125"/>
      <c r="AC137" s="109"/>
      <c r="AD137" s="98"/>
    </row>
    <row r="138" spans="2:30" ht="18" customHeight="1" x14ac:dyDescent="0.3">
      <c r="B138" s="104"/>
      <c r="C138" s="109" t="s">
        <v>220</v>
      </c>
      <c r="D138" s="250">
        <v>0</v>
      </c>
      <c r="E138" s="250"/>
      <c r="F138" s="250"/>
      <c r="G138" s="250"/>
      <c r="H138" s="250"/>
      <c r="I138" s="250"/>
      <c r="J138" s="250"/>
      <c r="K138" s="250"/>
      <c r="L138" s="250"/>
      <c r="M138" s="250"/>
      <c r="N138" s="250"/>
      <c r="O138" s="250"/>
      <c r="P138" s="250"/>
      <c r="Q138" s="250"/>
      <c r="R138" s="250"/>
      <c r="S138" s="250"/>
      <c r="T138" s="250"/>
      <c r="U138" s="250"/>
      <c r="V138" s="250"/>
      <c r="W138" s="250"/>
      <c r="X138" s="250"/>
      <c r="Y138" s="254"/>
      <c r="Z138" s="125"/>
      <c r="AA138" s="256"/>
      <c r="AB138" s="256"/>
      <c r="AC138" s="99"/>
      <c r="AD138" s="98"/>
    </row>
    <row r="139" spans="2:30" ht="18" customHeight="1" x14ac:dyDescent="0.3">
      <c r="B139" s="104"/>
      <c r="C139" s="109" t="s">
        <v>8</v>
      </c>
      <c r="D139" s="250" t="s">
        <v>198</v>
      </c>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27"/>
      <c r="AA139" s="256"/>
      <c r="AB139" s="256"/>
      <c r="AC139" s="99"/>
      <c r="AD139" s="98"/>
    </row>
    <row r="140" spans="2:30" ht="18" customHeight="1" x14ac:dyDescent="0.3">
      <c r="B140" s="104"/>
      <c r="C140" s="99"/>
      <c r="D140" s="167"/>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99"/>
      <c r="AA140" s="99"/>
      <c r="AB140" s="99"/>
      <c r="AC140" s="99"/>
      <c r="AD140" s="98"/>
    </row>
    <row r="141" spans="2:30" ht="18" customHeight="1" x14ac:dyDescent="0.3">
      <c r="B141" s="104"/>
      <c r="C141" s="244" t="s">
        <v>48</v>
      </c>
      <c r="D141" s="250" t="s">
        <v>276</v>
      </c>
      <c r="E141" s="250"/>
      <c r="F141" s="250"/>
      <c r="G141" s="250"/>
      <c r="H141" s="250"/>
      <c r="I141" s="250"/>
      <c r="J141" s="250"/>
      <c r="K141" s="250"/>
      <c r="L141" s="250"/>
      <c r="M141" s="250"/>
      <c r="N141" s="250"/>
      <c r="O141" s="250"/>
      <c r="P141" s="250"/>
      <c r="Q141" s="250"/>
      <c r="R141" s="250"/>
      <c r="S141" s="250"/>
      <c r="T141" s="250"/>
      <c r="U141" s="250"/>
      <c r="V141" s="254"/>
      <c r="W141" s="254"/>
      <c r="X141" s="254"/>
      <c r="Y141" s="254"/>
      <c r="Z141" s="256"/>
      <c r="AA141" s="256"/>
      <c r="AB141" s="256"/>
      <c r="AC141" s="99"/>
      <c r="AD141" s="98"/>
    </row>
    <row r="142" spans="2:30" ht="18" customHeight="1" x14ac:dyDescent="0.3">
      <c r="B142" s="104"/>
      <c r="C142" s="244" t="s">
        <v>49</v>
      </c>
      <c r="D142" s="250" t="s">
        <v>277</v>
      </c>
      <c r="E142" s="250"/>
      <c r="F142" s="250"/>
      <c r="G142" s="250"/>
      <c r="H142" s="250"/>
      <c r="I142" s="250"/>
      <c r="J142" s="250"/>
      <c r="K142" s="250"/>
      <c r="L142" s="250"/>
      <c r="M142" s="250"/>
      <c r="N142" s="254"/>
      <c r="O142" s="254"/>
      <c r="P142" s="250"/>
      <c r="Q142" s="250"/>
      <c r="R142" s="254"/>
      <c r="S142" s="254"/>
      <c r="T142" s="254"/>
      <c r="U142" s="254"/>
      <c r="V142" s="254"/>
      <c r="W142" s="254"/>
      <c r="X142" s="254"/>
      <c r="Y142" s="254"/>
      <c r="Z142" s="256"/>
      <c r="AA142" s="256"/>
      <c r="AB142" s="256"/>
      <c r="AC142" s="99"/>
      <c r="AD142" s="98"/>
    </row>
    <row r="143" spans="2:30" ht="18" customHeight="1" x14ac:dyDescent="0.3">
      <c r="B143" s="104"/>
      <c r="C143" s="244" t="s">
        <v>50</v>
      </c>
      <c r="D143" s="250" t="s">
        <v>278</v>
      </c>
      <c r="E143" s="250"/>
      <c r="F143" s="250"/>
      <c r="G143" s="250"/>
      <c r="H143" s="250"/>
      <c r="I143" s="250"/>
      <c r="J143" s="250"/>
      <c r="K143" s="250"/>
      <c r="L143" s="250"/>
      <c r="M143" s="250"/>
      <c r="N143" s="250"/>
      <c r="O143" s="250"/>
      <c r="P143" s="250"/>
      <c r="Q143" s="250"/>
      <c r="R143" s="250"/>
      <c r="S143" s="250"/>
      <c r="T143" s="254"/>
      <c r="U143" s="254"/>
      <c r="V143" s="254"/>
      <c r="W143" s="254"/>
      <c r="X143" s="254"/>
      <c r="Y143" s="254"/>
      <c r="Z143" s="256"/>
      <c r="AA143" s="256"/>
      <c r="AB143" s="256"/>
      <c r="AC143" s="99"/>
      <c r="AD143" s="98"/>
    </row>
    <row r="144" spans="2:30" ht="18" customHeight="1" x14ac:dyDescent="0.3">
      <c r="B144" s="104"/>
      <c r="C144" s="109"/>
      <c r="D144" s="167"/>
      <c r="E144" s="167"/>
      <c r="F144" s="167"/>
      <c r="G144" s="167"/>
      <c r="H144" s="167"/>
      <c r="I144" s="167"/>
      <c r="J144" s="167"/>
      <c r="K144" s="167"/>
      <c r="L144" s="167"/>
      <c r="M144" s="167"/>
      <c r="N144" s="167"/>
      <c r="O144" s="167"/>
      <c r="P144" s="167"/>
      <c r="Q144" s="167"/>
      <c r="R144" s="253"/>
      <c r="S144" s="253"/>
      <c r="T144" s="253"/>
      <c r="U144" s="253"/>
      <c r="V144" s="253"/>
      <c r="W144" s="253"/>
      <c r="X144" s="253"/>
      <c r="Y144" s="253"/>
      <c r="Z144" s="99"/>
      <c r="AA144" s="99"/>
      <c r="AB144" s="99"/>
      <c r="AC144" s="99"/>
      <c r="AD144" s="98"/>
    </row>
    <row r="145" spans="2:30" ht="18" customHeight="1" x14ac:dyDescent="0.3">
      <c r="B145" s="104"/>
      <c r="C145" s="173" t="s">
        <v>166</v>
      </c>
      <c r="D145" s="250" t="s">
        <v>92</v>
      </c>
      <c r="E145" s="250"/>
      <c r="F145" s="250"/>
      <c r="G145" s="250"/>
      <c r="H145" s="250"/>
      <c r="I145" s="250"/>
      <c r="J145" s="250"/>
      <c r="K145" s="250"/>
      <c r="L145" s="250"/>
      <c r="M145" s="250"/>
      <c r="N145" s="250"/>
      <c r="O145" s="250"/>
      <c r="P145" s="250"/>
      <c r="Q145" s="250"/>
      <c r="R145" s="250"/>
      <c r="S145" s="250"/>
      <c r="T145" s="250"/>
      <c r="U145" s="254"/>
      <c r="V145" s="254"/>
      <c r="W145" s="254"/>
      <c r="X145" s="254"/>
      <c r="Y145" s="254"/>
      <c r="Z145" s="256"/>
      <c r="AA145" s="256"/>
      <c r="AB145" s="256"/>
      <c r="AC145" s="99"/>
      <c r="AD145" s="98"/>
    </row>
    <row r="146" spans="2:30" ht="18" customHeight="1" x14ac:dyDescent="0.3">
      <c r="B146" s="104"/>
      <c r="C146" s="173" t="s">
        <v>167</v>
      </c>
      <c r="D146" s="250" t="s">
        <v>199</v>
      </c>
      <c r="E146" s="250"/>
      <c r="F146" s="250"/>
      <c r="G146" s="250"/>
      <c r="H146" s="250"/>
      <c r="I146" s="250"/>
      <c r="J146" s="250"/>
      <c r="K146" s="250"/>
      <c r="L146" s="250"/>
      <c r="M146" s="250"/>
      <c r="N146" s="250"/>
      <c r="O146" s="250"/>
      <c r="P146" s="250"/>
      <c r="Q146" s="250"/>
      <c r="R146" s="254"/>
      <c r="S146" s="254"/>
      <c r="T146" s="254"/>
      <c r="U146" s="254"/>
      <c r="V146" s="254"/>
      <c r="W146" s="254"/>
      <c r="X146" s="254"/>
      <c r="Y146" s="254"/>
      <c r="Z146" s="256"/>
      <c r="AA146" s="256"/>
      <c r="AB146" s="256"/>
      <c r="AC146" s="99"/>
      <c r="AD146" s="98"/>
    </row>
    <row r="147" spans="2:30" ht="18" customHeight="1" x14ac:dyDescent="0.3">
      <c r="B147" s="117"/>
      <c r="C147" s="303" t="s">
        <v>188</v>
      </c>
      <c r="D147" s="303"/>
      <c r="E147" s="303"/>
      <c r="F147" s="117"/>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row>
    <row r="148" spans="2:30" ht="18" customHeight="1" x14ac:dyDescent="0.3">
      <c r="B148" s="117"/>
      <c r="C148" s="303"/>
      <c r="D148" s="303"/>
      <c r="E148" s="303"/>
      <c r="F148" s="108"/>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8"/>
    </row>
    <row r="149" spans="2:30" ht="18" customHeight="1" x14ac:dyDescent="0.3">
      <c r="B149" s="98"/>
      <c r="C149" s="109" t="s">
        <v>52</v>
      </c>
      <c r="D149" s="249" t="s">
        <v>311</v>
      </c>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4"/>
      <c r="AB149" s="254"/>
      <c r="AC149" s="99"/>
      <c r="AD149" s="98"/>
    </row>
    <row r="150" spans="2:30" ht="18" customHeight="1" x14ac:dyDescent="0.3">
      <c r="B150" s="98"/>
      <c r="C150" s="109" t="s">
        <v>53</v>
      </c>
      <c r="D150" s="249" t="s">
        <v>312</v>
      </c>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4"/>
      <c r="AB150" s="254"/>
      <c r="AC150" s="99"/>
      <c r="AD150" s="98"/>
    </row>
    <row r="151" spans="2:30" ht="18" customHeight="1" x14ac:dyDescent="0.3">
      <c r="B151" s="98"/>
      <c r="C151" s="109" t="s">
        <v>54</v>
      </c>
      <c r="D151" s="249" t="s">
        <v>313</v>
      </c>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4"/>
      <c r="AB151" s="254"/>
      <c r="AC151" s="99"/>
      <c r="AD151" s="98"/>
    </row>
    <row r="152" spans="2:30" ht="18" customHeight="1" x14ac:dyDescent="0.3">
      <c r="B152" s="98"/>
      <c r="C152" s="109" t="s">
        <v>291</v>
      </c>
      <c r="D152" s="249" t="s">
        <v>315</v>
      </c>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99"/>
      <c r="AD152" s="98"/>
    </row>
    <row r="153" spans="2:30" ht="18" customHeight="1" x14ac:dyDescent="0.3">
      <c r="B153" s="98"/>
      <c r="C153" s="109" t="s">
        <v>290</v>
      </c>
      <c r="D153" s="249" t="s">
        <v>316</v>
      </c>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99"/>
      <c r="AD153" s="98"/>
    </row>
    <row r="154" spans="2:30" ht="18" customHeight="1" x14ac:dyDescent="0.3">
      <c r="B154" s="98"/>
      <c r="C154" s="109" t="s">
        <v>293</v>
      </c>
      <c r="D154" s="249" t="s">
        <v>317</v>
      </c>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99"/>
      <c r="AD154" s="98"/>
    </row>
    <row r="155" spans="2:30" ht="18" customHeight="1" x14ac:dyDescent="0.3">
      <c r="B155" s="98"/>
      <c r="C155" s="109" t="s">
        <v>292</v>
      </c>
      <c r="D155" s="249" t="s">
        <v>318</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99"/>
      <c r="AD155" s="98"/>
    </row>
    <row r="156" spans="2:30" ht="18" customHeight="1" x14ac:dyDescent="0.3">
      <c r="B156" s="98"/>
      <c r="C156" s="109" t="s">
        <v>294</v>
      </c>
      <c r="D156" s="249" t="s">
        <v>319</v>
      </c>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99"/>
      <c r="AD156" s="98"/>
    </row>
    <row r="157" spans="2:30" ht="18" customHeight="1" x14ac:dyDescent="0.3">
      <c r="B157" s="98"/>
      <c r="C157" s="109" t="s">
        <v>295</v>
      </c>
      <c r="D157" s="249" t="s">
        <v>320</v>
      </c>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99"/>
      <c r="AD157" s="98"/>
    </row>
    <row r="158" spans="2:30" ht="18" customHeight="1" x14ac:dyDescent="0.3">
      <c r="B158" s="98"/>
      <c r="C158" s="109" t="s">
        <v>8</v>
      </c>
      <c r="D158" s="249" t="s">
        <v>182</v>
      </c>
      <c r="E158" s="252"/>
      <c r="F158" s="252"/>
      <c r="G158" s="252"/>
      <c r="H158" s="252"/>
      <c r="I158" s="252"/>
      <c r="J158" s="252"/>
      <c r="K158" s="252"/>
      <c r="L158" s="252"/>
      <c r="M158" s="252"/>
      <c r="N158" s="252"/>
      <c r="O158" s="254"/>
      <c r="P158" s="254"/>
      <c r="Q158" s="254"/>
      <c r="R158" s="254"/>
      <c r="S158" s="254"/>
      <c r="T158" s="254"/>
      <c r="U158" s="254"/>
      <c r="V158" s="254"/>
      <c r="W158" s="254"/>
      <c r="X158" s="254"/>
      <c r="Y158" s="254"/>
      <c r="Z158" s="254"/>
      <c r="AA158" s="254"/>
      <c r="AB158" s="254"/>
      <c r="AC158" s="99"/>
      <c r="AD158" s="98"/>
    </row>
    <row r="159" spans="2:30" ht="18" customHeight="1" x14ac:dyDescent="0.3">
      <c r="B159" s="98"/>
      <c r="C159" s="99"/>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99"/>
      <c r="AD159" s="98"/>
    </row>
    <row r="160" spans="2:30" ht="18" customHeight="1" x14ac:dyDescent="0.3">
      <c r="B160" s="98"/>
      <c r="C160" s="244" t="s">
        <v>48</v>
      </c>
      <c r="D160" s="249" t="s">
        <v>275</v>
      </c>
      <c r="E160" s="251"/>
      <c r="F160" s="251"/>
      <c r="G160" s="251"/>
      <c r="H160" s="251"/>
      <c r="I160" s="251"/>
      <c r="J160" s="251"/>
      <c r="K160" s="251"/>
      <c r="L160" s="251"/>
      <c r="M160" s="251"/>
      <c r="N160" s="251"/>
      <c r="O160" s="251"/>
      <c r="P160" s="254"/>
      <c r="Q160" s="254"/>
      <c r="R160" s="254"/>
      <c r="S160" s="254"/>
      <c r="T160" s="254"/>
      <c r="U160" s="254"/>
      <c r="V160" s="254"/>
      <c r="W160" s="254"/>
      <c r="X160" s="254"/>
      <c r="Y160" s="254"/>
      <c r="Z160" s="254"/>
      <c r="AA160" s="254"/>
      <c r="AB160" s="254"/>
      <c r="AC160" s="99"/>
      <c r="AD160" s="98"/>
    </row>
    <row r="161" spans="2:30" ht="18" customHeight="1" x14ac:dyDescent="0.3">
      <c r="B161" s="98"/>
      <c r="C161" s="244" t="s">
        <v>49</v>
      </c>
      <c r="D161" s="249" t="s">
        <v>268</v>
      </c>
      <c r="E161" s="251"/>
      <c r="F161" s="251"/>
      <c r="G161" s="251"/>
      <c r="H161" s="251"/>
      <c r="I161" s="251"/>
      <c r="J161" s="251"/>
      <c r="K161" s="251"/>
      <c r="L161" s="251"/>
      <c r="M161" s="251"/>
      <c r="N161" s="251"/>
      <c r="O161" s="251"/>
      <c r="P161" s="254"/>
      <c r="Q161" s="254"/>
      <c r="R161" s="254"/>
      <c r="S161" s="254"/>
      <c r="T161" s="254"/>
      <c r="U161" s="254"/>
      <c r="V161" s="254"/>
      <c r="W161" s="254"/>
      <c r="X161" s="254"/>
      <c r="Y161" s="254"/>
      <c r="Z161" s="254"/>
      <c r="AA161" s="254"/>
      <c r="AB161" s="254"/>
      <c r="AC161" s="99"/>
      <c r="AD161" s="98"/>
    </row>
    <row r="162" spans="2:30" ht="18" customHeight="1" x14ac:dyDescent="0.3">
      <c r="B162" s="98"/>
      <c r="C162" s="244" t="s">
        <v>50</v>
      </c>
      <c r="D162" s="249" t="s">
        <v>279</v>
      </c>
      <c r="E162" s="251"/>
      <c r="F162" s="251"/>
      <c r="G162" s="251"/>
      <c r="H162" s="251"/>
      <c r="I162" s="251"/>
      <c r="J162" s="251"/>
      <c r="K162" s="251"/>
      <c r="L162" s="251"/>
      <c r="M162" s="254"/>
      <c r="N162" s="254"/>
      <c r="O162" s="254"/>
      <c r="P162" s="254"/>
      <c r="Q162" s="254"/>
      <c r="R162" s="254"/>
      <c r="S162" s="254"/>
      <c r="T162" s="254"/>
      <c r="U162" s="254"/>
      <c r="V162" s="254"/>
      <c r="W162" s="254"/>
      <c r="X162" s="254"/>
      <c r="Y162" s="254"/>
      <c r="Z162" s="254"/>
      <c r="AA162" s="254"/>
      <c r="AB162" s="254"/>
      <c r="AC162" s="99"/>
      <c r="AD162" s="98"/>
    </row>
    <row r="163" spans="2:30" ht="18" customHeight="1" x14ac:dyDescent="0.3">
      <c r="B163" s="98"/>
      <c r="C163" s="99"/>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99"/>
      <c r="AD163" s="98"/>
    </row>
    <row r="164" spans="2:30" ht="18" customHeight="1" x14ac:dyDescent="0.3">
      <c r="B164" s="98"/>
      <c r="C164" s="173" t="s">
        <v>166</v>
      </c>
      <c r="D164" s="249" t="s">
        <v>283</v>
      </c>
      <c r="E164" s="251"/>
      <c r="F164" s="251"/>
      <c r="G164" s="251"/>
      <c r="H164" s="251"/>
      <c r="I164" s="251"/>
      <c r="J164" s="251"/>
      <c r="K164" s="251"/>
      <c r="L164" s="251"/>
      <c r="M164" s="251"/>
      <c r="N164" s="254"/>
      <c r="O164" s="254"/>
      <c r="P164" s="254"/>
      <c r="Q164" s="254"/>
      <c r="R164" s="254"/>
      <c r="S164" s="254"/>
      <c r="T164" s="254"/>
      <c r="U164" s="254"/>
      <c r="V164" s="254"/>
      <c r="W164" s="254"/>
      <c r="X164" s="254"/>
      <c r="Y164" s="254"/>
      <c r="Z164" s="254"/>
      <c r="AA164" s="254"/>
      <c r="AB164" s="254"/>
      <c r="AC164" s="99"/>
      <c r="AD164" s="98"/>
    </row>
    <row r="165" spans="2:30" ht="18" customHeight="1" x14ac:dyDescent="0.3">
      <c r="B165" s="98"/>
      <c r="C165" s="173" t="s">
        <v>167</v>
      </c>
      <c r="D165" s="249" t="s">
        <v>284</v>
      </c>
      <c r="E165" s="251"/>
      <c r="F165" s="251"/>
      <c r="G165" s="251"/>
      <c r="H165" s="251"/>
      <c r="I165" s="251"/>
      <c r="J165" s="251"/>
      <c r="K165" s="251"/>
      <c r="L165" s="251"/>
      <c r="M165" s="251"/>
      <c r="N165" s="254"/>
      <c r="O165" s="254"/>
      <c r="P165" s="254"/>
      <c r="Q165" s="254"/>
      <c r="R165" s="254"/>
      <c r="S165" s="254"/>
      <c r="T165" s="254"/>
      <c r="U165" s="254"/>
      <c r="V165" s="254"/>
      <c r="W165" s="254"/>
      <c r="X165" s="254"/>
      <c r="Y165" s="254"/>
      <c r="Z165" s="254"/>
      <c r="AA165" s="254"/>
      <c r="AB165" s="254"/>
      <c r="AC165" s="99"/>
      <c r="AD165" s="98"/>
    </row>
    <row r="166" spans="2:30" ht="18" customHeight="1" x14ac:dyDescent="0.3">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row>
    <row r="168" spans="2:30" ht="18" customHeight="1" x14ac:dyDescent="0.3">
      <c r="B168" s="105"/>
      <c r="C168" s="313" t="s">
        <v>105</v>
      </c>
      <c r="D168" s="313"/>
      <c r="E168" s="313"/>
      <c r="F168" s="105"/>
      <c r="G168" s="107"/>
      <c r="H168" s="107"/>
      <c r="I168" s="107"/>
      <c r="J168" s="98"/>
      <c r="K168" s="98"/>
      <c r="L168" s="98"/>
      <c r="M168" s="98"/>
      <c r="N168" s="98"/>
      <c r="O168" s="98"/>
      <c r="P168" s="98"/>
      <c r="Q168" s="98"/>
      <c r="R168" s="98"/>
      <c r="S168" s="98"/>
      <c r="T168" s="98"/>
      <c r="U168" s="98"/>
      <c r="V168" s="98"/>
      <c r="W168" s="98"/>
      <c r="X168" s="98"/>
      <c r="Y168" s="98"/>
      <c r="Z168" s="98"/>
      <c r="AA168" s="317" t="s">
        <v>307</v>
      </c>
      <c r="AB168" s="317"/>
      <c r="AC168" s="317"/>
      <c r="AD168" s="98"/>
    </row>
    <row r="169" spans="2:30" ht="18" customHeight="1" x14ac:dyDescent="0.3">
      <c r="B169" s="105"/>
      <c r="C169" s="313"/>
      <c r="D169" s="313"/>
      <c r="E169" s="313"/>
      <c r="F169" s="310" t="s">
        <v>209</v>
      </c>
      <c r="G169" s="310"/>
      <c r="H169" s="310"/>
      <c r="I169" s="310"/>
      <c r="J169" s="310"/>
      <c r="K169" s="98"/>
      <c r="L169" s="308" t="s">
        <v>40</v>
      </c>
      <c r="M169" s="308"/>
      <c r="N169" s="308"/>
      <c r="O169" s="308"/>
      <c r="P169" s="308"/>
      <c r="Q169" s="308"/>
      <c r="R169" s="308"/>
      <c r="S169" s="308"/>
      <c r="T169" s="98"/>
      <c r="U169" s="308" t="s">
        <v>265</v>
      </c>
      <c r="V169" s="308"/>
      <c r="W169" s="308"/>
      <c r="X169" s="308"/>
      <c r="Y169" s="308"/>
      <c r="Z169" s="308"/>
      <c r="AA169" s="308"/>
      <c r="AB169" s="308"/>
      <c r="AC169" s="308"/>
      <c r="AD169" s="98"/>
    </row>
    <row r="170" spans="2:30" ht="18" customHeight="1" x14ac:dyDescent="0.3">
      <c r="B170" s="98"/>
      <c r="C170" s="305" t="s">
        <v>288</v>
      </c>
      <c r="D170" s="305"/>
      <c r="E170" s="305"/>
      <c r="F170" s="305"/>
      <c r="G170" s="307" t="s">
        <v>286</v>
      </c>
      <c r="H170" s="307"/>
      <c r="I170" s="307"/>
      <c r="J170" s="307"/>
      <c r="K170" s="98"/>
      <c r="L170" s="309"/>
      <c r="M170" s="309"/>
      <c r="N170" s="309"/>
      <c r="O170" s="309"/>
      <c r="P170" s="309"/>
      <c r="Q170" s="309"/>
      <c r="R170" s="309"/>
      <c r="S170" s="309"/>
      <c r="T170" s="98"/>
      <c r="U170" s="308"/>
      <c r="V170" s="308"/>
      <c r="W170" s="308"/>
      <c r="X170" s="308"/>
      <c r="Y170" s="308"/>
      <c r="Z170" s="308"/>
      <c r="AA170" s="308"/>
      <c r="AB170" s="308"/>
      <c r="AC170" s="308"/>
      <c r="AD170" s="98"/>
    </row>
    <row r="171" spans="2:30" ht="18" customHeight="1" thickBot="1" x14ac:dyDescent="0.35">
      <c r="B171" s="98"/>
      <c r="C171" s="306"/>
      <c r="D171" s="306"/>
      <c r="E171" s="306"/>
      <c r="F171" s="306"/>
      <c r="G171" s="306"/>
      <c r="H171" s="306"/>
      <c r="I171" s="306"/>
      <c r="J171" s="306"/>
      <c r="K171" s="98"/>
      <c r="L171" s="73" t="s">
        <v>32</v>
      </c>
      <c r="M171" s="74" t="s">
        <v>33</v>
      </c>
      <c r="N171" s="76" t="s">
        <v>34</v>
      </c>
      <c r="O171" s="76" t="s">
        <v>38</v>
      </c>
      <c r="P171" s="74" t="s">
        <v>35</v>
      </c>
      <c r="Q171" s="75" t="s">
        <v>36</v>
      </c>
      <c r="R171" s="73" t="s">
        <v>37</v>
      </c>
      <c r="S171" s="76" t="s">
        <v>13</v>
      </c>
      <c r="T171" s="98"/>
      <c r="U171" s="75" t="s">
        <v>298</v>
      </c>
      <c r="V171" s="73" t="s">
        <v>32</v>
      </c>
      <c r="W171" s="74" t="s">
        <v>33</v>
      </c>
      <c r="X171" s="76" t="s">
        <v>34</v>
      </c>
      <c r="Y171" s="76" t="s">
        <v>38</v>
      </c>
      <c r="Z171" s="74" t="s">
        <v>35</v>
      </c>
      <c r="AA171" s="75" t="s">
        <v>36</v>
      </c>
      <c r="AB171" s="73" t="s">
        <v>37</v>
      </c>
      <c r="AC171" s="76" t="s">
        <v>13</v>
      </c>
      <c r="AD171" s="98"/>
    </row>
    <row r="172" spans="2:30" ht="18" customHeight="1" x14ac:dyDescent="0.3">
      <c r="B172" s="98"/>
      <c r="C172" s="135">
        <v>3</v>
      </c>
      <c r="D172" s="170" t="s">
        <v>0</v>
      </c>
      <c r="E172" s="16">
        <f ca="1">RANDBETWEEN(5,6)</f>
        <v>6</v>
      </c>
      <c r="F172" s="170" t="s">
        <v>1</v>
      </c>
      <c r="G172" s="3">
        <f ca="1">RANDBETWEEN(8,9)</f>
        <v>8</v>
      </c>
      <c r="H172" s="3" t="s">
        <v>2</v>
      </c>
      <c r="I172" s="83" t="s">
        <v>31</v>
      </c>
      <c r="J172" s="170">
        <f ca="1">RANDBETWEEN(680,710)</f>
        <v>691</v>
      </c>
      <c r="K172" s="104"/>
      <c r="L172" s="77" t="s">
        <v>35</v>
      </c>
      <c r="M172" s="116">
        <f>C172</f>
        <v>3</v>
      </c>
      <c r="N172" s="150">
        <f ca="1">E172</f>
        <v>6</v>
      </c>
      <c r="O172" s="88">
        <f ca="1">G172</f>
        <v>8</v>
      </c>
      <c r="P172" s="116">
        <v>1</v>
      </c>
      <c r="Q172" s="110">
        <v>0</v>
      </c>
      <c r="R172" s="134">
        <v>0</v>
      </c>
      <c r="S172" s="86">
        <f ca="1">J172</f>
        <v>691</v>
      </c>
      <c r="T172" s="104"/>
      <c r="U172" s="150">
        <f ca="1">C175</f>
        <v>34</v>
      </c>
      <c r="V172" s="114" t="s">
        <v>41</v>
      </c>
      <c r="W172" s="116">
        <v>1</v>
      </c>
      <c r="X172" s="87" t="s">
        <v>205</v>
      </c>
      <c r="Y172" s="153" t="s">
        <v>205</v>
      </c>
      <c r="Z172" s="160" t="s">
        <v>205</v>
      </c>
      <c r="AA172" s="110">
        <v>0</v>
      </c>
      <c r="AB172" s="134">
        <v>0</v>
      </c>
      <c r="AC172" s="86">
        <f ca="1">ROUND((J172/G172)/(C172/G172),2)</f>
        <v>230.33</v>
      </c>
      <c r="AD172" s="98"/>
    </row>
    <row r="173" spans="2:30" ht="18" customHeight="1" x14ac:dyDescent="0.3">
      <c r="B173" s="98"/>
      <c r="C173" s="136">
        <v>1</v>
      </c>
      <c r="D173" s="169" t="s">
        <v>0</v>
      </c>
      <c r="E173" s="159">
        <f ca="1">RANDBETWEEN(3,5)</f>
        <v>3</v>
      </c>
      <c r="F173" s="169" t="s">
        <v>1</v>
      </c>
      <c r="G173" s="168">
        <f ca="1">RANDBETWEEN(2,3)</f>
        <v>2</v>
      </c>
      <c r="H173" s="168" t="s">
        <v>2</v>
      </c>
      <c r="I173" s="84" t="s">
        <v>31</v>
      </c>
      <c r="J173" s="169">
        <f ca="1">RANDBETWEEN(300,400)</f>
        <v>380</v>
      </c>
      <c r="K173" s="104"/>
      <c r="L173" s="171" t="s">
        <v>36</v>
      </c>
      <c r="M173" s="129">
        <f>C173</f>
        <v>1</v>
      </c>
      <c r="N173" s="90">
        <f ca="1">E173</f>
        <v>3</v>
      </c>
      <c r="O173" s="91">
        <f ca="1">G173</f>
        <v>2</v>
      </c>
      <c r="P173" s="129">
        <v>0</v>
      </c>
      <c r="Q173" s="111">
        <v>1</v>
      </c>
      <c r="R173" s="132">
        <v>0</v>
      </c>
      <c r="S173" s="89">
        <f ca="1">J173</f>
        <v>380</v>
      </c>
      <c r="T173" s="104"/>
      <c r="U173" s="111">
        <v>0</v>
      </c>
      <c r="V173" s="175" t="s">
        <v>42</v>
      </c>
      <c r="W173" s="129">
        <v>0</v>
      </c>
      <c r="X173" s="90" t="s">
        <v>205</v>
      </c>
      <c r="Y173" s="154" t="s">
        <v>205</v>
      </c>
      <c r="Z173" s="176" t="s">
        <v>205</v>
      </c>
      <c r="AA173" s="111">
        <v>1</v>
      </c>
      <c r="AB173" s="132">
        <v>0</v>
      </c>
      <c r="AC173" s="89">
        <f ca="1">ROUND((J173-((J172/G172)*G173))-(((J172/G172)/(C172/G172))*(C173-((C172/G172)*G173))),2)</f>
        <v>149.66999999999999</v>
      </c>
      <c r="AD173" s="98"/>
    </row>
    <row r="174" spans="2:30" ht="18" customHeight="1" thickBot="1" x14ac:dyDescent="0.35">
      <c r="B174" s="98"/>
      <c r="C174" s="158">
        <f ca="1">RANDBETWEEN(3,4)</f>
        <v>4</v>
      </c>
      <c r="D174" s="169" t="s">
        <v>0</v>
      </c>
      <c r="E174" s="159">
        <f ca="1">RANDBETWEEN(5,8)</f>
        <v>6</v>
      </c>
      <c r="F174" s="169" t="s">
        <v>1</v>
      </c>
      <c r="G174" s="168">
        <f ca="1">RANDBETWEEN(10,11)</f>
        <v>10</v>
      </c>
      <c r="H174" s="168" t="s">
        <v>2</v>
      </c>
      <c r="I174" s="84" t="s">
        <v>31</v>
      </c>
      <c r="J174" s="169">
        <f ca="1">RANDBETWEEN(980,1100)</f>
        <v>1021</v>
      </c>
      <c r="K174" s="104"/>
      <c r="L174" s="73" t="s">
        <v>37</v>
      </c>
      <c r="M174" s="161">
        <f ca="1">C174</f>
        <v>4</v>
      </c>
      <c r="N174" s="131">
        <f ca="1">E174</f>
        <v>6</v>
      </c>
      <c r="O174" s="94">
        <f ca="1">G174</f>
        <v>10</v>
      </c>
      <c r="P174" s="130">
        <v>0</v>
      </c>
      <c r="Q174" s="131">
        <v>0</v>
      </c>
      <c r="R174" s="133">
        <v>1</v>
      </c>
      <c r="S174" s="92">
        <f ca="1">J174</f>
        <v>1021</v>
      </c>
      <c r="T174" s="104"/>
      <c r="U174" s="174">
        <v>0</v>
      </c>
      <c r="V174" s="113" t="s">
        <v>89</v>
      </c>
      <c r="W174" s="130">
        <v>0</v>
      </c>
      <c r="X174" s="93" t="s">
        <v>205</v>
      </c>
      <c r="Y174" s="155" t="s">
        <v>205</v>
      </c>
      <c r="Z174" s="161" t="s">
        <v>205</v>
      </c>
      <c r="AA174" s="131">
        <v>0</v>
      </c>
      <c r="AB174" s="133">
        <v>1</v>
      </c>
      <c r="AC174" s="92">
        <f ca="1">ROUND((J174-((J172/G172)*G174))-(((J172/G172)/(C172/G172))*(C174-((C172/G172)*G174))),2)</f>
        <v>99.67</v>
      </c>
      <c r="AD174" s="98"/>
    </row>
    <row r="175" spans="2:30" ht="18" customHeight="1" thickTop="1" x14ac:dyDescent="0.3">
      <c r="B175" s="98"/>
      <c r="C175" s="80">
        <f ca="1">RANDBETWEEN(32,35)</f>
        <v>34</v>
      </c>
      <c r="D175" s="81" t="s">
        <v>0</v>
      </c>
      <c r="E175" s="178">
        <f ca="1">RANDBETWEEN(38,41)</f>
        <v>38</v>
      </c>
      <c r="F175" s="81" t="s">
        <v>1</v>
      </c>
      <c r="G175" s="82">
        <f ca="1">RANDBETWEEN(71,85)</f>
        <v>82</v>
      </c>
      <c r="H175" s="82" t="s">
        <v>2</v>
      </c>
      <c r="I175" s="85" t="s">
        <v>6</v>
      </c>
      <c r="J175" s="81" t="s">
        <v>7</v>
      </c>
      <c r="K175" s="104"/>
      <c r="L175" s="78" t="s">
        <v>8</v>
      </c>
      <c r="M175" s="95">
        <f ca="1">C175*(-1)</f>
        <v>-34</v>
      </c>
      <c r="N175" s="138">
        <f ca="1">E175*(-1)</f>
        <v>-38</v>
      </c>
      <c r="O175" s="97">
        <f ca="1">G175*(-1)</f>
        <v>-82</v>
      </c>
      <c r="P175" s="116">
        <v>0</v>
      </c>
      <c r="Q175" s="110">
        <v>0</v>
      </c>
      <c r="R175" s="134">
        <v>0</v>
      </c>
      <c r="S175" s="139">
        <v>0</v>
      </c>
      <c r="T175" s="104"/>
      <c r="U175" s="311" t="s">
        <v>8</v>
      </c>
      <c r="V175" s="312"/>
      <c r="W175" s="112">
        <v>0</v>
      </c>
      <c r="X175" s="96">
        <f ca="1">ROUND((C175*((E172/G172)/(C172/G172)))-E175,2)</f>
        <v>30</v>
      </c>
      <c r="Y175" s="177">
        <f ca="1">ROUND((C175*(1/(C172/G172)))-G175,2)</f>
        <v>8.67</v>
      </c>
      <c r="Z175" s="160">
        <f ca="1">ROUND(C175*((1/G172)/(C172/G172)),2)</f>
        <v>11.33</v>
      </c>
      <c r="AA175" s="110">
        <v>0</v>
      </c>
      <c r="AB175" s="134">
        <v>0</v>
      </c>
      <c r="AC175" s="79">
        <f ca="1">ROUND(C175*((J172/G172)/(C172/G172)),2)</f>
        <v>7831.33</v>
      </c>
      <c r="AD175" s="98"/>
    </row>
    <row r="176" spans="2:30" ht="18" customHeight="1" x14ac:dyDescent="0.3">
      <c r="B176" s="117"/>
      <c r="C176" s="304" t="s">
        <v>187</v>
      </c>
      <c r="D176" s="304"/>
      <c r="E176" s="304"/>
      <c r="F176" s="117"/>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98"/>
    </row>
    <row r="177" spans="2:30" ht="18" customHeight="1" thickBot="1" x14ac:dyDescent="0.35">
      <c r="B177" s="117"/>
      <c r="C177" s="304"/>
      <c r="D177" s="304"/>
      <c r="E177" s="304"/>
      <c r="F177" s="99"/>
      <c r="G177" s="99"/>
      <c r="H177" s="109"/>
      <c r="I177" s="109"/>
      <c r="J177" s="98"/>
      <c r="K177" s="122"/>
      <c r="L177" s="118" t="s">
        <v>45</v>
      </c>
      <c r="M177" s="119" t="s">
        <v>44</v>
      </c>
      <c r="N177" s="104"/>
      <c r="O177" s="122"/>
      <c r="P177" s="118" t="s">
        <v>45</v>
      </c>
      <c r="Q177" s="119" t="s">
        <v>44</v>
      </c>
      <c r="R177" s="104"/>
      <c r="S177" s="122"/>
      <c r="T177" s="118" t="s">
        <v>45</v>
      </c>
      <c r="U177" s="119" t="s">
        <v>44</v>
      </c>
      <c r="V177" s="98"/>
      <c r="W177" s="122"/>
      <c r="X177" s="118" t="s">
        <v>45</v>
      </c>
      <c r="Y177" s="119" t="s">
        <v>44</v>
      </c>
      <c r="Z177" s="98"/>
      <c r="AA177" s="122"/>
      <c r="AB177" s="118" t="s">
        <v>45</v>
      </c>
      <c r="AC177" s="119" t="s">
        <v>44</v>
      </c>
      <c r="AD177" s="98"/>
    </row>
    <row r="178" spans="2:30" ht="18" customHeight="1" x14ac:dyDescent="0.3">
      <c r="B178" s="98"/>
      <c r="C178" s="172"/>
      <c r="D178" s="172"/>
      <c r="E178" s="172"/>
      <c r="F178" s="99"/>
      <c r="G178" s="99"/>
      <c r="H178" s="109"/>
      <c r="I178" s="108"/>
      <c r="J178" s="98"/>
      <c r="K178" s="121" t="s">
        <v>106</v>
      </c>
      <c r="L178" s="140">
        <v>3</v>
      </c>
      <c r="M178" s="141">
        <v>3</v>
      </c>
      <c r="N178" s="106"/>
      <c r="O178" s="121" t="s">
        <v>109</v>
      </c>
      <c r="P178" s="140">
        <v>1</v>
      </c>
      <c r="Q178" s="141">
        <v>1</v>
      </c>
      <c r="R178" s="104"/>
      <c r="S178" s="121" t="s">
        <v>112</v>
      </c>
      <c r="T178" s="162">
        <v>3</v>
      </c>
      <c r="U178" s="163">
        <v>4</v>
      </c>
      <c r="V178" s="98"/>
      <c r="W178" s="121" t="s">
        <v>115</v>
      </c>
      <c r="X178" s="124">
        <v>680</v>
      </c>
      <c r="Y178" s="125">
        <v>710</v>
      </c>
      <c r="Z178" s="98"/>
      <c r="AA178" s="121" t="s">
        <v>118</v>
      </c>
      <c r="AB178" s="124">
        <v>32</v>
      </c>
      <c r="AC178" s="125">
        <v>35</v>
      </c>
      <c r="AD178" s="98"/>
    </row>
    <row r="179" spans="2:30" ht="18" customHeight="1" x14ac:dyDescent="0.3">
      <c r="B179" s="98"/>
      <c r="C179" s="172" t="s">
        <v>51</v>
      </c>
      <c r="D179" s="172"/>
      <c r="E179" s="172"/>
      <c r="F179" s="148">
        <f>(M179-L179+1)*(M180-L180+1)*(Q179-P179+1)*(Q180-P180+1)*(U179-T179+1)*(U180-T180+1)*(Y178-X178+1)*(Y179-X179+1)*(Y180-X180+1)*(AC178-AB178+1)*(AC179-AB179+1)*(AC180-AB180+1)*(U178-T178+1)*(Q178-P178+1)*(M178-L178+1)</f>
        <v>34914908160</v>
      </c>
      <c r="G179" s="99"/>
      <c r="H179" s="109"/>
      <c r="I179" s="108"/>
      <c r="J179" s="98"/>
      <c r="K179" s="120" t="s">
        <v>107</v>
      </c>
      <c r="L179" s="162">
        <v>5</v>
      </c>
      <c r="M179" s="163">
        <v>6</v>
      </c>
      <c r="N179" s="106"/>
      <c r="O179" s="109" t="s">
        <v>110</v>
      </c>
      <c r="P179" s="124">
        <v>3</v>
      </c>
      <c r="Q179" s="125">
        <v>5</v>
      </c>
      <c r="R179" s="104"/>
      <c r="S179" s="109" t="s">
        <v>113</v>
      </c>
      <c r="T179" s="162">
        <v>5</v>
      </c>
      <c r="U179" s="163">
        <v>8</v>
      </c>
      <c r="V179" s="98"/>
      <c r="W179" s="109" t="s">
        <v>116</v>
      </c>
      <c r="X179" s="124">
        <v>300</v>
      </c>
      <c r="Y179" s="125">
        <v>400</v>
      </c>
      <c r="Z179" s="98"/>
      <c r="AA179" s="109" t="s">
        <v>119</v>
      </c>
      <c r="AB179" s="162">
        <v>38</v>
      </c>
      <c r="AC179" s="163">
        <v>41</v>
      </c>
      <c r="AD179" s="98"/>
    </row>
    <row r="180" spans="2:30" ht="18" customHeight="1" x14ac:dyDescent="0.3">
      <c r="B180" s="98"/>
      <c r="C180" s="259" t="s">
        <v>181</v>
      </c>
      <c r="D180" s="172"/>
      <c r="E180" s="172"/>
      <c r="F180" s="99"/>
      <c r="G180" s="99"/>
      <c r="H180" s="109"/>
      <c r="I180" s="108"/>
      <c r="J180" s="98"/>
      <c r="K180" s="120" t="s">
        <v>108</v>
      </c>
      <c r="L180" s="124">
        <v>8</v>
      </c>
      <c r="M180" s="125">
        <v>9</v>
      </c>
      <c r="N180" s="106"/>
      <c r="O180" s="109" t="s">
        <v>111</v>
      </c>
      <c r="P180" s="124">
        <v>2</v>
      </c>
      <c r="Q180" s="125">
        <v>3</v>
      </c>
      <c r="R180" s="104"/>
      <c r="S180" s="109" t="s">
        <v>114</v>
      </c>
      <c r="T180" s="124">
        <v>10</v>
      </c>
      <c r="U180" s="125">
        <v>11</v>
      </c>
      <c r="V180" s="98"/>
      <c r="W180" s="109" t="s">
        <v>117</v>
      </c>
      <c r="X180" s="124">
        <v>980</v>
      </c>
      <c r="Y180" s="125">
        <v>1100</v>
      </c>
      <c r="Z180" s="98"/>
      <c r="AA180" s="109" t="s">
        <v>120</v>
      </c>
      <c r="AB180" s="124">
        <v>71</v>
      </c>
      <c r="AC180" s="125">
        <v>85</v>
      </c>
      <c r="AD180" s="98"/>
    </row>
    <row r="181" spans="2:30" ht="18" customHeight="1" x14ac:dyDescent="0.3">
      <c r="B181" s="117"/>
      <c r="C181" s="303" t="s">
        <v>46</v>
      </c>
      <c r="D181" s="303"/>
      <c r="E181" s="303"/>
      <c r="F181" s="117"/>
      <c r="G181" s="117"/>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98"/>
    </row>
    <row r="182" spans="2:30" ht="18" customHeight="1" x14ac:dyDescent="0.3">
      <c r="B182" s="117"/>
      <c r="C182" s="303"/>
      <c r="D182" s="303"/>
      <c r="E182" s="303"/>
      <c r="F182" s="108"/>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98"/>
    </row>
    <row r="183" spans="2:30" ht="18" customHeight="1" x14ac:dyDescent="0.3">
      <c r="B183" s="104"/>
      <c r="C183" s="109" t="s">
        <v>52</v>
      </c>
      <c r="D183" s="250">
        <v>0</v>
      </c>
      <c r="E183" s="250"/>
      <c r="F183" s="250"/>
      <c r="G183" s="250"/>
      <c r="H183" s="250"/>
      <c r="I183" s="254"/>
      <c r="J183" s="254"/>
      <c r="K183" s="254"/>
      <c r="L183" s="254"/>
      <c r="M183" s="254"/>
      <c r="N183" s="254"/>
      <c r="O183" s="254"/>
      <c r="P183" s="254"/>
      <c r="Q183" s="125"/>
      <c r="R183" s="125"/>
      <c r="S183" s="125"/>
      <c r="T183" s="125"/>
      <c r="U183" s="125"/>
      <c r="V183" s="125"/>
      <c r="W183" s="125"/>
      <c r="X183" s="125"/>
      <c r="Y183" s="125"/>
      <c r="Z183" s="125"/>
      <c r="AA183" s="125"/>
      <c r="AB183" s="125"/>
      <c r="AC183" s="109"/>
      <c r="AD183" s="98"/>
    </row>
    <row r="184" spans="2:30" ht="18" customHeight="1" x14ac:dyDescent="0.3">
      <c r="B184" s="104"/>
      <c r="C184" s="109" t="s">
        <v>53</v>
      </c>
      <c r="D184" s="250" t="s">
        <v>200</v>
      </c>
      <c r="E184" s="250"/>
      <c r="F184" s="250"/>
      <c r="G184" s="250"/>
      <c r="H184" s="250"/>
      <c r="I184" s="250"/>
      <c r="J184" s="250"/>
      <c r="K184" s="250"/>
      <c r="L184" s="250"/>
      <c r="M184" s="250"/>
      <c r="N184" s="250"/>
      <c r="O184" s="250"/>
      <c r="P184" s="250"/>
      <c r="Q184" s="227"/>
      <c r="R184" s="227"/>
      <c r="S184" s="227"/>
      <c r="T184" s="227"/>
      <c r="U184" s="227"/>
      <c r="V184" s="227"/>
      <c r="W184" s="227"/>
      <c r="X184" s="227"/>
      <c r="Y184" s="227"/>
      <c r="Z184" s="227"/>
      <c r="AA184" s="227"/>
      <c r="AB184" s="125"/>
      <c r="AC184" s="109"/>
      <c r="AD184" s="98"/>
    </row>
    <row r="185" spans="2:30" ht="18" customHeight="1" x14ac:dyDescent="0.3">
      <c r="B185" s="104"/>
      <c r="C185" s="109" t="s">
        <v>54</v>
      </c>
      <c r="D185" s="250" t="s">
        <v>201</v>
      </c>
      <c r="E185" s="250"/>
      <c r="F185" s="250"/>
      <c r="G185" s="250"/>
      <c r="H185" s="250"/>
      <c r="I185" s="250"/>
      <c r="J185" s="250"/>
      <c r="K185" s="250"/>
      <c r="L185" s="254"/>
      <c r="M185" s="254"/>
      <c r="N185" s="254"/>
      <c r="O185" s="254"/>
      <c r="P185" s="254"/>
      <c r="Q185" s="125"/>
      <c r="R185" s="125"/>
      <c r="S185" s="125"/>
      <c r="T185" s="125"/>
      <c r="U185" s="125"/>
      <c r="V185" s="125"/>
      <c r="W185" s="125"/>
      <c r="X185" s="125"/>
      <c r="Y185" s="125"/>
      <c r="Z185" s="125"/>
      <c r="AA185" s="125"/>
      <c r="AB185" s="125"/>
      <c r="AC185" s="109"/>
      <c r="AD185" s="98"/>
    </row>
    <row r="186" spans="2:30" ht="18" customHeight="1" x14ac:dyDescent="0.3">
      <c r="B186" s="104"/>
      <c r="C186" s="109" t="s">
        <v>218</v>
      </c>
      <c r="D186" s="250" t="s">
        <v>202</v>
      </c>
      <c r="E186" s="250"/>
      <c r="F186" s="250"/>
      <c r="G186" s="250"/>
      <c r="H186" s="250"/>
      <c r="I186" s="250"/>
      <c r="J186" s="250"/>
      <c r="K186" s="254"/>
      <c r="L186" s="254"/>
      <c r="M186" s="254"/>
      <c r="N186" s="254"/>
      <c r="O186" s="254"/>
      <c r="P186" s="254"/>
      <c r="Q186" s="125"/>
      <c r="R186" s="125"/>
      <c r="S186" s="125"/>
      <c r="T186" s="125"/>
      <c r="U186" s="125"/>
      <c r="V186" s="125"/>
      <c r="W186" s="125"/>
      <c r="X186" s="125"/>
      <c r="Y186" s="125"/>
      <c r="Z186" s="125"/>
      <c r="AA186" s="125"/>
      <c r="AB186" s="125"/>
      <c r="AC186" s="109"/>
      <c r="AD186" s="98"/>
    </row>
    <row r="187" spans="2:30" ht="18" customHeight="1" x14ac:dyDescent="0.3">
      <c r="B187" s="104"/>
      <c r="C187" s="109" t="s">
        <v>219</v>
      </c>
      <c r="D187" s="250">
        <v>0</v>
      </c>
      <c r="E187" s="250"/>
      <c r="F187" s="250"/>
      <c r="G187" s="250"/>
      <c r="H187" s="250"/>
      <c r="I187" s="250"/>
      <c r="J187" s="250"/>
      <c r="K187" s="250"/>
      <c r="L187" s="250"/>
      <c r="M187" s="250"/>
      <c r="N187" s="250"/>
      <c r="O187" s="250"/>
      <c r="P187" s="250"/>
      <c r="Q187" s="227"/>
      <c r="R187" s="227"/>
      <c r="S187" s="250"/>
      <c r="T187" s="250"/>
      <c r="U187" s="250"/>
      <c r="V187" s="250"/>
      <c r="W187" s="250"/>
      <c r="X187" s="250"/>
      <c r="Y187" s="250"/>
      <c r="Z187" s="250"/>
      <c r="AA187" s="250"/>
      <c r="AB187" s="125"/>
      <c r="AC187" s="109"/>
      <c r="AD187" s="98"/>
    </row>
    <row r="188" spans="2:30" ht="18" customHeight="1" x14ac:dyDescent="0.3">
      <c r="B188" s="104"/>
      <c r="C188" s="109" t="s">
        <v>220</v>
      </c>
      <c r="D188" s="250">
        <v>0</v>
      </c>
      <c r="E188" s="250"/>
      <c r="F188" s="250"/>
      <c r="G188" s="250"/>
      <c r="H188" s="250"/>
      <c r="I188" s="250"/>
      <c r="J188" s="250"/>
      <c r="K188" s="250"/>
      <c r="L188" s="250"/>
      <c r="M188" s="250"/>
      <c r="N188" s="250"/>
      <c r="O188" s="250"/>
      <c r="P188" s="250"/>
      <c r="Q188" s="227"/>
      <c r="R188" s="227"/>
      <c r="S188" s="227"/>
      <c r="T188" s="227"/>
      <c r="U188" s="227"/>
      <c r="V188" s="227"/>
      <c r="W188" s="227"/>
      <c r="X188" s="227"/>
      <c r="Y188" s="125"/>
      <c r="Z188" s="125"/>
      <c r="AA188" s="256"/>
      <c r="AB188" s="256"/>
      <c r="AC188" s="99"/>
      <c r="AD188" s="98"/>
    </row>
    <row r="189" spans="2:30" ht="18" customHeight="1" x14ac:dyDescent="0.3">
      <c r="B189" s="104"/>
      <c r="C189" s="109" t="s">
        <v>8</v>
      </c>
      <c r="D189" s="250" t="s">
        <v>203</v>
      </c>
      <c r="E189" s="250"/>
      <c r="F189" s="250"/>
      <c r="G189" s="250"/>
      <c r="H189" s="250"/>
      <c r="I189" s="250"/>
      <c r="J189" s="250"/>
      <c r="K189" s="250"/>
      <c r="L189" s="250"/>
      <c r="M189" s="250"/>
      <c r="N189" s="250"/>
      <c r="O189" s="250"/>
      <c r="P189" s="250"/>
      <c r="Q189" s="227"/>
      <c r="R189" s="227"/>
      <c r="S189" s="227"/>
      <c r="T189" s="227"/>
      <c r="U189" s="227"/>
      <c r="V189" s="227"/>
      <c r="W189" s="227"/>
      <c r="X189" s="227"/>
      <c r="Y189" s="227"/>
      <c r="Z189" s="227"/>
      <c r="AA189" s="256"/>
      <c r="AB189" s="256"/>
      <c r="AC189" s="99"/>
      <c r="AD189" s="98"/>
    </row>
    <row r="190" spans="2:30" ht="18" customHeight="1" x14ac:dyDescent="0.3">
      <c r="B190" s="104"/>
      <c r="C190" s="99"/>
      <c r="D190" s="167"/>
      <c r="E190" s="253"/>
      <c r="F190" s="253"/>
      <c r="G190" s="253"/>
      <c r="H190" s="253"/>
      <c r="I190" s="253"/>
      <c r="J190" s="253"/>
      <c r="K190" s="253"/>
      <c r="L190" s="253"/>
      <c r="M190" s="253"/>
      <c r="N190" s="253"/>
      <c r="O190" s="253"/>
      <c r="P190" s="253"/>
      <c r="Q190" s="99"/>
      <c r="R190" s="99"/>
      <c r="S190" s="99"/>
      <c r="T190" s="99"/>
      <c r="U190" s="99"/>
      <c r="V190" s="99"/>
      <c r="W190" s="99"/>
      <c r="X190" s="99"/>
      <c r="Y190" s="99"/>
      <c r="Z190" s="99"/>
      <c r="AA190" s="99"/>
      <c r="AB190" s="99"/>
      <c r="AC190" s="99"/>
      <c r="AD190" s="98"/>
    </row>
    <row r="191" spans="2:30" ht="18" customHeight="1" x14ac:dyDescent="0.3">
      <c r="B191" s="104"/>
      <c r="C191" s="244" t="s">
        <v>48</v>
      </c>
      <c r="D191" s="250" t="s">
        <v>280</v>
      </c>
      <c r="E191" s="250"/>
      <c r="F191" s="250"/>
      <c r="G191" s="250"/>
      <c r="H191" s="250"/>
      <c r="I191" s="250"/>
      <c r="J191" s="250"/>
      <c r="K191" s="250"/>
      <c r="L191" s="250"/>
      <c r="M191" s="250"/>
      <c r="N191" s="250"/>
      <c r="O191" s="250"/>
      <c r="P191" s="250"/>
      <c r="Q191" s="227"/>
      <c r="R191" s="227"/>
      <c r="S191" s="227"/>
      <c r="T191" s="227"/>
      <c r="U191" s="227"/>
      <c r="V191" s="256"/>
      <c r="W191" s="256"/>
      <c r="X191" s="256"/>
      <c r="Y191" s="256"/>
      <c r="Z191" s="256"/>
      <c r="AA191" s="256"/>
      <c r="AB191" s="256"/>
      <c r="AC191" s="99"/>
      <c r="AD191" s="98"/>
    </row>
    <row r="192" spans="2:30" ht="18" customHeight="1" x14ac:dyDescent="0.3">
      <c r="B192" s="104"/>
      <c r="C192" s="244" t="s">
        <v>49</v>
      </c>
      <c r="D192" s="250" t="s">
        <v>281</v>
      </c>
      <c r="E192" s="250"/>
      <c r="F192" s="250"/>
      <c r="G192" s="250"/>
      <c r="H192" s="250"/>
      <c r="I192" s="250"/>
      <c r="J192" s="250"/>
      <c r="K192" s="250"/>
      <c r="L192" s="250"/>
      <c r="M192" s="250"/>
      <c r="N192" s="250"/>
      <c r="O192" s="250"/>
      <c r="P192" s="250"/>
      <c r="Q192" s="227"/>
      <c r="R192" s="256"/>
      <c r="S192" s="256"/>
      <c r="T192" s="256"/>
      <c r="U192" s="256"/>
      <c r="V192" s="256"/>
      <c r="W192" s="256"/>
      <c r="X192" s="256"/>
      <c r="Y192" s="256"/>
      <c r="Z192" s="256"/>
      <c r="AA192" s="256"/>
      <c r="AB192" s="256"/>
      <c r="AC192" s="99"/>
      <c r="AD192" s="98"/>
    </row>
    <row r="193" spans="2:30" ht="18" customHeight="1" x14ac:dyDescent="0.3">
      <c r="B193" s="104"/>
      <c r="C193" s="244" t="s">
        <v>50</v>
      </c>
      <c r="D193" s="250" t="s">
        <v>282</v>
      </c>
      <c r="E193" s="250"/>
      <c r="F193" s="250"/>
      <c r="G193" s="250"/>
      <c r="H193" s="250"/>
      <c r="I193" s="250"/>
      <c r="J193" s="250"/>
      <c r="K193" s="250"/>
      <c r="L193" s="250"/>
      <c r="M193" s="250"/>
      <c r="N193" s="250"/>
      <c r="O193" s="250"/>
      <c r="P193" s="250"/>
      <c r="Q193" s="227"/>
      <c r="R193" s="256"/>
      <c r="S193" s="256"/>
      <c r="T193" s="256"/>
      <c r="U193" s="256"/>
      <c r="V193" s="256"/>
      <c r="W193" s="256"/>
      <c r="X193" s="256"/>
      <c r="Y193" s="256"/>
      <c r="Z193" s="256"/>
      <c r="AA193" s="256"/>
      <c r="AB193" s="256"/>
      <c r="AC193" s="99"/>
      <c r="AD193" s="98"/>
    </row>
    <row r="194" spans="2:30" ht="18" customHeight="1" x14ac:dyDescent="0.3">
      <c r="B194" s="104"/>
      <c r="C194" s="109"/>
      <c r="D194" s="167"/>
      <c r="E194" s="167"/>
      <c r="F194" s="167"/>
      <c r="G194" s="167"/>
      <c r="H194" s="167"/>
      <c r="I194" s="167"/>
      <c r="J194" s="167"/>
      <c r="K194" s="167"/>
      <c r="L194" s="167"/>
      <c r="M194" s="167"/>
      <c r="N194" s="167"/>
      <c r="O194" s="167"/>
      <c r="P194" s="167"/>
      <c r="Q194" s="166"/>
      <c r="R194" s="99"/>
      <c r="S194" s="99"/>
      <c r="T194" s="99"/>
      <c r="U194" s="99"/>
      <c r="V194" s="99"/>
      <c r="W194" s="99"/>
      <c r="X194" s="99"/>
      <c r="Y194" s="99"/>
      <c r="Z194" s="99"/>
      <c r="AA194" s="99"/>
      <c r="AB194" s="99"/>
      <c r="AC194" s="99"/>
      <c r="AD194" s="98"/>
    </row>
    <row r="195" spans="2:30" ht="18" customHeight="1" x14ac:dyDescent="0.3">
      <c r="B195" s="104"/>
      <c r="C195" s="173" t="s">
        <v>168</v>
      </c>
      <c r="D195" s="250" t="s">
        <v>108</v>
      </c>
      <c r="E195" s="250"/>
      <c r="F195" s="250"/>
      <c r="G195" s="250"/>
      <c r="H195" s="250"/>
      <c r="I195" s="250"/>
      <c r="J195" s="250"/>
      <c r="K195" s="250"/>
      <c r="L195" s="250"/>
      <c r="M195" s="250"/>
      <c r="N195" s="250"/>
      <c r="O195" s="250"/>
      <c r="P195" s="250"/>
      <c r="Q195" s="227"/>
      <c r="R195" s="227"/>
      <c r="S195" s="227"/>
      <c r="T195" s="227"/>
      <c r="U195" s="256"/>
      <c r="V195" s="256"/>
      <c r="W195" s="256"/>
      <c r="X195" s="256"/>
      <c r="Y195" s="256"/>
      <c r="Z195" s="256"/>
      <c r="AA195" s="256"/>
      <c r="AB195" s="256"/>
      <c r="AC195" s="99"/>
      <c r="AD195" s="98"/>
    </row>
    <row r="196" spans="2:30" ht="18" customHeight="1" x14ac:dyDescent="0.3">
      <c r="B196" s="104"/>
      <c r="C196" s="173" t="s">
        <v>169</v>
      </c>
      <c r="D196" s="250" t="s">
        <v>204</v>
      </c>
      <c r="E196" s="250"/>
      <c r="F196" s="250"/>
      <c r="G196" s="250"/>
      <c r="H196" s="250"/>
      <c r="I196" s="250"/>
      <c r="J196" s="250"/>
      <c r="K196" s="250"/>
      <c r="L196" s="250"/>
      <c r="M196" s="250"/>
      <c r="N196" s="250"/>
      <c r="O196" s="250"/>
      <c r="P196" s="250"/>
      <c r="Q196" s="227"/>
      <c r="R196" s="256"/>
      <c r="S196" s="256"/>
      <c r="T196" s="256"/>
      <c r="U196" s="256"/>
      <c r="V196" s="256"/>
      <c r="W196" s="256"/>
      <c r="X196" s="256"/>
      <c r="Y196" s="256"/>
      <c r="Z196" s="256"/>
      <c r="AA196" s="256"/>
      <c r="AB196" s="256"/>
      <c r="AC196" s="99"/>
      <c r="AD196" s="98"/>
    </row>
    <row r="197" spans="2:30" ht="18" customHeight="1" x14ac:dyDescent="0.3">
      <c r="B197" s="117"/>
      <c r="C197" s="303" t="s">
        <v>188</v>
      </c>
      <c r="D197" s="303"/>
      <c r="E197" s="303"/>
      <c r="F197" s="117"/>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row>
    <row r="198" spans="2:30" ht="18" customHeight="1" x14ac:dyDescent="0.3">
      <c r="B198" s="117"/>
      <c r="C198" s="303"/>
      <c r="D198" s="303"/>
      <c r="E198" s="303"/>
      <c r="F198" s="108"/>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8"/>
    </row>
    <row r="199" spans="2:30" ht="18" customHeight="1" x14ac:dyDescent="0.3">
      <c r="B199" s="98"/>
      <c r="C199" s="109" t="s">
        <v>52</v>
      </c>
      <c r="D199" s="249" t="s">
        <v>311</v>
      </c>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4"/>
      <c r="AB199" s="254"/>
      <c r="AC199" s="99"/>
      <c r="AD199" s="98"/>
    </row>
    <row r="200" spans="2:30" ht="18" customHeight="1" x14ac:dyDescent="0.3">
      <c r="B200" s="98"/>
      <c r="C200" s="109" t="s">
        <v>53</v>
      </c>
      <c r="D200" s="249" t="s">
        <v>312</v>
      </c>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4"/>
      <c r="AB200" s="254"/>
      <c r="AC200" s="99"/>
      <c r="AD200" s="98"/>
    </row>
    <row r="201" spans="2:30" ht="18" customHeight="1" x14ac:dyDescent="0.3">
      <c r="B201" s="98"/>
      <c r="C201" s="109" t="s">
        <v>54</v>
      </c>
      <c r="D201" s="249" t="s">
        <v>313</v>
      </c>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4"/>
      <c r="AB201" s="254"/>
      <c r="AC201" s="99"/>
      <c r="AD201" s="98"/>
    </row>
    <row r="202" spans="2:30" ht="18" customHeight="1" x14ac:dyDescent="0.3">
      <c r="B202" s="98"/>
      <c r="C202" s="109" t="s">
        <v>291</v>
      </c>
      <c r="D202" s="249" t="s">
        <v>315</v>
      </c>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99"/>
      <c r="AD202" s="98"/>
    </row>
    <row r="203" spans="2:30" ht="18" customHeight="1" x14ac:dyDescent="0.3">
      <c r="B203" s="98"/>
      <c r="C203" s="109" t="s">
        <v>290</v>
      </c>
      <c r="D203" s="249" t="s">
        <v>316</v>
      </c>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99"/>
      <c r="AD203" s="98"/>
    </row>
    <row r="204" spans="2:30" ht="18" customHeight="1" x14ac:dyDescent="0.3">
      <c r="B204" s="98"/>
      <c r="C204" s="109" t="s">
        <v>293</v>
      </c>
      <c r="D204" s="249" t="s">
        <v>317</v>
      </c>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c r="AA204" s="249"/>
      <c r="AB204" s="249"/>
      <c r="AC204" s="99"/>
      <c r="AD204" s="98"/>
    </row>
    <row r="205" spans="2:30" ht="18" customHeight="1" x14ac:dyDescent="0.3">
      <c r="B205" s="98"/>
      <c r="C205" s="109" t="s">
        <v>292</v>
      </c>
      <c r="D205" s="249" t="s">
        <v>318</v>
      </c>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c r="AA205" s="249"/>
      <c r="AB205" s="249"/>
      <c r="AC205" s="99"/>
      <c r="AD205" s="98"/>
    </row>
    <row r="206" spans="2:30" ht="18" customHeight="1" x14ac:dyDescent="0.3">
      <c r="B206" s="98"/>
      <c r="C206" s="109" t="s">
        <v>294</v>
      </c>
      <c r="D206" s="249" t="s">
        <v>319</v>
      </c>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99"/>
      <c r="AD206" s="98"/>
    </row>
    <row r="207" spans="2:30" ht="18" customHeight="1" x14ac:dyDescent="0.3">
      <c r="B207" s="98"/>
      <c r="C207" s="109" t="s">
        <v>295</v>
      </c>
      <c r="D207" s="249" t="s">
        <v>320</v>
      </c>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49"/>
      <c r="AB207" s="249"/>
      <c r="AC207" s="99"/>
      <c r="AD207" s="98"/>
    </row>
    <row r="208" spans="2:30" ht="18" customHeight="1" x14ac:dyDescent="0.3">
      <c r="B208" s="98"/>
      <c r="C208" s="109" t="s">
        <v>8</v>
      </c>
      <c r="D208" s="249" t="s">
        <v>182</v>
      </c>
      <c r="E208" s="252"/>
      <c r="F208" s="252"/>
      <c r="G208" s="252"/>
      <c r="H208" s="252"/>
      <c r="I208" s="252"/>
      <c r="J208" s="252"/>
      <c r="K208" s="252"/>
      <c r="L208" s="252"/>
      <c r="M208" s="252"/>
      <c r="N208" s="252"/>
      <c r="O208" s="254"/>
      <c r="P208" s="254"/>
      <c r="Q208" s="254"/>
      <c r="R208" s="254"/>
      <c r="S208" s="254"/>
      <c r="T208" s="254"/>
      <c r="U208" s="254"/>
      <c r="V208" s="254"/>
      <c r="W208" s="254"/>
      <c r="X208" s="254"/>
      <c r="Y208" s="254"/>
      <c r="Z208" s="254"/>
      <c r="AA208" s="254"/>
      <c r="AB208" s="254"/>
      <c r="AC208" s="99"/>
      <c r="AD208" s="98"/>
    </row>
    <row r="209" spans="2:30" ht="18" customHeight="1" x14ac:dyDescent="0.3">
      <c r="B209" s="98"/>
      <c r="C209" s="99"/>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99"/>
      <c r="AD209" s="98"/>
    </row>
    <row r="210" spans="2:30" ht="18" customHeight="1" x14ac:dyDescent="0.3">
      <c r="B210" s="98"/>
      <c r="C210" s="244" t="s">
        <v>48</v>
      </c>
      <c r="D210" s="249" t="s">
        <v>268</v>
      </c>
      <c r="E210" s="251"/>
      <c r="F210" s="251"/>
      <c r="G210" s="251"/>
      <c r="H210" s="251"/>
      <c r="I210" s="251"/>
      <c r="J210" s="251"/>
      <c r="K210" s="251"/>
      <c r="L210" s="251"/>
      <c r="M210" s="251"/>
      <c r="N210" s="251"/>
      <c r="O210" s="251"/>
      <c r="P210" s="254"/>
      <c r="Q210" s="254"/>
      <c r="R210" s="254"/>
      <c r="S210" s="254"/>
      <c r="T210" s="254"/>
      <c r="U210" s="254"/>
      <c r="V210" s="254"/>
      <c r="W210" s="254"/>
      <c r="X210" s="254"/>
      <c r="Y210" s="254"/>
      <c r="Z210" s="254"/>
      <c r="AA210" s="254"/>
      <c r="AB210" s="254"/>
      <c r="AC210" s="99"/>
      <c r="AD210" s="98"/>
    </row>
    <row r="211" spans="2:30" ht="18" customHeight="1" x14ac:dyDescent="0.3">
      <c r="B211" s="98"/>
      <c r="C211" s="244" t="s">
        <v>49</v>
      </c>
      <c r="D211" s="249" t="s">
        <v>267</v>
      </c>
      <c r="E211" s="251"/>
      <c r="F211" s="251"/>
      <c r="G211" s="251"/>
      <c r="H211" s="251"/>
      <c r="I211" s="251"/>
      <c r="J211" s="251"/>
      <c r="K211" s="251"/>
      <c r="L211" s="251"/>
      <c r="M211" s="251"/>
      <c r="N211" s="254"/>
      <c r="O211" s="254"/>
      <c r="P211" s="254"/>
      <c r="Q211" s="254"/>
      <c r="R211" s="254"/>
      <c r="S211" s="254"/>
      <c r="T211" s="254"/>
      <c r="U211" s="254"/>
      <c r="V211" s="254"/>
      <c r="W211" s="254"/>
      <c r="X211" s="254"/>
      <c r="Y211" s="254"/>
      <c r="Z211" s="254"/>
      <c r="AA211" s="254"/>
      <c r="AB211" s="254"/>
      <c r="AC211" s="99"/>
      <c r="AD211" s="98"/>
    </row>
    <row r="212" spans="2:30" ht="18" customHeight="1" x14ac:dyDescent="0.3">
      <c r="B212" s="98"/>
      <c r="C212" s="244" t="s">
        <v>50</v>
      </c>
      <c r="D212" s="249" t="s">
        <v>279</v>
      </c>
      <c r="E212" s="251"/>
      <c r="F212" s="251"/>
      <c r="G212" s="251"/>
      <c r="H212" s="251"/>
      <c r="I212" s="251"/>
      <c r="J212" s="251"/>
      <c r="K212" s="251"/>
      <c r="L212" s="251"/>
      <c r="M212" s="254"/>
      <c r="N212" s="254"/>
      <c r="O212" s="254"/>
      <c r="P212" s="254"/>
      <c r="Q212" s="254"/>
      <c r="R212" s="254"/>
      <c r="S212" s="254"/>
      <c r="T212" s="254"/>
      <c r="U212" s="254"/>
      <c r="V212" s="254"/>
      <c r="W212" s="254"/>
      <c r="X212" s="254"/>
      <c r="Y212" s="254"/>
      <c r="Z212" s="254"/>
      <c r="AA212" s="254"/>
      <c r="AB212" s="254"/>
      <c r="AC212" s="99"/>
      <c r="AD212" s="98"/>
    </row>
    <row r="213" spans="2:30" ht="18" customHeight="1" x14ac:dyDescent="0.3">
      <c r="B213" s="98"/>
      <c r="C213" s="99"/>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99"/>
      <c r="AD213" s="98"/>
    </row>
    <row r="214" spans="2:30" ht="18" customHeight="1" x14ac:dyDescent="0.3">
      <c r="B214" s="98"/>
      <c r="C214" s="173" t="s">
        <v>168</v>
      </c>
      <c r="D214" s="249" t="s">
        <v>283</v>
      </c>
      <c r="E214" s="251"/>
      <c r="F214" s="251"/>
      <c r="G214" s="251"/>
      <c r="H214" s="251"/>
      <c r="I214" s="251"/>
      <c r="J214" s="251"/>
      <c r="K214" s="251"/>
      <c r="L214" s="251"/>
      <c r="M214" s="251"/>
      <c r="N214" s="254"/>
      <c r="O214" s="254"/>
      <c r="P214" s="254"/>
      <c r="Q214" s="254"/>
      <c r="R214" s="254"/>
      <c r="S214" s="254"/>
      <c r="T214" s="254"/>
      <c r="U214" s="254"/>
      <c r="V214" s="254"/>
      <c r="W214" s="254"/>
      <c r="X214" s="254"/>
      <c r="Y214" s="254"/>
      <c r="Z214" s="254"/>
      <c r="AA214" s="254"/>
      <c r="AB214" s="254"/>
      <c r="AC214" s="99"/>
      <c r="AD214" s="98"/>
    </row>
    <row r="215" spans="2:30" ht="18" customHeight="1" x14ac:dyDescent="0.3">
      <c r="B215" s="98"/>
      <c r="C215" s="173" t="s">
        <v>169</v>
      </c>
      <c r="D215" s="249" t="s">
        <v>284</v>
      </c>
      <c r="E215" s="251"/>
      <c r="F215" s="251"/>
      <c r="G215" s="251"/>
      <c r="H215" s="251"/>
      <c r="I215" s="251"/>
      <c r="J215" s="251"/>
      <c r="K215" s="251"/>
      <c r="L215" s="251"/>
      <c r="M215" s="251"/>
      <c r="N215" s="254"/>
      <c r="O215" s="254"/>
      <c r="P215" s="254"/>
      <c r="Q215" s="254"/>
      <c r="R215" s="254"/>
      <c r="S215" s="254"/>
      <c r="T215" s="254"/>
      <c r="U215" s="254"/>
      <c r="V215" s="254"/>
      <c r="W215" s="254"/>
      <c r="X215" s="254"/>
      <c r="Y215" s="254"/>
      <c r="Z215" s="254"/>
      <c r="AA215" s="254"/>
      <c r="AB215" s="254"/>
      <c r="AC215" s="99"/>
      <c r="AD215" s="98"/>
    </row>
    <row r="216" spans="2:30" ht="18" customHeight="1" x14ac:dyDescent="0.3">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row>
  </sheetData>
  <mergeCells count="58">
    <mergeCell ref="L2:M3"/>
    <mergeCell ref="C18:E19"/>
    <mergeCell ref="L4:AC10"/>
    <mergeCell ref="C4:E5"/>
    <mergeCell ref="C2:H3"/>
    <mergeCell ref="C15:E15"/>
    <mergeCell ref="C13:E14"/>
    <mergeCell ref="L14:M14"/>
    <mergeCell ref="F14:G14"/>
    <mergeCell ref="F15:G15"/>
    <mergeCell ref="H14:I14"/>
    <mergeCell ref="H15:I15"/>
    <mergeCell ref="J14:K14"/>
    <mergeCell ref="J15:K15"/>
    <mergeCell ref="L15:M15"/>
    <mergeCell ref="C147:E148"/>
    <mergeCell ref="C81:E82"/>
    <mergeCell ref="C76:E77"/>
    <mergeCell ref="C97:E98"/>
    <mergeCell ref="C118:E119"/>
    <mergeCell ref="C26:E27"/>
    <mergeCell ref="AA18:AC18"/>
    <mergeCell ref="AA68:AC68"/>
    <mergeCell ref="U19:AC20"/>
    <mergeCell ref="U125:V125"/>
    <mergeCell ref="L119:S120"/>
    <mergeCell ref="U119:AC120"/>
    <mergeCell ref="U25:V25"/>
    <mergeCell ref="L69:S70"/>
    <mergeCell ref="U69:AC70"/>
    <mergeCell ref="AA118:AC118"/>
    <mergeCell ref="L19:S20"/>
    <mergeCell ref="U75:V75"/>
    <mergeCell ref="F19:J19"/>
    <mergeCell ref="C20:F21"/>
    <mergeCell ref="G20:J21"/>
    <mergeCell ref="U175:V175"/>
    <mergeCell ref="U169:AC170"/>
    <mergeCell ref="C168:E169"/>
    <mergeCell ref="C181:E182"/>
    <mergeCell ref="C31:E32"/>
    <mergeCell ref="C47:E48"/>
    <mergeCell ref="G120:J121"/>
    <mergeCell ref="C120:F121"/>
    <mergeCell ref="F119:J119"/>
    <mergeCell ref="C68:E69"/>
    <mergeCell ref="C70:F71"/>
    <mergeCell ref="G70:J71"/>
    <mergeCell ref="AA168:AC168"/>
    <mergeCell ref="C126:E127"/>
    <mergeCell ref="C131:E132"/>
    <mergeCell ref="F69:J69"/>
    <mergeCell ref="C197:E198"/>
    <mergeCell ref="C176:E177"/>
    <mergeCell ref="C170:F171"/>
    <mergeCell ref="G170:J171"/>
    <mergeCell ref="L169:S170"/>
    <mergeCell ref="F169:J169"/>
  </mergeCells>
  <phoneticPr fontId="6" type="noConversion"/>
  <hyperlinks>
    <hyperlink ref="F14" location="'Více cest'!B27" display="'Více cest'!B27" xr:uid="{E64FD54D-53FD-43A8-A4B2-7A5B2D3B6136}"/>
    <hyperlink ref="F14:G14" location="Zmrzlina_MAX!C19" display="Varianta 1" xr:uid="{AF0E41B2-B0DC-41BA-B3A0-4CD7263BE29E}"/>
    <hyperlink ref="H14:I14" location="Zmrzlina_MAX!C69" display="Varianta 2" xr:uid="{0DC16D38-05AE-40B9-BB55-F92B16959E50}"/>
    <hyperlink ref="J14:K14" location="Zmrzlina_MAX!C119" display="Varianta 3" xr:uid="{632E6890-D550-4655-A768-AC3229A2ABC3}"/>
    <hyperlink ref="L14:M14" location="Zmrzlina_MAX!C169" display="Varianta 4" xr:uid="{B32A1F43-2FE1-4CCC-861B-3F204101FDD5}"/>
    <hyperlink ref="AA18:AC18" location="Zmrzlina_MAX!C14" display="↑ zpět na obsah" xr:uid="{29C1D2CA-138F-4835-B65C-2416135C2452}"/>
    <hyperlink ref="AA68:AC68" location="Zmrzlina_MAX!C14" display="↑ zpět na obsah" xr:uid="{D1C73A8C-B60A-4F94-B574-60C52005F803}"/>
    <hyperlink ref="AA118:AC118" location="Zmrzlina_MAX!C14" display="↑ zpět na obsah" xr:uid="{2C88F263-73BE-4B2A-80DC-98A183A30882}"/>
    <hyperlink ref="AA168:AC168" location="Zmrzlina_MAX!C14" display="↑ zpět na obsah" xr:uid="{47D20E5A-842D-47B6-A95E-2C73E3AC9D18}"/>
  </hyperlinks>
  <pageMargins left="0.7" right="0.7" top="0.78740157499999996" bottom="0.78740157499999996"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054D-050B-47E4-B7C6-F2913F478AEE}">
  <sheetPr codeName="List4">
    <tabColor theme="5" tint="0.39997558519241921"/>
  </sheetPr>
  <dimension ref="B1:AR36"/>
  <sheetViews>
    <sheetView zoomScaleNormal="100" workbookViewId="0">
      <selection activeCell="C2" sqref="C2:I3"/>
    </sheetView>
  </sheetViews>
  <sheetFormatPr defaultRowHeight="18" customHeight="1" x14ac:dyDescent="0.3"/>
  <cols>
    <col min="1" max="1" width="4.77734375" customWidth="1"/>
    <col min="2" max="2" width="2.77734375" customWidth="1"/>
    <col min="3" max="17" width="7.77734375" customWidth="1"/>
    <col min="18" max="18" width="3.77734375" customWidth="1"/>
    <col min="19" max="33" width="7.77734375" customWidth="1"/>
    <col min="34" max="34" width="2.77734375" customWidth="1"/>
    <col min="35" max="45" width="7.77734375" customWidth="1"/>
  </cols>
  <sheetData>
    <row r="1" spans="2:44" ht="15" x14ac:dyDescent="0.3"/>
    <row r="2" spans="2:44" ht="15" customHeight="1" x14ac:dyDescent="0.3">
      <c r="B2" s="214"/>
      <c r="C2" s="321" t="s">
        <v>128</v>
      </c>
      <c r="D2" s="321"/>
      <c r="E2" s="321"/>
      <c r="F2" s="321"/>
      <c r="G2" s="321"/>
      <c r="H2" s="321"/>
      <c r="I2" s="321"/>
      <c r="J2" s="71"/>
      <c r="K2" s="71"/>
      <c r="L2" s="71"/>
      <c r="M2" s="71"/>
      <c r="N2" s="71"/>
      <c r="O2" s="71"/>
      <c r="P2" s="71"/>
      <c r="Q2" s="71"/>
      <c r="R2" s="71"/>
      <c r="S2" s="71"/>
      <c r="T2" s="71"/>
      <c r="U2" s="71"/>
      <c r="V2" s="71"/>
      <c r="W2" s="71"/>
      <c r="X2" s="71"/>
      <c r="Y2" s="71"/>
      <c r="Z2" s="71"/>
      <c r="AA2" s="71"/>
      <c r="AB2" s="71"/>
      <c r="AC2" s="71"/>
      <c r="AD2" s="71"/>
      <c r="AE2" s="71"/>
      <c r="AF2" s="71"/>
      <c r="AG2" s="71"/>
      <c r="AH2" s="71"/>
    </row>
    <row r="3" spans="2:44" s="189" customFormat="1" ht="25.05" customHeight="1" thickBot="1" x14ac:dyDescent="0.55000000000000004">
      <c r="B3" s="214"/>
      <c r="C3" s="321"/>
      <c r="D3" s="321"/>
      <c r="E3" s="321"/>
      <c r="F3" s="321"/>
      <c r="G3" s="321"/>
      <c r="H3" s="321"/>
      <c r="I3" s="321"/>
      <c r="J3" s="224"/>
      <c r="K3" s="224"/>
      <c r="L3" s="224"/>
      <c r="M3" s="224"/>
      <c r="N3" s="224"/>
      <c r="O3" s="72"/>
      <c r="P3" s="72"/>
      <c r="Q3" s="72"/>
      <c r="R3" s="72"/>
      <c r="S3" s="72"/>
      <c r="T3" s="72"/>
      <c r="U3" s="72"/>
      <c r="V3" s="331" t="s">
        <v>160</v>
      </c>
      <c r="W3" s="331"/>
      <c r="X3" s="72"/>
      <c r="Y3" s="331" t="s">
        <v>157</v>
      </c>
      <c r="Z3" s="331"/>
      <c r="AA3" s="72"/>
      <c r="AB3" s="331" t="s">
        <v>158</v>
      </c>
      <c r="AC3" s="331"/>
      <c r="AD3" s="72"/>
      <c r="AE3" s="331" t="s">
        <v>159</v>
      </c>
      <c r="AF3" s="331"/>
      <c r="AG3" s="72"/>
      <c r="AH3" s="71"/>
      <c r="AI3"/>
      <c r="AJ3"/>
    </row>
    <row r="4" spans="2:44" s="189" customFormat="1" ht="25.05" customHeight="1" x14ac:dyDescent="0.5">
      <c r="B4" s="215"/>
      <c r="C4" s="324" t="s">
        <v>129</v>
      </c>
      <c r="D4" s="324"/>
      <c r="E4" s="324"/>
      <c r="F4" s="324"/>
      <c r="G4" s="190"/>
      <c r="H4" s="207"/>
      <c r="I4" s="207"/>
      <c r="J4" s="207"/>
      <c r="K4" s="207"/>
      <c r="L4" s="207"/>
      <c r="M4" s="207"/>
      <c r="N4" s="207"/>
      <c r="O4" s="207"/>
      <c r="P4" s="207"/>
      <c r="Q4" s="207"/>
      <c r="R4" s="330" t="s">
        <v>151</v>
      </c>
      <c r="S4" s="330"/>
      <c r="T4" s="330"/>
      <c r="U4" s="72"/>
      <c r="V4" s="201" t="s">
        <v>145</v>
      </c>
      <c r="W4" s="202">
        <v>689</v>
      </c>
      <c r="X4" s="72"/>
      <c r="Y4" s="201" t="s">
        <v>136</v>
      </c>
      <c r="Z4" s="202">
        <v>3</v>
      </c>
      <c r="AA4" s="72"/>
      <c r="AB4" s="201" t="s">
        <v>137</v>
      </c>
      <c r="AC4" s="202">
        <v>6</v>
      </c>
      <c r="AD4" s="72"/>
      <c r="AE4" s="201" t="s">
        <v>138</v>
      </c>
      <c r="AF4" s="202">
        <v>8</v>
      </c>
      <c r="AG4" s="72"/>
      <c r="AH4" s="71"/>
      <c r="AI4"/>
      <c r="AJ4"/>
    </row>
    <row r="5" spans="2:44" s="185" customFormat="1" ht="25.05" customHeight="1" thickBot="1" x14ac:dyDescent="0.35">
      <c r="B5" s="191"/>
      <c r="C5" s="332" t="s">
        <v>161</v>
      </c>
      <c r="D5" s="332"/>
      <c r="E5" s="332"/>
      <c r="F5" s="190"/>
      <c r="G5" s="330" t="s">
        <v>154</v>
      </c>
      <c r="H5" s="330"/>
      <c r="I5" s="330"/>
      <c r="J5" s="330" t="s">
        <v>155</v>
      </c>
      <c r="K5" s="330"/>
      <c r="L5" s="330"/>
      <c r="M5" s="330" t="s">
        <v>156</v>
      </c>
      <c r="N5" s="330"/>
      <c r="O5" s="330"/>
      <c r="P5" s="223"/>
      <c r="Q5" s="190"/>
      <c r="R5" s="330" t="s">
        <v>152</v>
      </c>
      <c r="S5" s="330"/>
      <c r="T5" s="330"/>
      <c r="U5" s="190"/>
      <c r="V5" s="201" t="s">
        <v>146</v>
      </c>
      <c r="W5" s="203">
        <v>301</v>
      </c>
      <c r="X5" s="190"/>
      <c r="Y5" s="201" t="s">
        <v>139</v>
      </c>
      <c r="Z5" s="203">
        <v>2</v>
      </c>
      <c r="AA5" s="190"/>
      <c r="AB5" s="201" t="s">
        <v>140</v>
      </c>
      <c r="AC5" s="203">
        <v>4</v>
      </c>
      <c r="AD5" s="190"/>
      <c r="AE5" s="201" t="s">
        <v>141</v>
      </c>
      <c r="AF5" s="203">
        <v>3</v>
      </c>
      <c r="AG5" s="190"/>
      <c r="AH5" s="71"/>
      <c r="AI5"/>
      <c r="AJ5"/>
    </row>
    <row r="6" spans="2:44" s="185" customFormat="1" ht="25.05" customHeight="1" thickBot="1" x14ac:dyDescent="0.35">
      <c r="B6" s="191"/>
      <c r="C6" s="332"/>
      <c r="D6" s="332"/>
      <c r="E6" s="332"/>
      <c r="F6" s="190"/>
      <c r="G6" s="190"/>
      <c r="H6" s="201" t="s">
        <v>148</v>
      </c>
      <c r="I6" s="205">
        <v>33</v>
      </c>
      <c r="J6" s="190"/>
      <c r="K6" s="201" t="s">
        <v>149</v>
      </c>
      <c r="L6" s="205">
        <v>42</v>
      </c>
      <c r="M6" s="190"/>
      <c r="N6" s="201" t="s">
        <v>150</v>
      </c>
      <c r="O6" s="205">
        <v>77</v>
      </c>
      <c r="P6" s="190"/>
      <c r="Q6" s="190"/>
      <c r="R6" s="330" t="s">
        <v>153</v>
      </c>
      <c r="S6" s="330"/>
      <c r="T6" s="330"/>
      <c r="U6" s="190"/>
      <c r="V6" s="201" t="s">
        <v>147</v>
      </c>
      <c r="W6" s="204">
        <v>1056</v>
      </c>
      <c r="X6" s="190"/>
      <c r="Y6" s="201" t="s">
        <v>142</v>
      </c>
      <c r="Z6" s="204">
        <v>3</v>
      </c>
      <c r="AA6" s="190"/>
      <c r="AB6" s="201" t="s">
        <v>143</v>
      </c>
      <c r="AC6" s="204">
        <v>7</v>
      </c>
      <c r="AD6" s="190"/>
      <c r="AE6" s="201" t="s">
        <v>144</v>
      </c>
      <c r="AF6" s="204">
        <v>11</v>
      </c>
      <c r="AG6" s="190"/>
      <c r="AH6" s="71"/>
      <c r="AI6"/>
      <c r="AJ6"/>
    </row>
    <row r="7" spans="2:44" s="185" customFormat="1" ht="18" customHeight="1" x14ac:dyDescent="0.3">
      <c r="B7" s="191"/>
      <c r="C7" s="332"/>
      <c r="D7" s="332"/>
      <c r="E7" s="332"/>
      <c r="F7" s="190"/>
      <c r="G7" s="190"/>
      <c r="H7" s="190"/>
      <c r="I7" s="190"/>
      <c r="J7" s="190"/>
      <c r="K7" s="190"/>
      <c r="L7" s="190"/>
      <c r="M7" s="190"/>
      <c r="N7" s="190"/>
      <c r="O7" s="190"/>
      <c r="P7" s="190"/>
      <c r="Q7" s="190"/>
      <c r="R7" s="190"/>
      <c r="S7" s="190"/>
      <c r="T7" s="201"/>
      <c r="U7" s="201"/>
      <c r="V7" s="201"/>
      <c r="W7" s="206"/>
      <c r="X7" s="190"/>
      <c r="Y7" s="201"/>
      <c r="Z7" s="206"/>
      <c r="AA7" s="190"/>
      <c r="AB7" s="201"/>
      <c r="AC7" s="206"/>
      <c r="AD7" s="190"/>
      <c r="AE7" s="201"/>
      <c r="AF7" s="206"/>
      <c r="AG7" s="190"/>
      <c r="AH7" s="71"/>
      <c r="AI7"/>
      <c r="AJ7"/>
    </row>
    <row r="8" spans="2:44" s="184" customFormat="1" ht="25.05" customHeight="1" x14ac:dyDescent="0.35">
      <c r="B8" s="194"/>
      <c r="C8" s="334" t="s">
        <v>130</v>
      </c>
      <c r="D8" s="334"/>
      <c r="E8" s="334"/>
      <c r="F8" s="334"/>
      <c r="G8" s="334"/>
      <c r="H8" s="197"/>
      <c r="I8" s="197"/>
      <c r="J8" s="197"/>
      <c r="K8" s="197"/>
      <c r="L8" s="197"/>
      <c r="M8" s="197"/>
      <c r="N8" s="197"/>
      <c r="O8" s="333" t="s">
        <v>131</v>
      </c>
      <c r="P8" s="333"/>
      <c r="Q8" s="333"/>
      <c r="R8" s="194"/>
      <c r="S8" s="334" t="s">
        <v>132</v>
      </c>
      <c r="T8" s="334"/>
      <c r="U8" s="334"/>
      <c r="V8" s="334"/>
      <c r="W8" s="334"/>
      <c r="X8" s="334"/>
      <c r="Y8" s="197"/>
      <c r="Z8" s="197"/>
      <c r="AA8" s="197"/>
      <c r="AB8" s="197"/>
      <c r="AC8" s="197"/>
      <c r="AD8" s="197"/>
      <c r="AE8" s="333" t="s">
        <v>133</v>
      </c>
      <c r="AF8" s="333"/>
      <c r="AG8" s="333"/>
      <c r="AH8" s="197"/>
      <c r="AI8"/>
      <c r="AJ8"/>
    </row>
    <row r="9" spans="2:44" ht="18" customHeight="1" thickBot="1" x14ac:dyDescent="0.35">
      <c r="B9" s="71"/>
      <c r="C9" s="4"/>
      <c r="D9" s="4"/>
      <c r="E9" s="4"/>
      <c r="F9" s="179" t="str">
        <f t="shared" ref="F9:K9" si="0">IF($P$16=F$15,"↓","")</f>
        <v/>
      </c>
      <c r="G9" s="179" t="str">
        <f t="shared" si="0"/>
        <v/>
      </c>
      <c r="H9" s="179" t="str">
        <f t="shared" si="0"/>
        <v>↓</v>
      </c>
      <c r="I9" s="179" t="str">
        <f t="shared" si="0"/>
        <v/>
      </c>
      <c r="J9" s="179" t="str">
        <f t="shared" si="0"/>
        <v/>
      </c>
      <c r="K9" s="179" t="str">
        <f t="shared" si="0"/>
        <v/>
      </c>
      <c r="L9" s="165"/>
      <c r="M9" s="165"/>
      <c r="N9" s="165"/>
      <c r="R9" s="192"/>
      <c r="V9" s="181" t="str">
        <f t="shared" ref="V9:AA9" si="1">IF($AF$16=V15,"↓","")</f>
        <v>↓</v>
      </c>
      <c r="W9" s="181" t="str">
        <f t="shared" si="1"/>
        <v/>
      </c>
      <c r="X9" s="181" t="str">
        <f t="shared" si="1"/>
        <v/>
      </c>
      <c r="Y9" s="181" t="str">
        <f t="shared" si="1"/>
        <v/>
      </c>
      <c r="Z9" s="181" t="str">
        <f t="shared" si="1"/>
        <v/>
      </c>
      <c r="AA9" s="181" t="str">
        <f t="shared" si="1"/>
        <v/>
      </c>
      <c r="AB9" s="181"/>
      <c r="AC9" s="181"/>
      <c r="AD9" s="181"/>
      <c r="AF9" s="181"/>
      <c r="AG9" s="198"/>
      <c r="AH9" s="71"/>
      <c r="AP9" s="4"/>
      <c r="AQ9" s="4"/>
      <c r="AR9" s="4"/>
    </row>
    <row r="10" spans="2:44" ht="18" customHeight="1" x14ac:dyDescent="0.3">
      <c r="B10" s="71"/>
      <c r="C10" s="4"/>
      <c r="D10" s="179"/>
      <c r="E10" s="27"/>
      <c r="F10" s="179">
        <f>I6</f>
        <v>33</v>
      </c>
      <c r="G10" s="179">
        <f>L6</f>
        <v>42</v>
      </c>
      <c r="H10" s="169">
        <f>O6</f>
        <v>77</v>
      </c>
      <c r="I10" s="179">
        <f>0</f>
        <v>0</v>
      </c>
      <c r="J10" s="179">
        <f>0</f>
        <v>0</v>
      </c>
      <c r="K10" s="179">
        <f>0</f>
        <v>0</v>
      </c>
      <c r="L10" s="31"/>
      <c r="M10" s="165"/>
      <c r="N10" s="165"/>
      <c r="P10" s="54" t="s">
        <v>24</v>
      </c>
      <c r="R10" s="192"/>
      <c r="T10" s="179"/>
      <c r="U10" s="27"/>
      <c r="V10" s="181" cm="1">
        <f t="array" ref="V10:AA10">F10:K10</f>
        <v>33</v>
      </c>
      <c r="W10" s="181">
        <v>42</v>
      </c>
      <c r="X10" s="169">
        <v>77</v>
      </c>
      <c r="Y10" s="181">
        <v>0</v>
      </c>
      <c r="Z10" s="181">
        <v>0</v>
      </c>
      <c r="AA10" s="181">
        <v>0</v>
      </c>
      <c r="AB10" s="31"/>
      <c r="AC10" s="181"/>
      <c r="AD10" s="181"/>
      <c r="AF10" s="54" t="s">
        <v>24</v>
      </c>
      <c r="AH10" s="71"/>
      <c r="AI10" s="181"/>
      <c r="AQ10" s="4"/>
    </row>
    <row r="11" spans="2:44" ht="18" customHeight="1" thickBot="1" x14ac:dyDescent="0.35">
      <c r="B11" s="71"/>
      <c r="C11" s="4"/>
      <c r="D11" s="28" t="s">
        <v>20</v>
      </c>
      <c r="E11" s="29" t="s">
        <v>21</v>
      </c>
      <c r="F11" s="28" t="s">
        <v>0</v>
      </c>
      <c r="G11" s="28" t="s">
        <v>1</v>
      </c>
      <c r="H11" s="186" t="s">
        <v>2</v>
      </c>
      <c r="I11" s="28" t="s">
        <v>125</v>
      </c>
      <c r="J11" s="28" t="s">
        <v>126</v>
      </c>
      <c r="K11" s="28" t="s">
        <v>127</v>
      </c>
      <c r="L11" s="32" t="s">
        <v>13</v>
      </c>
      <c r="M11" s="30" t="s">
        <v>14</v>
      </c>
      <c r="N11" s="34" t="s">
        <v>16</v>
      </c>
      <c r="P11" s="41" t="str">
        <f>IF($P$12=M12,$E$12,IF($P$12=M13,$E$13,IF($P$12=M14,$E$14,"--_(O_o)_--")))</f>
        <v>d1</v>
      </c>
      <c r="R11" s="192"/>
      <c r="T11" s="28" t="s">
        <v>20</v>
      </c>
      <c r="U11" s="29" t="s">
        <v>21</v>
      </c>
      <c r="V11" s="179" t="str" cm="1">
        <f t="array" ref="V11:AA11">F11:K11</f>
        <v>x1</v>
      </c>
      <c r="W11" s="179" t="str">
        <v>x2</v>
      </c>
      <c r="X11" s="169" t="str">
        <v>x3</v>
      </c>
      <c r="Y11" s="179" t="str">
        <v>d1</v>
      </c>
      <c r="Z11" s="179" t="str">
        <v>d2</v>
      </c>
      <c r="AA11" s="179" t="str">
        <v>d3</v>
      </c>
      <c r="AB11" s="33" t="s">
        <v>13</v>
      </c>
      <c r="AC11" s="51" t="s">
        <v>14</v>
      </c>
      <c r="AD11" s="52" t="s">
        <v>16</v>
      </c>
      <c r="AF11" s="49" t="str">
        <f>IF(AF12=AC12,$U$12,IF(AF12=AC13,$U$13,IF(AF12=AC14,$U$14,"--_(O_o)_--")))</f>
        <v>d2</v>
      </c>
      <c r="AH11" s="71"/>
      <c r="AQ11" s="4"/>
    </row>
    <row r="12" spans="2:44" ht="18" customHeight="1" thickBot="1" x14ac:dyDescent="0.35">
      <c r="B12" s="71"/>
      <c r="C12" s="179" t="str">
        <f>IF($P$12=$M12,"→","")</f>
        <v>→</v>
      </c>
      <c r="D12" s="179">
        <f>IF($E12=$F$11,$F$10,IF($E12=$G$11,$G$10,IF($E12=$H$11,$H$10,IF($E12=$I$11,$I$10,IF($E12=$J$11,$J$10,IF($E12=$K$11,$K$10,"--__(O_o)__--"))))))</f>
        <v>0</v>
      </c>
      <c r="E12" s="27" t="str">
        <f>IF(AND(OR(F12="1",F12=1),F13=0,F14=0),F11,IF(AND(OR(G12="1",G12=1),G13=0,G14=0),G11,IF(AND(OR(H12="1",H12=1),H13=0,H14=0),H11,IF(AND(OR(I12="1",I12=1),I13=0,I14=0),I11,IF(AND(OR(J12="1",J12=1),J13=0,J14=0),J11,IF(AND(OR(K12="1",K12=1),K13=0,K14=0),K11,"Chyba jednotkové matice"))))))</f>
        <v>d1</v>
      </c>
      <c r="F12" s="179">
        <f>Z4</f>
        <v>3</v>
      </c>
      <c r="G12" s="179">
        <f>AC4</f>
        <v>6</v>
      </c>
      <c r="H12" s="169">
        <f>AF4</f>
        <v>8</v>
      </c>
      <c r="I12" s="179">
        <f>1</f>
        <v>1</v>
      </c>
      <c r="J12" s="179">
        <f>0</f>
        <v>0</v>
      </c>
      <c r="K12" s="179">
        <f>0</f>
        <v>0</v>
      </c>
      <c r="L12" s="31">
        <f>W4</f>
        <v>689</v>
      </c>
      <c r="M12" s="55">
        <f>IFERROR(L12/IF(F$15=$P$16,IF(F12&gt;0,F12,10^-150),IF(G$15=$P$16,IF(G12&gt;0,G12,10^-150),IF(H$15=$P$16,IF(H12&gt;0,H12,10^-150),IF(I$15=$P$16,IF(I12&gt;0,I12,10^-150),IF(J$15=$P$16,IF(J12&gt;0,J12,10^-150),IF(K$15=$P$16,IF(K12&gt;0,K12,10^-150),"Chyba")))))),10^150)</f>
        <v>86.125</v>
      </c>
      <c r="N12" s="165">
        <f>IF(AND($C12="→",$P$19=1),"",IF(AND($C12="→",$P$19&lt;&gt;1),$P$19,IF(AND($C12&lt;&gt;"→",F$9="↓",$F12&lt;&gt;0),$F12,IF(AND($C12&lt;&gt;"→",G$9="↓",$G12&lt;&gt;0),$G12,IF(AND($C12&lt;&gt;"→",H$9="↓",$H12&lt;&gt;0),$H12,IF(AND($C12&lt;&gt;"→",I$9="↓",$I12&lt;&gt;0),$I12,IF(AND($C12&lt;&gt;"→",J$9="↓",$J12&lt;&gt;0),$J12,IF(AND($C12&lt;&gt;"→",K$9="↓",$K12&lt;&gt;0),$K12,""))))))))</f>
        <v>8</v>
      </c>
      <c r="P12" s="195" cm="1">
        <f t="array" ref="P12">MIN(ABS(M12:M14))</f>
        <v>86.125</v>
      </c>
      <c r="R12" s="192"/>
      <c r="S12" s="181" t="str">
        <f>IF($AF$12=AC12,"→","")</f>
        <v/>
      </c>
      <c r="T12" s="179">
        <f>IF($U12=$F$11,$F$10,IF($U12=$G$11,$G$10,IF($U12=$H$11,$H$10,IF($U12=$I$11,$I$10,IF($U12=$J$11,$J$10,IF($U12=$K$11,$K$10,"--__(O_o)__--"))))))</f>
        <v>77</v>
      </c>
      <c r="U12" s="27" t="str">
        <f>IF($E12=$P$11,$P$15,$E12)</f>
        <v>x3</v>
      </c>
      <c r="V12" s="45">
        <f>IF(AND($C12="→",F$9="↓",F12=1),1,IF(AND($C12="→",F$9="↓",F12&lt;&gt;1),F12/F12,IF(AND($C12="→",F$9&lt;&gt;"↓",$P$19=1),F12,IF(AND($C12="→",F$9&lt;&gt;"↓",$P$19&lt;&gt;1),F12/$P$19,IF(AND($C12&lt;&gt;"→",F$9="↓",F12=0),0,IF(AND($C12&lt;&gt;"→",F$9="↓",F12&lt;&gt;0),(-F12)+F12,IF(AND($C12&lt;&gt;"→",F$9&lt;&gt;"↓",$N$12&lt;&gt;""),F12-(F$19*$N$12),F12)))))))</f>
        <v>0.375</v>
      </c>
      <c r="W12" s="182">
        <f t="shared" ref="W12:AB12" si="2">IF(AND($C12="→",G$9="↓",G12=1),1,IF(AND($C12="→",G$9="↓",G12&lt;&gt;1),G12/G12,IF(AND($C12="→",G$9&lt;&gt;"↓",$P$19=1),G12,IF(AND($C12="→",G$9&lt;&gt;"↓",$P$19&lt;&gt;1),G12/$P$19,IF(AND($C12&lt;&gt;"→",G$9="↓",G12=0),0,IF(AND($C12&lt;&gt;"→",G$9="↓",G12&lt;&gt;0),(-G12)+G12,IF(AND($C12&lt;&gt;"→",G$9&lt;&gt;"↓",$N$12&lt;&gt;""),G12-(G$19*$N$12),G12)))))))</f>
        <v>0.75</v>
      </c>
      <c r="X12" s="187">
        <f t="shared" si="2"/>
        <v>1</v>
      </c>
      <c r="Y12" s="182">
        <f t="shared" si="2"/>
        <v>0.125</v>
      </c>
      <c r="Z12" s="182">
        <f t="shared" si="2"/>
        <v>0</v>
      </c>
      <c r="AA12" s="183">
        <f t="shared" si="2"/>
        <v>0</v>
      </c>
      <c r="AB12" s="37">
        <f t="shared" si="2"/>
        <v>86.125</v>
      </c>
      <c r="AC12" s="200">
        <f>IFERROR(AB12/IF(V$15=$AF$16,IF(V12&gt;0,V12,10^-150),IF(W$15=$AF$16,IF(W12&gt;0,W12,10^-150),IF(X$15=$AF$16,IF(X12&gt;0,X12,10^-150),IF(Y$15=$AF$16,IF(Y12&gt;0,Y12,10^-150),IF(Z$15=$AF$16,IF(Z12&gt;0,Z12,10^-150),IF(AA$15=$AF$16,IF(AA12&gt;0,AA12,10^-150),"Chyba")))))),10^150)</f>
        <v>229.66666666666666</v>
      </c>
      <c r="AD12" s="64">
        <f>IF(AND($S12="→",$AF$19=1),"",IF(AND($S12="→",$AF$19&lt;&gt;1),$AF$19,IF(AND($S12&lt;&gt;"→",V$9="↓",$V12&lt;&gt;0),$V12,IF(AND($S12&lt;&gt;"→",W$9="↓",$W12&lt;&gt;0),$W12,IF(AND($S12&lt;&gt;"→",X$9="↓",$X12&lt;&gt;0),$X12,IF(AND($S12&lt;&gt;"→",Y$9="↓",$Y12&lt;&gt;0),$Y12,IF(AND($S12&lt;&gt;"→",Z$9="↓",$Z12&lt;&gt;0),$Z12,IF(AND($S12&lt;&gt;"→",AA$9="↓",$AA12&lt;&gt;0),$AA12,""))))))))</f>
        <v>0.375</v>
      </c>
      <c r="AF12" s="196" cm="1">
        <f t="array" ref="AF12">MIN(ABS(AC12:AC14))</f>
        <v>48.714285714285715</v>
      </c>
      <c r="AH12" s="71"/>
      <c r="AP12" s="4"/>
      <c r="AQ12" s="4"/>
    </row>
    <row r="13" spans="2:44" ht="18" customHeight="1" thickBot="1" x14ac:dyDescent="0.35">
      <c r="B13" s="71"/>
      <c r="C13" s="179" t="str">
        <f>IF($P$12=$M13,"→","")</f>
        <v/>
      </c>
      <c r="D13" s="179">
        <f>IF($E13=$F$11,$F$10,IF($E13=$G$11,$G$10,IF($E13=$H$11,$H$10,IF($E13=$I$11,$I$10,IF($E13=$J$11,$J$10,IF($E13=$K$11,$K$10,"--__(O_o)__--"))))))</f>
        <v>0</v>
      </c>
      <c r="E13" s="27" t="str">
        <f>IF(AND(F12=0,OR(F13="1",F13=1),F14=0),F11,IF(AND(G12=0,OR(G13="1",G13=1),G14=0),G11,IF(AND(H12=0,OR(H13="1",H13=1),H14=0),H11,IF(AND(I12=0,OR(I13="1",I13=1),I14=0),I11,IF(AND(J12=0,OR(J13="1",J13=1),J14=0),J11,IF(AND(K12=0,OR(K13="1",K13=1),K14=0),K11,"Chyba jednotkové matice"))))))</f>
        <v>d2</v>
      </c>
      <c r="F13" s="179">
        <f>Z5</f>
        <v>2</v>
      </c>
      <c r="G13" s="179">
        <f>AC5</f>
        <v>4</v>
      </c>
      <c r="H13" s="169">
        <f>AF5</f>
        <v>3</v>
      </c>
      <c r="I13" s="179">
        <f>0</f>
        <v>0</v>
      </c>
      <c r="J13" s="179">
        <f>1</f>
        <v>1</v>
      </c>
      <c r="K13" s="179">
        <f>0</f>
        <v>0</v>
      </c>
      <c r="L13" s="31">
        <f>W5</f>
        <v>301</v>
      </c>
      <c r="M13" s="56">
        <f>IFERROR(L13/IF(F$15=$P$16,IF(F13&gt;0,F13,10^-150),IF(G$15=$P$16,IF(G13&gt;0,G13,10^-150),IF(H$15=$P$16,IF(H13&gt;0,H13,10^-150),IF(I$15=$P$16,IF(I13&gt;0,I13,10^-150),IF(J$15=$P$16,IF(J13&gt;0,J13,10^-150),IF(K$15=$P$16,IF(K13&gt;0,K13,10^-150),"Chyba")))))),10^150)</f>
        <v>100.33333333333333</v>
      </c>
      <c r="N13" s="179">
        <f>IF(AND($C13="→",$P$19=1),"",IF(AND($C13="→",$P$19&lt;&gt;1),$P$19,IF(AND($C13&lt;&gt;"→",F$9="↓",$F13&lt;&gt;0),$F13,IF(AND($C13&lt;&gt;"→",G$9="↓",$G13&lt;&gt;0),$G13,IF(AND($C13&lt;&gt;"→",H$9="↓",$H13&lt;&gt;0),$H13,IF(AND($C13&lt;&gt;"→",I$9="↓",$I13&lt;&gt;0),$I13,IF(AND($C13&lt;&gt;"→",J$9="↓",$J13&lt;&gt;0),$J13,IF(AND($C13&lt;&gt;"→",K$9="↓",$K13&lt;&gt;0),$K13,""))))))))</f>
        <v>3</v>
      </c>
      <c r="R13" s="192"/>
      <c r="S13" s="181" t="str">
        <f>IF($AF$12=AC13,"→","")</f>
        <v>→</v>
      </c>
      <c r="T13" s="179">
        <f>IF($U13=$F$11,$F$10,IF($U13=$G$11,$G$10,IF($U13=$H$11,$H$10,IF($U13=$I$11,$I$10,IF($U13=$J$11,$J$10,IF($U13=$K$11,$K$10,"--__(O_o)__--"))))))</f>
        <v>0</v>
      </c>
      <c r="U13" s="27" t="str">
        <f>IF($E13=$P$11,$P$15,$E13)</f>
        <v>d2</v>
      </c>
      <c r="V13" s="31">
        <f>IF(AND($C13="→",F$9="↓",F13=1),1,IF(AND($C13="→",F$9="↓",F13&lt;&gt;1),F13/F13,IF(AND($C13="→",F$9&lt;&gt;"↓",$P$19=1),F13,IF(AND($C13="→",F$9&lt;&gt;"↓",$P$19&lt;&gt;1),F13/$P$19,IF(AND($C13&lt;&gt;"→",F$9="↓",F13=0),0,IF(AND($C13&lt;&gt;"→",F$9="↓",F13&lt;&gt;0),(-F13)+F13,IF(AND($C13&lt;&gt;"→",F$9&lt;&gt;"↓",$N$13&lt;&gt;""),F13-(F$19*$N$13),F13)))))))</f>
        <v>0.875</v>
      </c>
      <c r="W13" s="179">
        <f t="shared" ref="W13:AB13" si="3">IF(AND($C13="→",G$9="↓",G13=1),1,IF(AND($C13="→",G$9="↓",G13&lt;&gt;1),G13/G13,IF(AND($C13="→",G$9&lt;&gt;"↓",$P$19=1),G13,IF(AND($C13="→",G$9&lt;&gt;"↓",$P$19&lt;&gt;1),G13/$P$19,IF(AND($C13&lt;&gt;"→",G$9="↓",G13=0),0,IF(AND($C13&lt;&gt;"→",G$9="↓",G13&lt;&gt;0),(-G13)+G13,IF(AND($C13&lt;&gt;"→",G$9&lt;&gt;"↓",$N$13&lt;&gt;""),G13-(G$19*$N$13),G13)))))))</f>
        <v>1.75</v>
      </c>
      <c r="X13" s="169">
        <f t="shared" si="3"/>
        <v>0</v>
      </c>
      <c r="Y13" s="179">
        <f t="shared" si="3"/>
        <v>-0.375</v>
      </c>
      <c r="Z13" s="179">
        <f t="shared" si="3"/>
        <v>1</v>
      </c>
      <c r="AA13" s="27">
        <f t="shared" si="3"/>
        <v>0</v>
      </c>
      <c r="AB13" s="31">
        <f t="shared" si="3"/>
        <v>42.625</v>
      </c>
      <c r="AC13" s="56">
        <f t="shared" ref="AC13:AC14" si="4">IFERROR(AB13/IF(V$15=$AF$16,IF(V13&gt;0,V13,10^-150),IF(W$15=$AF$16,IF(W13&gt;0,W13,10^-150),IF(X$15=$AF$16,IF(X13&gt;0,X13,10^-150),IF(Y$15=$AF$16,IF(Y13&gt;0,Y13,10^-150),IF(Z$15=$AF$16,IF(Z13&gt;0,Z13,10^-150),IF(AA$15=$AF$16,IF(AA13&gt;0,AA13,10^-150),"Chyba")))))),10^150)</f>
        <v>48.714285714285715</v>
      </c>
      <c r="AD13" s="35">
        <f>IF(AND($S13="→",$AF$19=1),"",IF(AND($S13="→",$AF$19&lt;&gt;1),$AF$19,IF(AND($S13&lt;&gt;"→",V$9="↓",$V13&lt;&gt;0),$V13,IF(AND($S13&lt;&gt;"→",W$9="↓",$W13&lt;&gt;0),$W13,IF(AND($S13&lt;&gt;"→",X$9="↓",$X13&lt;&gt;0),$X13,IF(AND($S13&lt;&gt;"→",Y$9="↓",$Y13&lt;&gt;0),$Y13,IF(AND($S13&lt;&gt;"→",Z$9="↓",$Z13&lt;&gt;0),$Z13,IF(AND($S13&lt;&gt;"→",AA$9="↓",$AA13&lt;&gt;0),$AA13,""))))))))</f>
        <v>0.875</v>
      </c>
      <c r="AH13" s="71"/>
      <c r="AP13" s="4"/>
      <c r="AQ13" s="4"/>
    </row>
    <row r="14" spans="2:44" ht="18" customHeight="1" thickBot="1" x14ac:dyDescent="0.35">
      <c r="B14" s="71"/>
      <c r="C14" s="179" t="str">
        <f>IF($P$12=$M14,"→","")</f>
        <v/>
      </c>
      <c r="D14" s="179">
        <f>IF($E14=$F$11,$F$10,IF($E14=$G$11,$G$10,IF($E14=$H$11,$H$10,IF($E14=$I$11,$I$10,IF($E14=$J$11,$J$10,IF($E14=$K$11,$K$10,"--__(O_o)__--"))))))</f>
        <v>0</v>
      </c>
      <c r="E14" s="27" t="str">
        <f>IF(AND(F12=0,F13=0,OR(F14="1",F14=1)),F11,IF(AND(G12=0,G13=0,OR(G14="1",G14=1)),G11,IF(AND(H12=0,H13=0,OR(H14="1",H14=1)),H11,IF(AND(I12=0,I13=0,OR(I14="1",I14=1)),I11,IF(AND(J12=0,J13=0,OR(J14="1",J14=1)),J11,IF(AND(K12=0,K13=0,OR(K14="1",K14=1)),K11,"Chyba jednotkové matice"))))))</f>
        <v>d3</v>
      </c>
      <c r="F14" s="179">
        <f>Z6</f>
        <v>3</v>
      </c>
      <c r="G14" s="179">
        <f>AC6</f>
        <v>7</v>
      </c>
      <c r="H14" s="169">
        <f>AF6</f>
        <v>11</v>
      </c>
      <c r="I14" s="179">
        <f>0</f>
        <v>0</v>
      </c>
      <c r="J14" s="179">
        <f>0</f>
        <v>0</v>
      </c>
      <c r="K14" s="179">
        <f>1</f>
        <v>1</v>
      </c>
      <c r="L14" s="31">
        <f>W6</f>
        <v>1056</v>
      </c>
      <c r="M14" s="57">
        <f>IFERROR(L14/IF(F$15=$P$16,IF(F14&gt;0,F14,10^-150),IF(G$15=$P$16,IF(G14&gt;0,G14,10^-150),IF(H$15=$P$16,IF(H14&gt;0,H14,10^-150),IF(I$15=$P$16,IF(I14&gt;0,I14,10^-150),IF(J$15=$P$16,IF(J14&gt;0,J14,10^-150),IF(K$15=$P$16,IF(K14&gt;0,K14,10^-150),"Chyba")))))),10^150)</f>
        <v>96</v>
      </c>
      <c r="N14" s="179">
        <f>IF(AND($C14="→",$P$19=1),"",IF(AND($C14="→",$P$19&lt;&gt;1),$P$19,IF(AND($C14&lt;&gt;"→",F$9="↓",$F14&lt;&gt;0),$F14,IF(AND($C14&lt;&gt;"→",G$9="↓",$G14&lt;&gt;0),$G14,IF(AND($C14&lt;&gt;"→",H$9="↓",$H14&lt;&gt;0),$H14,IF(AND($C14&lt;&gt;"→",I$9="↓",$I14&lt;&gt;0),$I14,IF(AND($C14&lt;&gt;"→",J$9="↓",$J14&lt;&gt;0),$J14,IF(AND($C14&lt;&gt;"→",K$9="↓",$K14&lt;&gt;0),$K14,""))))))))</f>
        <v>11</v>
      </c>
      <c r="P14" s="54" t="s">
        <v>22</v>
      </c>
      <c r="R14" s="192"/>
      <c r="S14" s="181" t="str">
        <f>IF($AF$12=AC14,"→","")</f>
        <v/>
      </c>
      <c r="T14" s="179">
        <f>IF($U14=$F$11,$F$10,IF($U14=$G$11,$G$10,IF($U14=$H$11,$H$10,IF($U14=$I$11,$I$10,IF($U14=$J$11,$J$10,IF($U14=$K$11,$K$10,"--__(O_o)__--"))))))</f>
        <v>0</v>
      </c>
      <c r="U14" s="27" t="str">
        <f>IF($E14=$P$11,$P$15,$E14)</f>
        <v>d3</v>
      </c>
      <c r="V14" s="66">
        <f>IF(AND($C14="→",F$9="↓",F14=1),1,IF(AND($C14="→",F$9="↓",F14&lt;&gt;1),F14/F14,IF(AND($C14="→",F$9&lt;&gt;"↓",$P$19=1),F14,IF(AND($C14="→",F$9&lt;&gt;"↓",$P$19&lt;&gt;1),F14/$P$19,IF(AND($C14&lt;&gt;"→",F$9="↓",F14=0),0,IF(AND($C14&lt;&gt;"→",F$9="↓",F14&lt;&gt;0),(-F14)+F14,IF(AND($C14&lt;&gt;"→",F$9&lt;&gt;"↓",$N$14&lt;&gt;""),F14-(F$19*$N$14),F14)))))))</f>
        <v>-1.125</v>
      </c>
      <c r="W14" s="28">
        <f t="shared" ref="W14:AB14" si="5">IF(AND($C14="→",G$9="↓",G14=1),1,IF(AND($C14="→",G$9="↓",G14&lt;&gt;1),G14/G14,IF(AND($C14="→",G$9&lt;&gt;"↓",$P$19=1),G14,IF(AND($C14="→",G$9&lt;&gt;"↓",$P$19&lt;&gt;1),G14/$P$19,IF(AND($C14&lt;&gt;"→",G$9="↓",G14=0),0,IF(AND($C14&lt;&gt;"→",G$9="↓",G14&lt;&gt;0),(-G14)+G14,IF(AND($C14&lt;&gt;"→",G$9&lt;&gt;"↓",$N$14&lt;&gt;""),G14-(G$19*$N$14),G14)))))))</f>
        <v>-1.25</v>
      </c>
      <c r="X14" s="186">
        <f t="shared" si="5"/>
        <v>0</v>
      </c>
      <c r="Y14" s="28">
        <f t="shared" si="5"/>
        <v>-1.375</v>
      </c>
      <c r="Z14" s="28">
        <f t="shared" si="5"/>
        <v>0</v>
      </c>
      <c r="AA14" s="29">
        <f t="shared" si="5"/>
        <v>1</v>
      </c>
      <c r="AB14" s="31">
        <f t="shared" si="5"/>
        <v>108.625</v>
      </c>
      <c r="AC14" s="57">
        <f t="shared" si="4"/>
        <v>1.08625E+152</v>
      </c>
      <c r="AD14" s="61">
        <f>IF(AND($S14="→",$AF$19=1),"",IF(AND($S14="→",$AF$19&lt;&gt;1),$AF$19,IF(AND($S14&lt;&gt;"→",V$9="↓",$V14&lt;&gt;0),$V14,IF(AND($S14&lt;&gt;"→",W$9="↓",$W14&lt;&gt;0),$W14,IF(AND($S14&lt;&gt;"→",X$9="↓",$X14&lt;&gt;0),$X14,IF(AND($S14&lt;&gt;"→",Y$9="↓",$Y14&lt;&gt;0),$Y14,IF(AND($S14&lt;&gt;"→",Z$9="↓",$Z14&lt;&gt;0),$Z14,IF(AND($S14&lt;&gt;"→",AA$9="↓",$AA14&lt;&gt;0),$AA14,""))))))))</f>
        <v>-1.125</v>
      </c>
      <c r="AF14" s="188" t="s">
        <v>22</v>
      </c>
      <c r="AH14" s="71"/>
      <c r="AP14" s="4"/>
      <c r="AQ14" s="4"/>
    </row>
    <row r="15" spans="2:44" ht="18" customHeight="1" x14ac:dyDescent="0.3">
      <c r="B15" s="71"/>
      <c r="C15" s="179"/>
      <c r="D15" s="339" t="s">
        <v>25</v>
      </c>
      <c r="E15" s="340"/>
      <c r="F15" s="182">
        <f t="shared" ref="F15:L15" si="6">($D$12*F12+$D$13*F13+$D$14*F14)-F10</f>
        <v>-33</v>
      </c>
      <c r="G15" s="182">
        <f t="shared" si="6"/>
        <v>-42</v>
      </c>
      <c r="H15" s="187">
        <f t="shared" si="6"/>
        <v>-77</v>
      </c>
      <c r="I15" s="182">
        <f t="shared" si="6"/>
        <v>0</v>
      </c>
      <c r="J15" s="182">
        <f t="shared" si="6"/>
        <v>0</v>
      </c>
      <c r="K15" s="183">
        <f t="shared" si="6"/>
        <v>0</v>
      </c>
      <c r="L15" s="226">
        <f t="shared" si="6"/>
        <v>0</v>
      </c>
      <c r="M15" s="63"/>
      <c r="N15" s="182"/>
      <c r="P15" s="43" t="str">
        <f>IF($P$16=$F$15,$F$11,IF($P$16=$G$15,$G$11,IF($P$16=$H$15,$H$11,IF($P$16=$I$15,$I$11,IF($P$16=$J$15,$J$11,IF($P$16=$K$15,$K$11,"--__(O_o)__--"))))))</f>
        <v>x3</v>
      </c>
      <c r="R15" s="192"/>
      <c r="S15" s="181"/>
      <c r="T15" s="339" t="s">
        <v>25</v>
      </c>
      <c r="U15" s="340"/>
      <c r="V15" s="45">
        <f t="shared" ref="V15:AB15" si="7">($T$12*V$12+$T$13*V$13+$T$14*V$14)-V$10</f>
        <v>-4.125</v>
      </c>
      <c r="W15" s="182">
        <f t="shared" si="7"/>
        <v>15.75</v>
      </c>
      <c r="X15" s="187">
        <f t="shared" si="7"/>
        <v>0</v>
      </c>
      <c r="Y15" s="182">
        <f t="shared" si="7"/>
        <v>9.625</v>
      </c>
      <c r="Z15" s="182">
        <f t="shared" si="7"/>
        <v>0</v>
      </c>
      <c r="AA15" s="182">
        <f t="shared" si="7"/>
        <v>0</v>
      </c>
      <c r="AB15" s="37">
        <f t="shared" si="7"/>
        <v>6631.625</v>
      </c>
      <c r="AC15" s="182"/>
      <c r="AD15" s="182"/>
      <c r="AF15" s="49" t="str">
        <f>IF(AF16=V15,$V$11,IF(AF16=W15,$W$11,IF(AF16=X15,$X$11,IF(AF16=Y15,$Y$11,IF(AF16=Z15,$Z$11,IF(AF16=AA15,$AA$11,"--__(O_o)__--"))))))</f>
        <v>x1</v>
      </c>
      <c r="AH15" s="71"/>
      <c r="AP15" s="4"/>
      <c r="AQ15" s="4"/>
    </row>
    <row r="16" spans="2:44" ht="18" customHeight="1" thickBot="1" x14ac:dyDescent="0.35">
      <c r="B16" s="71"/>
      <c r="C16" s="4"/>
      <c r="F16" s="179"/>
      <c r="G16" s="179"/>
      <c r="H16" s="179"/>
      <c r="I16" s="179"/>
      <c r="J16" s="179"/>
      <c r="K16" s="179"/>
      <c r="L16" s="179"/>
      <c r="M16" s="179"/>
      <c r="N16" s="179"/>
      <c r="P16" s="44">
        <f>MIN(F15:K15)</f>
        <v>-77</v>
      </c>
      <c r="R16" s="192"/>
      <c r="T16" s="179"/>
      <c r="AC16" s="179"/>
      <c r="AD16" s="179"/>
      <c r="AF16" s="39">
        <f>MIN(V15:AA15)</f>
        <v>-4.125</v>
      </c>
      <c r="AH16" s="71"/>
      <c r="AP16" s="4"/>
      <c r="AQ16" s="4"/>
    </row>
    <row r="17" spans="2:44" ht="18" customHeight="1" thickBot="1" x14ac:dyDescent="0.35">
      <c r="B17" s="71"/>
      <c r="C17" s="4"/>
      <c r="D17" s="4"/>
      <c r="E17" s="4"/>
      <c r="F17" s="4"/>
      <c r="G17" s="4"/>
      <c r="H17" s="4"/>
      <c r="I17" s="4"/>
      <c r="J17" s="4"/>
      <c r="K17" s="4"/>
      <c r="L17" s="4"/>
      <c r="M17" s="4"/>
      <c r="N17" s="4"/>
      <c r="R17" s="192"/>
      <c r="AH17" s="71"/>
    </row>
    <row r="18" spans="2:44" ht="18" customHeight="1" x14ac:dyDescent="0.3">
      <c r="B18" s="71"/>
      <c r="C18" s="4"/>
      <c r="D18" s="335" t="s">
        <v>23</v>
      </c>
      <c r="E18" s="336"/>
      <c r="F18" s="180">
        <f t="shared" ref="F18:L18" si="8">IF($C$12="→",F$12,IF($C$13="→",F$13,IF($C$14="→",F$14,IF($C$15="→",F$15,""))))</f>
        <v>3</v>
      </c>
      <c r="G18" s="180">
        <f t="shared" si="8"/>
        <v>6</v>
      </c>
      <c r="H18" s="180">
        <f t="shared" si="8"/>
        <v>8</v>
      </c>
      <c r="I18" s="180">
        <f t="shared" si="8"/>
        <v>1</v>
      </c>
      <c r="J18" s="180">
        <f t="shared" si="8"/>
        <v>0</v>
      </c>
      <c r="K18" s="180">
        <f t="shared" si="8"/>
        <v>0</v>
      </c>
      <c r="L18" s="180">
        <f t="shared" si="8"/>
        <v>689</v>
      </c>
      <c r="P18" s="40" t="s">
        <v>15</v>
      </c>
      <c r="R18" s="192"/>
      <c r="T18" s="335" t="s">
        <v>23</v>
      </c>
      <c r="U18" s="336"/>
      <c r="V18" s="180">
        <f t="shared" ref="V18:AB18" si="9">IF($S$12="→",V$12,IF($S$13="→",V$13,IF($S$14="→",V$14,"")))</f>
        <v>0.875</v>
      </c>
      <c r="W18" s="180">
        <f t="shared" si="9"/>
        <v>1.75</v>
      </c>
      <c r="X18" s="180">
        <f t="shared" si="9"/>
        <v>0</v>
      </c>
      <c r="Y18" s="180">
        <f t="shared" si="9"/>
        <v>-0.375</v>
      </c>
      <c r="Z18" s="180">
        <f t="shared" si="9"/>
        <v>1</v>
      </c>
      <c r="AA18" s="180">
        <f t="shared" si="9"/>
        <v>0</v>
      </c>
      <c r="AB18" s="180">
        <f t="shared" si="9"/>
        <v>42.625</v>
      </c>
      <c r="AF18" s="40" t="s">
        <v>15</v>
      </c>
      <c r="AH18" s="71"/>
    </row>
    <row r="19" spans="2:44" ht="18" customHeight="1" thickBot="1" x14ac:dyDescent="0.35">
      <c r="B19" s="71"/>
      <c r="C19" s="4"/>
      <c r="D19" s="337"/>
      <c r="E19" s="338"/>
      <c r="F19" s="180">
        <f t="shared" ref="F19:L19" si="10">IF($C$12="→",IF($N$12&lt;&gt;"",F$12/$N$12,F$12),IF($C$13="→",IF($N$13&lt;&gt;"",F$13/$N$13,F$13),IF($C$14="→",IF($N$14&lt;&gt;"",F$14/$N$14,F$14),"")))</f>
        <v>0.375</v>
      </c>
      <c r="G19" s="180">
        <f t="shared" si="10"/>
        <v>0.75</v>
      </c>
      <c r="H19" s="180">
        <f t="shared" si="10"/>
        <v>1</v>
      </c>
      <c r="I19" s="180">
        <f t="shared" si="10"/>
        <v>0.125</v>
      </c>
      <c r="J19" s="180">
        <f t="shared" si="10"/>
        <v>0</v>
      </c>
      <c r="K19" s="180">
        <f t="shared" si="10"/>
        <v>0</v>
      </c>
      <c r="L19" s="180">
        <f t="shared" si="10"/>
        <v>86.125</v>
      </c>
      <c r="P19" s="39">
        <f>IF(AND(C12="→",F9="↓"),F12,IF(AND(C13="→",F9="↓"),F13,IF(AND(C14="→",F9="↓"),F14,IF(AND(C12="→",G9="↓"),G12,IF(AND(C13="→",G9="↓"),G13,IF(AND(C14="→",G9="↓"),G14,IF(AND(C12="→",H9="↓"),H12,IF(AND(C13="→",H9="↓"),H13,IF(AND(C14="→",H9="↓"),H14,IF(AND(C12="→",I9="↓"),I12,IF(AND(C13="→",I9="↓"),I13,IF(AND(C14="→",I9="↓"),I14,IF(AND(C12="→",J9="↓"),J12,IF(AND(C13="→",J9="↓"),J13,IF(AND(C14="→",J9="↓"),J14,IF(AND(C12="→",K9="↓"),K12,IF(AND(C13="→",K9="↓"),K13,IF(AND(C14="→",K9="↓"),K14,"není"))))))))))))))))))</f>
        <v>8</v>
      </c>
      <c r="R19" s="192"/>
      <c r="T19" s="337"/>
      <c r="U19" s="338"/>
      <c r="V19" s="180">
        <f t="shared" ref="V19:AB19" si="11">IF($S$12="→",IF($AD$12&lt;&gt;"",V$12/$AD$12,V$12),IF($S$13="→",IF($AD$13&lt;&gt;"",V$13/$AD$13,V$13),IF($S$14="→",IF($AD$14&lt;&gt;"",V$14/$AD$14,V$14),"")))</f>
        <v>1</v>
      </c>
      <c r="W19" s="180">
        <f t="shared" si="11"/>
        <v>2</v>
      </c>
      <c r="X19" s="180">
        <f t="shared" si="11"/>
        <v>0</v>
      </c>
      <c r="Y19" s="180">
        <f t="shared" si="11"/>
        <v>-0.42857142857142855</v>
      </c>
      <c r="Z19" s="180">
        <f t="shared" si="11"/>
        <v>1.1428571428571428</v>
      </c>
      <c r="AA19" s="180">
        <f t="shared" si="11"/>
        <v>0</v>
      </c>
      <c r="AB19" s="180">
        <f t="shared" si="11"/>
        <v>48.714285714285715</v>
      </c>
      <c r="AF19" s="39">
        <f>IF(AND(S12="→",V9="↓"),V12,IF(AND(S13="→",V9="↓"),V13,IF(AND(S14="→",V9="↓"),V14,IF(AND(S12="→",W9="↓"),W12,IF(AND(S13="→",W9="↓"),W13,IF(AND(S14="→",W9="↓"),W14,IF(AND(S12="→",X9="↓"),X12,IF(AND(S13="→",X9="↓"),X13,IF(AND(S14="→",X9="↓"),X14,IF(AND(S12="→",Y9="↓"),Y12,IF(AND(S13="→",Y9="↓"),Y13,IF(AND(S14="→",Y9="↓"),Y14,IF(AND(S12="→",Z9="↓"),Z12,IF(AND(S13="→",Z9="↓"),Z13,IF(AND(S14="→",Z9="↓"),Z14,IF(AND(S12="→",AA9="↓"),AA12,IF(AND(S13="→",AA9="↓"),AA13,IF(AND(S14="→",AA9="↓"),AA14,"není"))))))))))))))))))</f>
        <v>0.875</v>
      </c>
      <c r="AH19" s="71"/>
    </row>
    <row r="20" spans="2:44" ht="18" customHeight="1" x14ac:dyDescent="0.3">
      <c r="B20" s="71"/>
      <c r="C20" s="4"/>
      <c r="D20" s="4"/>
      <c r="E20" s="4"/>
      <c r="F20" s="4"/>
      <c r="G20" s="4"/>
      <c r="H20" s="4"/>
      <c r="I20" s="4"/>
      <c r="J20" s="4"/>
      <c r="K20" s="4"/>
      <c r="L20" s="4"/>
      <c r="M20" s="4"/>
      <c r="N20" s="4"/>
      <c r="O20" s="4"/>
      <c r="P20" s="4"/>
      <c r="Q20" s="4"/>
      <c r="R20" s="192"/>
      <c r="T20" s="4"/>
      <c r="U20" s="4"/>
      <c r="V20" s="4"/>
      <c r="AH20" s="71"/>
    </row>
    <row r="21" spans="2:44" ht="25.05" customHeight="1" x14ac:dyDescent="0.3">
      <c r="B21" s="71"/>
      <c r="C21" s="334" t="s">
        <v>134</v>
      </c>
      <c r="D21" s="334"/>
      <c r="E21" s="334"/>
      <c r="F21" s="334"/>
      <c r="G21" s="334"/>
      <c r="H21" s="199"/>
      <c r="I21" s="199"/>
      <c r="J21" s="199"/>
      <c r="K21" s="199"/>
      <c r="L21" s="199"/>
      <c r="M21" s="199"/>
      <c r="N21" s="199"/>
      <c r="O21" s="333" t="s">
        <v>135</v>
      </c>
      <c r="P21" s="333"/>
      <c r="Q21" s="333"/>
      <c r="R21" s="193"/>
      <c r="S21" s="193"/>
      <c r="T21" s="193"/>
      <c r="U21" s="193"/>
      <c r="V21" s="193"/>
      <c r="W21" s="193"/>
      <c r="X21" s="193"/>
      <c r="Y21" s="193"/>
      <c r="Z21" s="193"/>
      <c r="AA21" s="193"/>
      <c r="AB21" s="193"/>
      <c r="AC21" s="193"/>
      <c r="AD21" s="193"/>
      <c r="AE21" s="193"/>
      <c r="AF21" s="193"/>
      <c r="AG21" s="193"/>
      <c r="AH21" s="193"/>
      <c r="AK21" s="9"/>
      <c r="AL21" s="9"/>
      <c r="AM21" s="9"/>
      <c r="AN21" s="9"/>
      <c r="AO21" s="9"/>
      <c r="AP21" s="9"/>
      <c r="AQ21" s="9"/>
      <c r="AR21" s="9"/>
    </row>
    <row r="22" spans="2:44" ht="18" customHeight="1" thickBot="1" x14ac:dyDescent="0.35">
      <c r="B22" s="71"/>
      <c r="F22" s="181" t="str">
        <f>IF($P$29=F$28,"↓","")</f>
        <v>↓</v>
      </c>
      <c r="G22" s="181" t="str">
        <f t="shared" ref="G22:K22" si="12">IF($P$29=G$28,"↓","")</f>
        <v/>
      </c>
      <c r="H22" s="181" t="str">
        <f t="shared" si="12"/>
        <v>↓</v>
      </c>
      <c r="I22" s="181" t="str">
        <f t="shared" si="12"/>
        <v/>
      </c>
      <c r="J22" s="181" t="str">
        <f t="shared" si="12"/>
        <v/>
      </c>
      <c r="K22" s="181" t="str">
        <f t="shared" si="12"/>
        <v>↓</v>
      </c>
      <c r="L22" s="181"/>
      <c r="M22" s="181"/>
      <c r="N22" s="181"/>
      <c r="O22" s="181"/>
      <c r="P22" s="181"/>
      <c r="R22" s="193"/>
      <c r="X22" s="9"/>
      <c r="Y22" s="9"/>
      <c r="Z22" s="9"/>
      <c r="AA22" s="9"/>
      <c r="AB22" s="9"/>
      <c r="AC22" s="9"/>
      <c r="AD22" s="9"/>
      <c r="AE22" s="9"/>
      <c r="AF22" s="9"/>
      <c r="AG22" s="9"/>
      <c r="AH22" s="9"/>
      <c r="AI22" s="9"/>
      <c r="AJ22" s="9"/>
      <c r="AK22" s="9"/>
      <c r="AL22" s="9"/>
      <c r="AM22" s="9"/>
      <c r="AN22" s="9"/>
      <c r="AO22" s="9"/>
      <c r="AP22" s="9"/>
      <c r="AQ22" s="9"/>
      <c r="AR22" s="9"/>
    </row>
    <row r="23" spans="2:44" ht="18" customHeight="1" x14ac:dyDescent="0.3">
      <c r="B23" s="71"/>
      <c r="D23" s="179"/>
      <c r="E23" s="27"/>
      <c r="F23" s="181" cm="1">
        <f t="array" ref="F23:K23">F10:K10</f>
        <v>33</v>
      </c>
      <c r="G23" s="181">
        <v>42</v>
      </c>
      <c r="H23" s="169">
        <v>77</v>
      </c>
      <c r="I23" s="181">
        <v>0</v>
      </c>
      <c r="J23" s="181">
        <v>0</v>
      </c>
      <c r="K23" s="181">
        <v>0</v>
      </c>
      <c r="L23" s="31"/>
      <c r="M23" s="181"/>
      <c r="N23" s="181"/>
      <c r="O23" s="181"/>
      <c r="P23" s="54" t="s">
        <v>24</v>
      </c>
      <c r="Q23" s="164"/>
      <c r="R23" s="193"/>
      <c r="S23" s="164"/>
      <c r="X23" s="9"/>
      <c r="Y23" s="9"/>
      <c r="Z23" s="9"/>
      <c r="AA23" s="9"/>
      <c r="AB23" s="9"/>
      <c r="AC23" s="9"/>
      <c r="AD23" s="9"/>
      <c r="AE23" s="9"/>
      <c r="AF23" s="9"/>
      <c r="AG23" s="9"/>
      <c r="AH23" s="9"/>
      <c r="AI23" s="9"/>
      <c r="AJ23" s="9"/>
      <c r="AK23" s="9"/>
      <c r="AL23" s="9"/>
      <c r="AM23" s="9"/>
      <c r="AN23" s="9"/>
      <c r="AO23" s="9"/>
      <c r="AP23" s="9"/>
      <c r="AQ23" s="9"/>
      <c r="AR23" s="9"/>
    </row>
    <row r="24" spans="2:44" ht="18" customHeight="1" thickBot="1" x14ac:dyDescent="0.35">
      <c r="B24" s="71"/>
      <c r="D24" s="28" t="s">
        <v>20</v>
      </c>
      <c r="E24" s="27" t="s">
        <v>21</v>
      </c>
      <c r="F24" s="31" t="str" cm="1">
        <f t="array" ref="F24:K24">F11:K11</f>
        <v>x1</v>
      </c>
      <c r="G24" s="179" t="str">
        <v>x2</v>
      </c>
      <c r="H24" s="169" t="str">
        <v>x3</v>
      </c>
      <c r="I24" s="179" t="str">
        <v>d1</v>
      </c>
      <c r="J24" s="179" t="str">
        <v>d2</v>
      </c>
      <c r="K24" s="179" t="str">
        <v>d3</v>
      </c>
      <c r="L24" s="33" t="s">
        <v>13</v>
      </c>
      <c r="M24" s="51" t="s">
        <v>14</v>
      </c>
      <c r="N24" s="52" t="s">
        <v>16</v>
      </c>
      <c r="P24" s="49" t="str">
        <f>IF(P25=M25,E25,IF(P25=M26,E26,IF(P25=M27,E27,"--_(O_o)_--")))</f>
        <v>x1</v>
      </c>
      <c r="R24" s="193"/>
      <c r="X24" s="9"/>
      <c r="Y24" s="9"/>
      <c r="Z24" s="9"/>
      <c r="AA24" s="9"/>
      <c r="AB24" s="9"/>
      <c r="AC24" s="9"/>
      <c r="AD24" s="9"/>
      <c r="AE24" s="9"/>
      <c r="AF24" s="9"/>
      <c r="AG24" s="9"/>
      <c r="AH24" s="9"/>
      <c r="AI24" s="9"/>
      <c r="AJ24" s="9"/>
      <c r="AK24" s="9"/>
      <c r="AL24" s="9"/>
      <c r="AM24" s="9"/>
      <c r="AN24" s="9"/>
      <c r="AO24" s="9"/>
      <c r="AP24" s="9"/>
      <c r="AQ24" s="9"/>
      <c r="AR24" s="9"/>
    </row>
    <row r="25" spans="2:44" ht="18" customHeight="1" thickBot="1" x14ac:dyDescent="0.35">
      <c r="B25" s="71"/>
      <c r="C25" s="181" t="str">
        <f>IF($P$25=M25,"→","")</f>
        <v/>
      </c>
      <c r="D25" s="179">
        <f>IF($E25=$F$11,$F$10,IF($E25=$G$11,$G$10,IF($E25=$H$11,$H$10,IF($E25=$I$11,$I$10,IF($E25=$J$11,$J$10,IF($E25=$K$11,$K$10,"--__(O_o)__--"))))))</f>
        <v>77</v>
      </c>
      <c r="E25" s="183" t="str">
        <f>IF($U12=$AF$11,$AF$15,$U12)</f>
        <v>x3</v>
      </c>
      <c r="F25" s="45">
        <f>IF(AND($S12="→",V$9="↓",V12=1),1,IF(AND($S12="→",V$9="↓",V12&lt;&gt;1),V12/V12,IF(AND($S12="→",V$9&lt;&gt;"↓",$AF$19=1),V12,IF(AND($S12="→",V$9&lt;&gt;"↓",$AF$19&lt;&gt;1),V12/$AF$19,IF(AND($S12&lt;&gt;"→",V$9="↓",V12=0),0,IF(AND($S12&lt;&gt;"→",V$9="↓",V12&lt;&gt;0),(-V12)+V12,IF(AND($S12&lt;&gt;"→",V$9&lt;&gt;"↓",$AD12&lt;&gt;""),V12-(V$19*$AD12),V12)))))))</f>
        <v>0</v>
      </c>
      <c r="G25" s="182">
        <f t="shared" ref="G25:L27" si="13">IF(AND($S12="→",W$9="↓",W12=1),1,IF(AND($S12="→",W$9="↓",W12&lt;&gt;1),W12/W12,IF(AND($S12="→",W$9&lt;&gt;"↓",$AF$19=1),W12,IF(AND($S12="→",W$9&lt;&gt;"↓",$AF$19&lt;&gt;1),W12/$AF$19,IF(AND($S12&lt;&gt;"→",W$9="↓",W12=0),0,IF(AND($S12&lt;&gt;"→",W$9="↓",W12&lt;&gt;0),(-W12)+W12,IF(AND($S12&lt;&gt;"→",W$9&lt;&gt;"↓",$AD12&lt;&gt;""),W12-(W$19*$AD12),W12)))))))</f>
        <v>0</v>
      </c>
      <c r="H25" s="187">
        <f t="shared" si="13"/>
        <v>1</v>
      </c>
      <c r="I25" s="182">
        <f t="shared" si="13"/>
        <v>0.2857142857142857</v>
      </c>
      <c r="J25" s="182">
        <f t="shared" si="13"/>
        <v>-0.42857142857142855</v>
      </c>
      <c r="K25" s="183">
        <f t="shared" si="13"/>
        <v>0</v>
      </c>
      <c r="L25" s="187">
        <f t="shared" si="13"/>
        <v>67.857142857142861</v>
      </c>
      <c r="M25" s="55">
        <f>IFERROR($L25/IF($F$28=$P$29,IF(F25&gt;0,F25,10^-150),IF($G$28=$P$29,IF(G25&gt;0,G25,10^-150),IF($H$28=$P$29,IF(H25&gt;0,H25,10^-150),IF($I$28=$P$29,IF(I25&gt;0,I25,10^-150),IF($J$28=$P$29,IF(J25&gt;0,J25,10^-150),IF($K$28=$P$29,IF(K25&gt;0,K25,10^-150),"Chyba")))))),10^150)</f>
        <v>6.7857142857142866E+151</v>
      </c>
      <c r="N25" s="64">
        <f>IF(AND($C25="→",$P$32=1),"",IF(AND($C25="→",$P$32&lt;&gt;1),$P$32,IF(AND($C25&lt;&gt;"→",$F$22="↓",$F25&lt;&gt;0),$F25,IF(AND($C25&lt;&gt;"→",$G$22="↓",$G25&lt;&gt;0),$G25,IF(AND($C25&lt;&gt;"→",$H$22="↓",$H25&lt;&gt;0),$H25,IF(AND($C25&lt;&gt;"→",$I$22="↓",$I25&lt;&gt;0),$I25,IF(AND($C25&lt;&gt;"→",$J$22="↓",$J25&lt;&gt;0),$J25,IF(AND($C25&lt;&gt;"→",$K$22="↓",$K25&lt;&gt;0),$K25,""))))))))</f>
        <v>1</v>
      </c>
      <c r="P25" s="196" cm="1">
        <f t="array" ref="P25">MIN(ABS(M25:M27))</f>
        <v>48.714285714285715</v>
      </c>
      <c r="R25" s="193"/>
      <c r="X25" s="9"/>
      <c r="Y25" s="9"/>
      <c r="Z25" s="9"/>
      <c r="AD25" s="9"/>
      <c r="AE25" s="9"/>
      <c r="AF25" s="9"/>
      <c r="AG25" s="9"/>
      <c r="AH25" s="9"/>
      <c r="AI25" s="9"/>
      <c r="AJ25" s="9"/>
      <c r="AK25" s="9"/>
      <c r="AL25" s="9"/>
      <c r="AM25" s="9"/>
      <c r="AN25" s="9"/>
      <c r="AO25" s="9"/>
      <c r="AP25" s="9"/>
      <c r="AQ25" s="9"/>
      <c r="AR25" s="9"/>
    </row>
    <row r="26" spans="2:44" ht="18" customHeight="1" x14ac:dyDescent="0.3">
      <c r="B26" s="71"/>
      <c r="C26" s="181" t="str">
        <f t="shared" ref="C26:C27" si="14">IF($P$25=M26,"→","")</f>
        <v>→</v>
      </c>
      <c r="D26" s="179">
        <f t="shared" ref="D26:D27" si="15">IF($E26=$F$11,$F$10,IF($E26=$G$11,$G$10,IF($E26=$H$11,$H$10,IF($E26=$I$11,$I$10,IF($E26=$J$11,$J$10,IF($E26=$K$11,$K$10,"--__(O_o)__--"))))))</f>
        <v>33</v>
      </c>
      <c r="E26" s="27" t="str">
        <f t="shared" ref="E26:E27" si="16">IF($U13=$AF$11,$AF$15,$U13)</f>
        <v>x1</v>
      </c>
      <c r="F26" s="31">
        <f t="shared" ref="F26:F27" si="17">IF(AND($S13="→",V$9="↓",V13=1),1,IF(AND($S13="→",V$9="↓",V13&lt;&gt;1),V13/V13,IF(AND($S13="→",V$9&lt;&gt;"↓",$AF$19=1),V13,IF(AND($S13="→",V$9&lt;&gt;"↓",$AF$19&lt;&gt;1),V13/$AF$19,IF(AND($S13&lt;&gt;"→",V$9="↓",V13=0),0,IF(AND($S13&lt;&gt;"→",V$9="↓",V13&lt;&gt;0),(-V13)+V13,IF(AND($S13&lt;&gt;"→",V$9&lt;&gt;"↓",$AD13&lt;&gt;""),V13-(V$19*$AD13),V13)))))))</f>
        <v>1</v>
      </c>
      <c r="G26" s="179">
        <f t="shared" si="13"/>
        <v>2</v>
      </c>
      <c r="H26" s="169">
        <f t="shared" si="13"/>
        <v>0</v>
      </c>
      <c r="I26" s="179">
        <f t="shared" si="13"/>
        <v>-0.42857142857142855</v>
      </c>
      <c r="J26" s="179">
        <f t="shared" si="13"/>
        <v>1.1428571428571428</v>
      </c>
      <c r="K26" s="27">
        <f t="shared" si="13"/>
        <v>0</v>
      </c>
      <c r="L26" s="169">
        <f t="shared" si="13"/>
        <v>48.714285714285715</v>
      </c>
      <c r="M26" s="56">
        <f t="shared" ref="M26:M27" si="18">IFERROR($L26/IF($F$28=$P$29,IF(F26&gt;0,F26,10^-150),IF($G$28=$P$29,IF(G26&gt;0,G26,10^-150),IF($H$28=$P$29,IF(H26&gt;0,H26,10^-150),IF($I$28=$P$29,IF(I26&gt;0,I26,10^-150),IF($J$28=$P$29,IF(J26&gt;0,J26,10^-150),IF($K$28=$P$29,IF(K26&gt;0,K26,10^-150),"Chyba")))))),10^150)</f>
        <v>48.714285714285715</v>
      </c>
      <c r="N26" s="35" t="str">
        <f t="shared" ref="N26:N27" si="19">IF(AND($C26="→",$P$32=1),"",IF(AND($C26="→",$P$32&lt;&gt;1),$P$32,IF(AND($C26&lt;&gt;"→",$F$22="↓",$F26&lt;&gt;0),$F26,IF(AND($C26&lt;&gt;"→",$G$22="↓",$G26&lt;&gt;0),$G26,IF(AND($C26&lt;&gt;"→",$H$22="↓",$H26&lt;&gt;0),$H26,IF(AND($C26&lt;&gt;"→",$I$22="↓",$I26&lt;&gt;0),$I26,IF(AND($C26&lt;&gt;"→",$J$22="↓",$J26&lt;&gt;0),$J26,IF(AND($C26&lt;&gt;"→",$K$22="↓",$K26&lt;&gt;0),$K26,""))))))))</f>
        <v/>
      </c>
      <c r="R26" s="193"/>
      <c r="AG26" s="9"/>
      <c r="AH26" s="9"/>
      <c r="AI26" s="9"/>
      <c r="AJ26" s="9"/>
      <c r="AK26" s="9"/>
      <c r="AL26" s="9"/>
      <c r="AM26" s="9"/>
      <c r="AN26" s="9"/>
      <c r="AO26" s="9"/>
      <c r="AP26" s="9"/>
      <c r="AQ26" s="9"/>
      <c r="AR26" s="9"/>
    </row>
    <row r="27" spans="2:44" ht="18" customHeight="1" thickBot="1" x14ac:dyDescent="0.35">
      <c r="B27" s="71"/>
      <c r="C27" s="181" t="str">
        <f t="shared" si="14"/>
        <v/>
      </c>
      <c r="D27" s="179">
        <f t="shared" si="15"/>
        <v>0</v>
      </c>
      <c r="E27" s="29" t="str">
        <f t="shared" si="16"/>
        <v>d3</v>
      </c>
      <c r="F27" s="66">
        <f t="shared" si="17"/>
        <v>0</v>
      </c>
      <c r="G27" s="28">
        <f t="shared" si="13"/>
        <v>1</v>
      </c>
      <c r="H27" s="186">
        <f t="shared" si="13"/>
        <v>0</v>
      </c>
      <c r="I27" s="28">
        <f t="shared" si="13"/>
        <v>-1.8571428571428572</v>
      </c>
      <c r="J27" s="28">
        <f t="shared" si="13"/>
        <v>1.2857142857142856</v>
      </c>
      <c r="K27" s="29">
        <f t="shared" si="13"/>
        <v>1</v>
      </c>
      <c r="L27" s="186">
        <f t="shared" si="13"/>
        <v>163.42857142857144</v>
      </c>
      <c r="M27" s="57">
        <f t="shared" si="18"/>
        <v>1.6342857142857144E+152</v>
      </c>
      <c r="N27" s="61">
        <f t="shared" si="19"/>
        <v>1</v>
      </c>
      <c r="P27" s="59" t="s">
        <v>22</v>
      </c>
      <c r="R27" s="193"/>
      <c r="AI27" s="9"/>
      <c r="AJ27" s="9"/>
      <c r="AK27" s="9"/>
      <c r="AL27" s="9"/>
      <c r="AM27" s="9"/>
      <c r="AN27" s="9"/>
      <c r="AO27" s="9"/>
      <c r="AP27" s="9"/>
      <c r="AQ27" s="9"/>
      <c r="AR27" s="9"/>
    </row>
    <row r="28" spans="2:44" ht="18" customHeight="1" x14ac:dyDescent="0.3">
      <c r="B28" s="71"/>
      <c r="C28" s="181"/>
      <c r="D28" s="339" t="s">
        <v>25</v>
      </c>
      <c r="E28" s="340"/>
      <c r="F28" s="182">
        <f>($D$25*F$25+$D$26*F$26+$D$27*F$27)-F$23</f>
        <v>0</v>
      </c>
      <c r="G28" s="182">
        <f t="shared" ref="G28:L28" si="20">($D$25*G$25+$D$26*G$26+$D$27*G$27)-G$23</f>
        <v>24</v>
      </c>
      <c r="H28" s="187">
        <f t="shared" si="20"/>
        <v>0</v>
      </c>
      <c r="I28" s="182">
        <f t="shared" si="20"/>
        <v>7.8571428571428577</v>
      </c>
      <c r="J28" s="182">
        <f t="shared" si="20"/>
        <v>4.7142857142857153</v>
      </c>
      <c r="K28" s="183">
        <f t="shared" si="20"/>
        <v>0</v>
      </c>
      <c r="L28" s="182">
        <f t="shared" si="20"/>
        <v>6832.5714285714284</v>
      </c>
      <c r="M28" s="63"/>
      <c r="N28" s="182"/>
      <c r="P28" s="50" t="str">
        <f>IF(P29=F28,F24,IF(P29=G28,G24,IF(P29=H28,H24,IF(P29=I28,I24,IF(P29=J28,J24,IF(P29=K28,K24,"--__(O_o)__--"))))))</f>
        <v>x1</v>
      </c>
      <c r="R28" s="193"/>
      <c r="AI28" s="9"/>
      <c r="AJ28" s="9"/>
      <c r="AK28" s="9"/>
      <c r="AL28" s="9"/>
      <c r="AM28" s="9"/>
      <c r="AN28" s="9"/>
      <c r="AO28" s="9"/>
      <c r="AP28" s="9"/>
      <c r="AQ28" s="9"/>
      <c r="AR28" s="9"/>
    </row>
    <row r="29" spans="2:44" ht="18" customHeight="1" thickBot="1" x14ac:dyDescent="0.35">
      <c r="B29" s="71"/>
      <c r="N29" s="179"/>
      <c r="P29" s="39">
        <f>MIN(F28:K28)</f>
        <v>0</v>
      </c>
      <c r="R29" s="193"/>
      <c r="AI29" s="9"/>
      <c r="AJ29" s="9"/>
      <c r="AK29" s="9"/>
      <c r="AL29" s="9"/>
      <c r="AM29" s="9"/>
      <c r="AN29" s="9"/>
      <c r="AO29" s="9"/>
      <c r="AP29" s="9"/>
      <c r="AQ29" s="9"/>
      <c r="AR29" s="9"/>
    </row>
    <row r="30" spans="2:44" ht="18" customHeight="1" thickBot="1" x14ac:dyDescent="0.35">
      <c r="B30" s="71"/>
      <c r="R30" s="193"/>
      <c r="AG30" s="9"/>
      <c r="AH30" s="9"/>
      <c r="AI30" s="9"/>
      <c r="AJ30" s="9"/>
      <c r="AK30" s="9"/>
      <c r="AL30" s="9"/>
      <c r="AM30" s="9"/>
      <c r="AN30" s="9"/>
      <c r="AO30" s="9"/>
      <c r="AP30" s="9"/>
      <c r="AQ30" s="9"/>
      <c r="AR30" s="9"/>
    </row>
    <row r="31" spans="2:44" ht="18" customHeight="1" x14ac:dyDescent="0.3">
      <c r="B31" s="71"/>
      <c r="D31" s="335" t="s">
        <v>23</v>
      </c>
      <c r="E31" s="336"/>
      <c r="F31" s="180">
        <f>IF($C$25="→",F$25,IF($C$26="→",F$26,IF($C$27="→",F$27,"")))</f>
        <v>1</v>
      </c>
      <c r="G31" s="180">
        <f t="shared" ref="G31:L31" si="21">IF($C$25="→",G$25,IF($C$26="→",G$26,IF($C$27="→",G$27,"")))</f>
        <v>2</v>
      </c>
      <c r="H31" s="180">
        <f t="shared" si="21"/>
        <v>0</v>
      </c>
      <c r="I31" s="180">
        <f t="shared" si="21"/>
        <v>-0.42857142857142855</v>
      </c>
      <c r="J31" s="180">
        <f t="shared" si="21"/>
        <v>1.1428571428571428</v>
      </c>
      <c r="K31" s="180">
        <f t="shared" si="21"/>
        <v>0</v>
      </c>
      <c r="L31" s="180">
        <f t="shared" si="21"/>
        <v>48.714285714285715</v>
      </c>
      <c r="P31" s="40" t="s">
        <v>15</v>
      </c>
      <c r="R31" s="71"/>
      <c r="S31" s="164"/>
      <c r="X31" s="9"/>
      <c r="Y31" s="9"/>
      <c r="Z31" s="9"/>
      <c r="AD31" s="9"/>
      <c r="AE31" s="9"/>
      <c r="AF31" s="9"/>
      <c r="AG31" s="9"/>
      <c r="AH31" s="9"/>
      <c r="AI31" s="9"/>
      <c r="AJ31" s="9"/>
      <c r="AK31" s="9"/>
      <c r="AL31" s="9"/>
      <c r="AM31" s="9"/>
      <c r="AN31" s="9"/>
      <c r="AO31" s="9"/>
      <c r="AP31" s="9"/>
      <c r="AQ31" s="9"/>
      <c r="AR31" s="9"/>
    </row>
    <row r="32" spans="2:44" ht="18" customHeight="1" thickBot="1" x14ac:dyDescent="0.35">
      <c r="B32" s="71"/>
      <c r="D32" s="337"/>
      <c r="E32" s="338"/>
      <c r="F32" s="180">
        <f>IF($C$25="→",IF($N$25&lt;&gt;"",F$25/$N$25,F$25),IF($C$26="→",IF($N$26&lt;&gt;"",F$26/$N$26,F$26),IF($C$27="→",IF($N$27&lt;&gt;"",F$27/$N$27,F$27),"")))</f>
        <v>1</v>
      </c>
      <c r="G32" s="180">
        <f t="shared" ref="G32:L32" si="22">IF($C$25="→",IF($N$25&lt;&gt;"",G$25/$N$25,G$25),IF($C$26="→",IF($N$26&lt;&gt;"",G$26/$N$26,G$26),IF($C$27="→",IF($N$27&lt;&gt;"",G$27/$N$27,G$27),"")))</f>
        <v>2</v>
      </c>
      <c r="H32" s="180">
        <f t="shared" si="22"/>
        <v>0</v>
      </c>
      <c r="I32" s="180">
        <f t="shared" si="22"/>
        <v>-0.42857142857142855</v>
      </c>
      <c r="J32" s="180">
        <f t="shared" si="22"/>
        <v>1.1428571428571428</v>
      </c>
      <c r="K32" s="180">
        <f t="shared" si="22"/>
        <v>0</v>
      </c>
      <c r="L32" s="180">
        <f t="shared" si="22"/>
        <v>48.714285714285715</v>
      </c>
      <c r="P32" s="39">
        <f>IF(AND(C25="→",F22="↓"),F25,IF(AND(C26="→",F22="↓"),F26,IF(AND(C27="→",F22="↓"),F27,IF(AND(C25="→",G22="↓"),G25,IF(AND(C26="→",G22="↓"),G26,IF(AND(C27="→",G22="↓"),G27,IF(AND(C25="→",H22="↓"),H25,IF(AND(C26="→",H22="↓"),H26,IF(AND(C27="→",H22="↓"),H27,IF(AND(C25="→",I22="↓"),I25,IF(AND(C26="→",I22="↓"),I26,IF(AND(C27="→",I22="↓"),I27,IF(AND(C25="→",J22="↓"),J25,IF(AND(C26="→",J22="↓"),J26,IF(AND(C27="→",J22="↓"),J27,IF(AND(C25="→",K22="↓"),K25,IF(AND(C26="→",K22="↓"),K26,IF(AND(C27="→",K22="↓"),K27,"není"))))))))))))))))))</f>
        <v>1</v>
      </c>
      <c r="R32" s="71"/>
      <c r="X32" s="9"/>
      <c r="Y32" s="9"/>
      <c r="Z32" s="9"/>
      <c r="AA32" s="9"/>
      <c r="AB32" s="9"/>
      <c r="AC32" s="9"/>
      <c r="AD32" s="9"/>
      <c r="AE32" s="9"/>
      <c r="AF32" s="9"/>
      <c r="AG32" s="9"/>
      <c r="AH32" s="9"/>
      <c r="AI32" s="9"/>
      <c r="AJ32" s="9"/>
      <c r="AK32" s="9"/>
      <c r="AL32" s="9"/>
      <c r="AM32" s="9"/>
      <c r="AN32" s="9"/>
      <c r="AO32" s="9"/>
      <c r="AP32" s="9"/>
      <c r="AQ32" s="9"/>
      <c r="AR32" s="9"/>
    </row>
    <row r="33" spans="2:44" ht="18" customHeight="1" x14ac:dyDescent="0.3">
      <c r="B33" s="71"/>
      <c r="R33" s="71"/>
      <c r="X33" s="9"/>
      <c r="Y33" s="9"/>
      <c r="Z33" s="9"/>
      <c r="AA33" s="9"/>
      <c r="AB33" s="9"/>
      <c r="AC33" s="9"/>
      <c r="AD33" s="9"/>
      <c r="AE33" s="9"/>
      <c r="AF33" s="9"/>
      <c r="AG33" s="9"/>
      <c r="AH33" s="9"/>
      <c r="AI33" s="9"/>
      <c r="AJ33" s="9"/>
      <c r="AK33" s="9"/>
      <c r="AL33" s="9"/>
      <c r="AM33" s="9"/>
      <c r="AN33" s="9"/>
      <c r="AO33" s="9"/>
      <c r="AP33" s="9"/>
      <c r="AQ33" s="9"/>
      <c r="AR33" s="9"/>
    </row>
    <row r="34" spans="2:44" ht="18" customHeight="1" x14ac:dyDescent="0.3">
      <c r="B34" s="71"/>
      <c r="C34" s="71"/>
      <c r="D34" s="71"/>
      <c r="E34" s="71"/>
      <c r="F34" s="71"/>
      <c r="G34" s="71"/>
      <c r="H34" s="71"/>
      <c r="I34" s="71"/>
      <c r="J34" s="71"/>
      <c r="K34" s="71"/>
      <c r="L34" s="71"/>
      <c r="M34" s="71"/>
      <c r="N34" s="71"/>
      <c r="O34" s="71"/>
      <c r="P34" s="71"/>
      <c r="Q34" s="71"/>
      <c r="R34" s="71"/>
      <c r="X34" s="9"/>
      <c r="Y34" s="9"/>
      <c r="Z34" s="9"/>
      <c r="AA34" s="9"/>
      <c r="AB34" s="9"/>
      <c r="AC34" s="9"/>
      <c r="AD34" s="9"/>
      <c r="AE34" s="9"/>
      <c r="AF34" s="9"/>
      <c r="AG34" s="9"/>
      <c r="AH34" s="9"/>
      <c r="AI34" s="9"/>
      <c r="AJ34" s="9"/>
      <c r="AK34" s="9"/>
      <c r="AL34" s="9"/>
      <c r="AM34" s="9"/>
      <c r="AN34" s="9"/>
      <c r="AO34" s="9"/>
      <c r="AP34" s="9"/>
      <c r="AQ34" s="9"/>
      <c r="AR34" s="9"/>
    </row>
    <row r="35" spans="2:44" ht="18" customHeight="1" x14ac:dyDescent="0.3">
      <c r="X35" s="9"/>
      <c r="Y35" s="9"/>
      <c r="Z35" s="9"/>
      <c r="AA35" s="9"/>
      <c r="AB35" s="9"/>
      <c r="AC35" s="9"/>
      <c r="AD35" s="9"/>
      <c r="AE35" s="9"/>
      <c r="AF35" s="9"/>
      <c r="AG35" s="9"/>
      <c r="AH35" s="9"/>
      <c r="AI35" s="9"/>
      <c r="AJ35" s="9"/>
      <c r="AK35" s="9"/>
      <c r="AL35" s="9"/>
      <c r="AM35" s="9"/>
      <c r="AN35" s="9"/>
      <c r="AO35" s="9"/>
      <c r="AP35" s="9"/>
      <c r="AQ35" s="9"/>
      <c r="AR35" s="9"/>
    </row>
    <row r="36" spans="2:44" ht="18" customHeight="1" x14ac:dyDescent="0.3">
      <c r="X36" s="9"/>
      <c r="Y36" s="9"/>
      <c r="Z36" s="9"/>
      <c r="AA36" s="9"/>
      <c r="AB36" s="9"/>
      <c r="AC36" s="9"/>
      <c r="AD36" s="9"/>
      <c r="AE36" s="9"/>
      <c r="AF36" s="9"/>
      <c r="AG36" s="9"/>
      <c r="AH36" s="9"/>
      <c r="AI36" s="9"/>
      <c r="AJ36" s="9"/>
      <c r="AK36" s="9"/>
      <c r="AL36" s="9"/>
      <c r="AM36" s="9"/>
      <c r="AN36" s="9"/>
      <c r="AO36" s="9"/>
      <c r="AP36" s="9"/>
      <c r="AQ36" s="9"/>
      <c r="AR36" s="9"/>
    </row>
  </sheetData>
  <dataConsolidate/>
  <mergeCells count="25">
    <mergeCell ref="D31:E32"/>
    <mergeCell ref="D28:E28"/>
    <mergeCell ref="D18:E19"/>
    <mergeCell ref="D15:E15"/>
    <mergeCell ref="T18:U19"/>
    <mergeCell ref="T15:U15"/>
    <mergeCell ref="AE8:AG8"/>
    <mergeCell ref="C21:G21"/>
    <mergeCell ref="O21:Q21"/>
    <mergeCell ref="C8:G8"/>
    <mergeCell ref="O8:Q8"/>
    <mergeCell ref="S8:X8"/>
    <mergeCell ref="C5:E7"/>
    <mergeCell ref="C2:I3"/>
    <mergeCell ref="C4:F4"/>
    <mergeCell ref="G5:I5"/>
    <mergeCell ref="J5:L5"/>
    <mergeCell ref="R6:T6"/>
    <mergeCell ref="Y3:Z3"/>
    <mergeCell ref="AB3:AC3"/>
    <mergeCell ref="M5:O5"/>
    <mergeCell ref="AE3:AF3"/>
    <mergeCell ref="V3:W3"/>
    <mergeCell ref="R4:T4"/>
    <mergeCell ref="R5:T5"/>
  </mergeCells>
  <conditionalFormatting sqref="F15:L15">
    <cfRule type="cellIs" dxfId="37" priority="4" operator="lessThan">
      <formula>0</formula>
    </cfRule>
    <cfRule type="cellIs" dxfId="36" priority="7" operator="greaterThanOrEqual">
      <formula>0</formula>
    </cfRule>
  </conditionalFormatting>
  <conditionalFormatting sqref="V15:AB15">
    <cfRule type="cellIs" dxfId="35" priority="3" operator="lessThan">
      <formula>0</formula>
    </cfRule>
    <cfRule type="cellIs" dxfId="34" priority="6" operator="greaterThanOrEqual">
      <formula>0</formula>
    </cfRule>
  </conditionalFormatting>
  <conditionalFormatting sqref="V12:AA15">
    <cfRule type="expression" dxfId="33" priority="29">
      <formula>$AF$16=MIN(V$15)</formula>
    </cfRule>
  </conditionalFormatting>
  <conditionalFormatting sqref="F12:M14">
    <cfRule type="expression" dxfId="32" priority="45">
      <formula>$P$12=MIN(ABS($M12))</formula>
    </cfRule>
  </conditionalFormatting>
  <conditionalFormatting sqref="V12:AC14">
    <cfRule type="expression" dxfId="31" priority="28">
      <formula>$AF$12=MIN(ABS($AC12))</formula>
    </cfRule>
  </conditionalFormatting>
  <conditionalFormatting sqref="F12:K15">
    <cfRule type="expression" dxfId="30" priority="44">
      <formula>$P$16=MIN(F$15)</formula>
    </cfRule>
  </conditionalFormatting>
  <conditionalFormatting sqref="F28:L28">
    <cfRule type="cellIs" dxfId="29" priority="2" operator="lessThan">
      <formula>0</formula>
    </cfRule>
    <cfRule type="cellIs" dxfId="28" priority="5" operator="greaterThanOrEqual">
      <formula>0</formula>
    </cfRule>
  </conditionalFormatting>
  <conditionalFormatting sqref="F25:M27">
    <cfRule type="expression" dxfId="27" priority="51">
      <formula>$P$25=MIN(ABS($M25))</formula>
    </cfRule>
  </conditionalFormatting>
  <conditionalFormatting sqref="F25:K28 G25:L27">
    <cfRule type="expression" dxfId="26" priority="52">
      <formula>$P$29=MIN(F$28)</formula>
    </cfRule>
  </conditionalFormatting>
  <pageMargins left="0.7" right="0.7" top="0.78740157499999996" bottom="0.78740157499999996"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229A-0ED6-423F-A2EC-69C0D9B0C3F2}">
  <sheetPr codeName="List5">
    <tabColor theme="8" tint="0.39997558519241921"/>
  </sheetPr>
  <dimension ref="B1:AG224"/>
  <sheetViews>
    <sheetView zoomScaleNormal="100" workbookViewId="0">
      <selection activeCell="C2" sqref="C2:H3"/>
    </sheetView>
  </sheetViews>
  <sheetFormatPr defaultColWidth="8.77734375" defaultRowHeight="18" customHeight="1" x14ac:dyDescent="0.3"/>
  <cols>
    <col min="1" max="1" width="3.77734375" customWidth="1"/>
    <col min="2" max="2" width="2.77734375" customWidth="1"/>
    <col min="3" max="31" width="8.77734375" customWidth="1"/>
    <col min="32" max="32" width="2.77734375" customWidth="1"/>
  </cols>
  <sheetData>
    <row r="1" spans="2:32" ht="15" x14ac:dyDescent="0.3"/>
    <row r="2" spans="2:32" ht="12" customHeight="1" x14ac:dyDescent="0.3">
      <c r="B2" s="213"/>
      <c r="C2" s="341" t="s">
        <v>170</v>
      </c>
      <c r="D2" s="341"/>
      <c r="E2" s="341"/>
      <c r="F2" s="341"/>
      <c r="G2" s="341"/>
      <c r="H2" s="341"/>
      <c r="I2" s="301"/>
      <c r="J2" s="71"/>
      <c r="K2" s="71"/>
      <c r="L2" s="341" t="s">
        <v>39</v>
      </c>
      <c r="M2" s="341"/>
      <c r="N2" s="237"/>
      <c r="O2" s="71"/>
      <c r="P2" s="71"/>
      <c r="Q2" s="71"/>
      <c r="R2" s="71"/>
      <c r="S2" s="71"/>
      <c r="T2" s="71"/>
      <c r="U2" s="71"/>
      <c r="V2" s="71"/>
      <c r="W2" s="71"/>
      <c r="X2" s="71"/>
      <c r="Y2" s="71"/>
      <c r="Z2" s="71"/>
      <c r="AA2" s="71"/>
      <c r="AB2" s="71"/>
      <c r="AC2" s="71"/>
      <c r="AD2" s="71"/>
      <c r="AE2" s="71"/>
      <c r="AF2" s="71"/>
    </row>
    <row r="3" spans="2:32" ht="24.3" customHeight="1" x14ac:dyDescent="0.3">
      <c r="B3" s="213"/>
      <c r="C3" s="341"/>
      <c r="D3" s="341"/>
      <c r="E3" s="341"/>
      <c r="F3" s="341"/>
      <c r="G3" s="341"/>
      <c r="H3" s="341"/>
      <c r="I3" s="302"/>
      <c r="J3" s="72"/>
      <c r="K3" s="71"/>
      <c r="L3" s="341"/>
      <c r="M3" s="341"/>
      <c r="N3" s="224"/>
      <c r="O3" s="224"/>
      <c r="P3" s="224"/>
      <c r="Q3" s="224"/>
      <c r="R3" s="224"/>
      <c r="S3" s="224"/>
      <c r="T3" s="224"/>
      <c r="U3" s="224"/>
      <c r="V3" s="224"/>
      <c r="W3" s="224"/>
      <c r="X3" s="224"/>
      <c r="Y3" s="224"/>
      <c r="Z3" s="224"/>
      <c r="AA3" s="224"/>
      <c r="AB3" s="224"/>
      <c r="AC3" s="224"/>
      <c r="AD3" s="224"/>
      <c r="AE3" s="224"/>
      <c r="AF3" s="71"/>
    </row>
    <row r="4" spans="2:32" ht="18" customHeight="1" x14ac:dyDescent="0.3">
      <c r="B4" s="71"/>
      <c r="C4" s="342" t="s">
        <v>171</v>
      </c>
      <c r="D4" s="342"/>
      <c r="E4" s="342"/>
      <c r="F4" s="207"/>
      <c r="G4" s="72"/>
      <c r="H4" s="72"/>
      <c r="I4" s="72"/>
      <c r="J4" s="72"/>
      <c r="K4" s="71"/>
      <c r="L4" s="323" t="s">
        <v>296</v>
      </c>
      <c r="M4" s="323"/>
      <c r="N4" s="323"/>
      <c r="O4" s="323"/>
      <c r="P4" s="323"/>
      <c r="Q4" s="323"/>
      <c r="R4" s="323"/>
      <c r="S4" s="323"/>
      <c r="T4" s="323"/>
      <c r="U4" s="323"/>
      <c r="V4" s="323"/>
      <c r="W4" s="323"/>
      <c r="X4" s="323"/>
      <c r="Y4" s="323"/>
      <c r="Z4" s="323"/>
      <c r="AA4" s="323"/>
      <c r="AB4" s="323"/>
      <c r="AC4" s="323"/>
      <c r="AD4" s="323"/>
      <c r="AE4" s="323"/>
      <c r="AF4" s="71"/>
    </row>
    <row r="5" spans="2:32" ht="18" customHeight="1" x14ac:dyDescent="0.3">
      <c r="B5" s="71"/>
      <c r="C5" s="342"/>
      <c r="D5" s="342"/>
      <c r="E5" s="342"/>
      <c r="F5" s="207"/>
      <c r="G5" s="260"/>
      <c r="H5" s="260"/>
      <c r="I5" s="260"/>
      <c r="J5" s="260"/>
      <c r="K5" s="71"/>
      <c r="L5" s="323"/>
      <c r="M5" s="323"/>
      <c r="N5" s="323"/>
      <c r="O5" s="323"/>
      <c r="P5" s="323"/>
      <c r="Q5" s="323"/>
      <c r="R5" s="323"/>
      <c r="S5" s="323"/>
      <c r="T5" s="323"/>
      <c r="U5" s="323"/>
      <c r="V5" s="323"/>
      <c r="W5" s="323"/>
      <c r="X5" s="323"/>
      <c r="Y5" s="323"/>
      <c r="Z5" s="323"/>
      <c r="AA5" s="323"/>
      <c r="AB5" s="323"/>
      <c r="AC5" s="323"/>
      <c r="AD5" s="323"/>
      <c r="AE5" s="323"/>
      <c r="AF5" s="71"/>
    </row>
    <row r="6" spans="2:32" ht="18" customHeight="1" x14ac:dyDescent="0.3">
      <c r="B6" s="71"/>
      <c r="C6" s="271" t="s">
        <v>210</v>
      </c>
      <c r="D6" s="260"/>
      <c r="E6" s="260"/>
      <c r="F6" s="260"/>
      <c r="G6" s="260"/>
      <c r="H6" s="260"/>
      <c r="I6" s="260"/>
      <c r="J6" s="260"/>
      <c r="K6" s="71"/>
      <c r="L6" s="323"/>
      <c r="M6" s="323"/>
      <c r="N6" s="323"/>
      <c r="O6" s="323"/>
      <c r="P6" s="323"/>
      <c r="Q6" s="323"/>
      <c r="R6" s="323"/>
      <c r="S6" s="323"/>
      <c r="T6" s="323"/>
      <c r="U6" s="323"/>
      <c r="V6" s="323"/>
      <c r="W6" s="323"/>
      <c r="X6" s="323"/>
      <c r="Y6" s="323"/>
      <c r="Z6" s="323"/>
      <c r="AA6" s="323"/>
      <c r="AB6" s="323"/>
      <c r="AC6" s="323"/>
      <c r="AD6" s="323"/>
      <c r="AE6" s="323"/>
      <c r="AF6" s="71"/>
    </row>
    <row r="7" spans="2:32" ht="18" customHeight="1" x14ac:dyDescent="0.3">
      <c r="B7" s="71"/>
      <c r="C7" s="190" t="s">
        <v>211</v>
      </c>
      <c r="D7" s="260"/>
      <c r="E7" s="260"/>
      <c r="F7" s="260"/>
      <c r="G7" s="260"/>
      <c r="H7" s="260"/>
      <c r="I7" s="260"/>
      <c r="J7" s="260"/>
      <c r="K7" s="71"/>
      <c r="L7" s="323"/>
      <c r="M7" s="323"/>
      <c r="N7" s="323"/>
      <c r="O7" s="323"/>
      <c r="P7" s="323"/>
      <c r="Q7" s="323"/>
      <c r="R7" s="323"/>
      <c r="S7" s="323"/>
      <c r="T7" s="323"/>
      <c r="U7" s="323"/>
      <c r="V7" s="323"/>
      <c r="W7" s="323"/>
      <c r="X7" s="323"/>
      <c r="Y7" s="323"/>
      <c r="Z7" s="323"/>
      <c r="AA7" s="323"/>
      <c r="AB7" s="323"/>
      <c r="AC7" s="323"/>
      <c r="AD7" s="323"/>
      <c r="AE7" s="323"/>
      <c r="AF7" s="71"/>
    </row>
    <row r="8" spans="2:32" ht="18" customHeight="1" x14ac:dyDescent="0.3">
      <c r="B8" s="71"/>
      <c r="C8" s="190" t="s">
        <v>310</v>
      </c>
      <c r="D8" s="260"/>
      <c r="E8" s="260"/>
      <c r="F8" s="260"/>
      <c r="G8" s="260"/>
      <c r="H8" s="260"/>
      <c r="I8" s="260"/>
      <c r="J8" s="260"/>
      <c r="K8" s="71"/>
      <c r="L8" s="323"/>
      <c r="M8" s="323"/>
      <c r="N8" s="323"/>
      <c r="O8" s="323"/>
      <c r="P8" s="323"/>
      <c r="Q8" s="323"/>
      <c r="R8" s="323"/>
      <c r="S8" s="323"/>
      <c r="T8" s="323"/>
      <c r="U8" s="323"/>
      <c r="V8" s="323"/>
      <c r="W8" s="323"/>
      <c r="X8" s="323"/>
      <c r="Y8" s="323"/>
      <c r="Z8" s="323"/>
      <c r="AA8" s="323"/>
      <c r="AB8" s="323"/>
      <c r="AC8" s="323"/>
      <c r="AD8" s="323"/>
      <c r="AE8" s="323"/>
      <c r="AF8" s="71"/>
    </row>
    <row r="9" spans="2:32" ht="18" customHeight="1" x14ac:dyDescent="0.3">
      <c r="B9" s="71"/>
      <c r="C9" s="190" t="s">
        <v>212</v>
      </c>
      <c r="D9" s="260"/>
      <c r="E9" s="260"/>
      <c r="F9" s="260"/>
      <c r="G9" s="260"/>
      <c r="H9" s="260"/>
      <c r="I9" s="260"/>
      <c r="J9" s="260"/>
      <c r="K9" s="71"/>
      <c r="L9" s="323"/>
      <c r="M9" s="323"/>
      <c r="N9" s="323"/>
      <c r="O9" s="323"/>
      <c r="P9" s="323"/>
      <c r="Q9" s="323"/>
      <c r="R9" s="323"/>
      <c r="S9" s="323"/>
      <c r="T9" s="323"/>
      <c r="U9" s="323"/>
      <c r="V9" s="323"/>
      <c r="W9" s="323"/>
      <c r="X9" s="323"/>
      <c r="Y9" s="323"/>
      <c r="Z9" s="323"/>
      <c r="AA9" s="323"/>
      <c r="AB9" s="323"/>
      <c r="AC9" s="323"/>
      <c r="AD9" s="323"/>
      <c r="AE9" s="323"/>
      <c r="AF9" s="71"/>
    </row>
    <row r="10" spans="2:32" ht="18" customHeight="1" x14ac:dyDescent="0.3">
      <c r="B10" s="71"/>
      <c r="C10" s="270" t="s">
        <v>289</v>
      </c>
      <c r="D10" s="260"/>
      <c r="E10" s="260"/>
      <c r="F10" s="260"/>
      <c r="G10" s="260"/>
      <c r="H10" s="260"/>
      <c r="I10" s="260"/>
      <c r="J10" s="260"/>
      <c r="K10" s="71"/>
      <c r="L10" s="323"/>
      <c r="M10" s="323"/>
      <c r="N10" s="323"/>
      <c r="O10" s="323"/>
      <c r="P10" s="323"/>
      <c r="Q10" s="323"/>
      <c r="R10" s="323"/>
      <c r="S10" s="323"/>
      <c r="T10" s="323"/>
      <c r="U10" s="323"/>
      <c r="V10" s="323"/>
      <c r="W10" s="323"/>
      <c r="X10" s="323"/>
      <c r="Y10" s="323"/>
      <c r="Z10" s="323"/>
      <c r="AA10" s="323"/>
      <c r="AB10" s="323"/>
      <c r="AC10" s="323"/>
      <c r="AD10" s="323"/>
      <c r="AE10" s="323"/>
      <c r="AF10" s="71"/>
    </row>
    <row r="11" spans="2:32" ht="18" customHeight="1" x14ac:dyDescent="0.3">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row>
    <row r="12" spans="2:32" ht="18" customHeight="1" x14ac:dyDescent="0.3">
      <c r="L12" s="268"/>
      <c r="M12" s="268"/>
      <c r="N12" s="268"/>
      <c r="O12" s="268"/>
      <c r="P12" s="268"/>
      <c r="Q12" s="268"/>
      <c r="R12" s="268"/>
      <c r="S12" s="268"/>
      <c r="T12" s="268"/>
      <c r="U12" s="268"/>
      <c r="V12" s="268"/>
      <c r="W12" s="268"/>
      <c r="X12" s="268"/>
      <c r="Y12" s="268"/>
      <c r="Z12" s="268"/>
      <c r="AA12" s="268"/>
      <c r="AB12" s="268"/>
      <c r="AC12" s="268"/>
      <c r="AD12" s="268"/>
      <c r="AE12" s="268"/>
      <c r="AF12" s="269"/>
    </row>
    <row r="13" spans="2:32" ht="18" customHeight="1" x14ac:dyDescent="0.3">
      <c r="B13" s="127"/>
      <c r="C13" s="347" t="s">
        <v>47</v>
      </c>
      <c r="D13" s="347"/>
      <c r="E13" s="34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row>
    <row r="14" spans="2:32" ht="18" customHeight="1" x14ac:dyDescent="0.3">
      <c r="B14" s="127"/>
      <c r="C14" s="347"/>
      <c r="D14" s="347"/>
      <c r="E14" s="347"/>
      <c r="F14" s="328" t="s">
        <v>56</v>
      </c>
      <c r="G14" s="328"/>
      <c r="H14" s="327" t="s">
        <v>75</v>
      </c>
      <c r="I14" s="327"/>
      <c r="J14" s="327" t="s">
        <v>88</v>
      </c>
      <c r="K14" s="327"/>
      <c r="L14" s="327" t="s">
        <v>105</v>
      </c>
      <c r="M14" s="327"/>
      <c r="N14" s="128"/>
      <c r="O14" s="128"/>
      <c r="P14" s="128"/>
      <c r="Q14" s="128"/>
      <c r="R14" s="128"/>
      <c r="S14" s="128"/>
      <c r="T14" s="128"/>
      <c r="U14" s="128"/>
      <c r="V14" s="128"/>
      <c r="W14" s="128"/>
      <c r="X14" s="128"/>
      <c r="Y14" s="128"/>
      <c r="Z14" s="128"/>
      <c r="AA14" s="128"/>
      <c r="AB14" s="128"/>
      <c r="AC14" s="128"/>
      <c r="AD14" s="128"/>
      <c r="AE14" s="128"/>
      <c r="AF14" s="127"/>
    </row>
    <row r="15" spans="2:32" ht="18" customHeight="1" x14ac:dyDescent="0.3">
      <c r="B15" s="126"/>
      <c r="C15" s="325" t="s">
        <v>306</v>
      </c>
      <c r="D15" s="325"/>
      <c r="E15" s="325"/>
      <c r="F15" s="329" t="s">
        <v>226</v>
      </c>
      <c r="G15" s="329"/>
      <c r="H15" s="329" t="s">
        <v>227</v>
      </c>
      <c r="I15" s="329"/>
      <c r="J15" s="329" t="s">
        <v>304</v>
      </c>
      <c r="K15" s="329"/>
      <c r="L15" s="329" t="s">
        <v>305</v>
      </c>
      <c r="M15" s="329"/>
      <c r="N15" s="128"/>
      <c r="O15" s="128"/>
      <c r="P15" s="128"/>
      <c r="Q15" s="128"/>
      <c r="R15" s="128"/>
      <c r="S15" s="128"/>
      <c r="T15" s="128"/>
      <c r="U15" s="128"/>
      <c r="V15" s="128"/>
      <c r="W15" s="128"/>
      <c r="X15" s="128"/>
      <c r="Y15" s="128"/>
      <c r="Z15" s="128"/>
      <c r="AA15" s="128"/>
      <c r="AB15" s="128"/>
      <c r="AC15" s="128"/>
      <c r="AD15" s="128"/>
      <c r="AE15" s="128"/>
      <c r="AF15" s="127"/>
    </row>
    <row r="16" spans="2:32" ht="18" customHeight="1" x14ac:dyDescent="0.3">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row>
    <row r="18" spans="2:33" ht="18" customHeight="1" x14ac:dyDescent="0.3">
      <c r="B18" s="105"/>
      <c r="C18" s="344" t="s">
        <v>56</v>
      </c>
      <c r="D18" s="344"/>
      <c r="E18" s="344"/>
      <c r="F18" s="105"/>
      <c r="G18" s="107"/>
      <c r="H18" s="107"/>
      <c r="I18" s="107"/>
      <c r="J18" s="98"/>
      <c r="K18" s="98"/>
      <c r="L18" s="98"/>
      <c r="M18" s="98"/>
      <c r="N18" s="98"/>
      <c r="O18" s="98"/>
      <c r="P18" s="98"/>
      <c r="Q18" s="98"/>
      <c r="R18" s="98"/>
      <c r="S18" s="98"/>
      <c r="T18" s="98"/>
      <c r="U18" s="98"/>
      <c r="V18" s="98"/>
      <c r="W18" s="98"/>
      <c r="X18" s="98"/>
      <c r="Y18" s="98"/>
      <c r="Z18" s="98"/>
      <c r="AA18" s="98"/>
      <c r="AB18" s="98"/>
      <c r="AC18" s="317" t="s">
        <v>307</v>
      </c>
      <c r="AD18" s="317"/>
      <c r="AE18" s="317"/>
      <c r="AF18" s="98"/>
    </row>
    <row r="19" spans="2:33" ht="18" customHeight="1" x14ac:dyDescent="0.3">
      <c r="B19" s="105"/>
      <c r="C19" s="344"/>
      <c r="D19" s="344"/>
      <c r="E19" s="344"/>
      <c r="F19" s="310" t="s">
        <v>209</v>
      </c>
      <c r="G19" s="310"/>
      <c r="H19" s="310"/>
      <c r="I19" s="310"/>
      <c r="J19" s="310"/>
      <c r="K19" s="98"/>
      <c r="L19" s="308" t="s">
        <v>40</v>
      </c>
      <c r="M19" s="308"/>
      <c r="N19" s="308"/>
      <c r="O19" s="308"/>
      <c r="P19" s="308"/>
      <c r="Q19" s="308"/>
      <c r="R19" s="308"/>
      <c r="S19" s="308"/>
      <c r="T19" s="308"/>
      <c r="U19" s="98"/>
      <c r="V19" s="308" t="s">
        <v>265</v>
      </c>
      <c r="W19" s="308"/>
      <c r="X19" s="308"/>
      <c r="Y19" s="308"/>
      <c r="Z19" s="308"/>
      <c r="AA19" s="308"/>
      <c r="AB19" s="308"/>
      <c r="AC19" s="308"/>
      <c r="AD19" s="308"/>
      <c r="AE19" s="308"/>
      <c r="AF19" s="98"/>
    </row>
    <row r="20" spans="2:33" ht="18" customHeight="1" x14ac:dyDescent="0.3">
      <c r="B20" s="98"/>
      <c r="C20" s="316" t="s">
        <v>216</v>
      </c>
      <c r="D20" s="319"/>
      <c r="E20" s="319"/>
      <c r="F20" s="319"/>
      <c r="G20" s="314" t="s">
        <v>215</v>
      </c>
      <c r="H20" s="346"/>
      <c r="I20" s="346"/>
      <c r="J20" s="346"/>
      <c r="K20" s="98"/>
      <c r="L20" s="309"/>
      <c r="M20" s="309"/>
      <c r="N20" s="309"/>
      <c r="O20" s="309"/>
      <c r="P20" s="309"/>
      <c r="Q20" s="309"/>
      <c r="R20" s="309"/>
      <c r="S20" s="309"/>
      <c r="T20" s="309"/>
      <c r="U20" s="98"/>
      <c r="V20" s="308"/>
      <c r="W20" s="308"/>
      <c r="X20" s="308"/>
      <c r="Y20" s="308"/>
      <c r="Z20" s="308"/>
      <c r="AA20" s="308"/>
      <c r="AB20" s="308"/>
      <c r="AC20" s="308"/>
      <c r="AD20" s="308"/>
      <c r="AE20" s="308"/>
      <c r="AF20" s="98"/>
    </row>
    <row r="21" spans="2:33" ht="18" customHeight="1" thickBot="1" x14ac:dyDescent="0.35">
      <c r="B21" s="98"/>
      <c r="C21" s="320"/>
      <c r="D21" s="320"/>
      <c r="E21" s="320"/>
      <c r="F21" s="320"/>
      <c r="G21" s="320"/>
      <c r="H21" s="320"/>
      <c r="I21" s="320"/>
      <c r="J21" s="320"/>
      <c r="K21" s="98"/>
      <c r="L21" s="73" t="s">
        <v>32</v>
      </c>
      <c r="M21" s="74" t="s">
        <v>33</v>
      </c>
      <c r="N21" s="76" t="s">
        <v>34</v>
      </c>
      <c r="O21" s="76" t="s">
        <v>38</v>
      </c>
      <c r="P21" s="74" t="s">
        <v>35</v>
      </c>
      <c r="Q21" s="75" t="s">
        <v>36</v>
      </c>
      <c r="R21" s="228" t="s">
        <v>37</v>
      </c>
      <c r="S21" s="73" t="s">
        <v>178</v>
      </c>
      <c r="T21" s="76" t="s">
        <v>13</v>
      </c>
      <c r="U21" s="98"/>
      <c r="V21" s="75" t="s">
        <v>298</v>
      </c>
      <c r="W21" s="73" t="s">
        <v>32</v>
      </c>
      <c r="X21" s="74" t="s">
        <v>33</v>
      </c>
      <c r="Y21" s="76" t="s">
        <v>34</v>
      </c>
      <c r="Z21" s="76" t="s">
        <v>38</v>
      </c>
      <c r="AA21" s="74" t="s">
        <v>35</v>
      </c>
      <c r="AB21" s="75" t="s">
        <v>36</v>
      </c>
      <c r="AC21" s="228" t="s">
        <v>37</v>
      </c>
      <c r="AD21" s="73" t="s">
        <v>178</v>
      </c>
      <c r="AE21" s="76" t="s">
        <v>13</v>
      </c>
      <c r="AF21" s="98"/>
    </row>
    <row r="22" spans="2:33" ht="18" customHeight="1" x14ac:dyDescent="0.3">
      <c r="B22" s="98"/>
      <c r="C22" s="157">
        <f ca="1">RANDBETWEEN(220,235)</f>
        <v>223</v>
      </c>
      <c r="D22" s="208" t="s">
        <v>0</v>
      </c>
      <c r="E22" s="16">
        <f ca="1">RANDBETWEEN(180,240)</f>
        <v>225</v>
      </c>
      <c r="F22" s="208" t="s">
        <v>1</v>
      </c>
      <c r="G22" s="3">
        <f ca="1">RANDBETWEEN(100,125)</f>
        <v>121</v>
      </c>
      <c r="H22" s="3" t="s">
        <v>2</v>
      </c>
      <c r="I22" s="83" t="s">
        <v>31</v>
      </c>
      <c r="J22" s="208">
        <f ca="1">RANDBETWEEN(1085,1110)</f>
        <v>1107</v>
      </c>
      <c r="K22" s="104"/>
      <c r="L22" s="77" t="s">
        <v>35</v>
      </c>
      <c r="M22" s="160">
        <f ca="1">C22</f>
        <v>223</v>
      </c>
      <c r="N22" s="87">
        <f ca="1">E22</f>
        <v>225</v>
      </c>
      <c r="O22" s="88">
        <f ca="1">G22</f>
        <v>121</v>
      </c>
      <c r="P22" s="116">
        <v>1</v>
      </c>
      <c r="Q22" s="110">
        <v>0</v>
      </c>
      <c r="R22" s="229">
        <v>0</v>
      </c>
      <c r="S22" s="134">
        <v>0</v>
      </c>
      <c r="T22" s="232">
        <f ca="1">J22</f>
        <v>1107</v>
      </c>
      <c r="U22" s="104"/>
      <c r="V22" s="150">
        <f ca="1">C25</f>
        <v>350</v>
      </c>
      <c r="W22" s="115" t="s">
        <v>41</v>
      </c>
      <c r="X22" s="116">
        <v>1</v>
      </c>
      <c r="Y22" s="150" t="s">
        <v>205</v>
      </c>
      <c r="Z22" s="134">
        <v>0</v>
      </c>
      <c r="AA22" s="160" t="s">
        <v>205</v>
      </c>
      <c r="AB22" s="150" t="s">
        <v>205</v>
      </c>
      <c r="AC22" s="229">
        <v>0</v>
      </c>
      <c r="AD22" s="153" t="s">
        <v>205</v>
      </c>
      <c r="AE22" s="232">
        <f ca="1">ROUND(((J22/C22)-(((J23-((J22/C22)*C23))/(G23-((G22/C22)*C23)))*(G22/C22))),2)</f>
        <v>4.42</v>
      </c>
      <c r="AF22" s="98"/>
      <c r="AG22" s="142"/>
    </row>
    <row r="23" spans="2:33" ht="18" customHeight="1" x14ac:dyDescent="0.3">
      <c r="B23" s="98"/>
      <c r="C23" s="158">
        <f ca="1">RANDBETWEEN(77,87)</f>
        <v>85</v>
      </c>
      <c r="D23" s="169" t="s">
        <v>0</v>
      </c>
      <c r="E23" s="159">
        <f ca="1">RANDBETWEEN(60,74)</f>
        <v>60</v>
      </c>
      <c r="F23" s="169" t="s">
        <v>1</v>
      </c>
      <c r="G23" s="209">
        <f ca="1">RANDBETWEEN(64,68)</f>
        <v>66</v>
      </c>
      <c r="H23" s="209" t="s">
        <v>2</v>
      </c>
      <c r="I23" s="84" t="s">
        <v>179</v>
      </c>
      <c r="J23" s="169">
        <f ca="1">RANDBETWEEN(440,450)</f>
        <v>442</v>
      </c>
      <c r="K23" s="104"/>
      <c r="L23" s="171" t="s">
        <v>178</v>
      </c>
      <c r="M23" s="176">
        <f ca="1">C23</f>
        <v>85</v>
      </c>
      <c r="N23" s="90">
        <f ca="1">E23</f>
        <v>60</v>
      </c>
      <c r="O23" s="91">
        <f ca="1">G23</f>
        <v>66</v>
      </c>
      <c r="P23" s="129">
        <v>0</v>
      </c>
      <c r="Q23" s="111">
        <v>-1</v>
      </c>
      <c r="R23" s="230">
        <v>0</v>
      </c>
      <c r="S23" s="132">
        <v>1</v>
      </c>
      <c r="T23" s="233">
        <f ca="1">J23</f>
        <v>442</v>
      </c>
      <c r="U23" s="104"/>
      <c r="V23" s="149">
        <f ca="1">G25</f>
        <v>329</v>
      </c>
      <c r="W23" s="114" t="s">
        <v>55</v>
      </c>
      <c r="X23" s="129">
        <v>0</v>
      </c>
      <c r="Y23" s="149" t="s">
        <v>205</v>
      </c>
      <c r="Z23" s="132">
        <v>1</v>
      </c>
      <c r="AA23" s="176" t="s">
        <v>205</v>
      </c>
      <c r="AB23" s="149" t="s">
        <v>205</v>
      </c>
      <c r="AC23" s="230">
        <v>0</v>
      </c>
      <c r="AD23" s="154" t="s">
        <v>205</v>
      </c>
      <c r="AE23" s="233">
        <f ca="1">ROUND((J23-((J22/C22)*C23))/(G23-((G22/C22)*C23)),2)</f>
        <v>1.01</v>
      </c>
      <c r="AF23" s="98"/>
    </row>
    <row r="24" spans="2:33" ht="18" customHeight="1" thickBot="1" x14ac:dyDescent="0.35">
      <c r="B24" s="98"/>
      <c r="C24" s="158">
        <f ca="1">RANDBETWEEN(1,2)</f>
        <v>1</v>
      </c>
      <c r="D24" s="169" t="s">
        <v>0</v>
      </c>
      <c r="E24" s="156">
        <v>0</v>
      </c>
      <c r="F24" s="169" t="s">
        <v>1</v>
      </c>
      <c r="G24" s="209">
        <f ca="1">RANDBETWEEN(2,4)</f>
        <v>4</v>
      </c>
      <c r="H24" s="209" t="s">
        <v>2</v>
      </c>
      <c r="I24" s="84" t="s">
        <v>31</v>
      </c>
      <c r="J24" s="169">
        <f ca="1">RANDBETWEEN(19,24)</f>
        <v>23</v>
      </c>
      <c r="K24" s="104"/>
      <c r="L24" s="73" t="s">
        <v>37</v>
      </c>
      <c r="M24" s="161">
        <f ca="1">C24</f>
        <v>1</v>
      </c>
      <c r="N24" s="93">
        <f>E24</f>
        <v>0</v>
      </c>
      <c r="O24" s="94">
        <f ca="1">G24</f>
        <v>4</v>
      </c>
      <c r="P24" s="130">
        <v>0</v>
      </c>
      <c r="Q24" s="131">
        <v>0</v>
      </c>
      <c r="R24" s="231">
        <v>1</v>
      </c>
      <c r="S24" s="133">
        <v>0</v>
      </c>
      <c r="T24" s="234">
        <f ca="1">J24</f>
        <v>23</v>
      </c>
      <c r="U24" s="104"/>
      <c r="V24" s="147">
        <v>0</v>
      </c>
      <c r="W24" s="113" t="s">
        <v>89</v>
      </c>
      <c r="X24" s="130">
        <v>0</v>
      </c>
      <c r="Y24" s="151" t="s">
        <v>205</v>
      </c>
      <c r="Z24" s="133">
        <v>0</v>
      </c>
      <c r="AA24" s="161" t="s">
        <v>205</v>
      </c>
      <c r="AB24" s="151" t="s">
        <v>205</v>
      </c>
      <c r="AC24" s="231">
        <v>1</v>
      </c>
      <c r="AD24" s="155" t="s">
        <v>205</v>
      </c>
      <c r="AE24" s="234">
        <f ca="1">ROUND((J24-((J22/C22)*C24))-(((J23-((J22/C22)*C23))/(G23-((G22/C22)*C23)))*(G24-((G22/C22)*C24))),2)</f>
        <v>14.55</v>
      </c>
      <c r="AF24" s="98"/>
    </row>
    <row r="25" spans="2:33" ht="18" customHeight="1" thickTop="1" x14ac:dyDescent="0.3">
      <c r="B25" s="98"/>
      <c r="C25" s="80">
        <f ca="1">RANDBETWEEN(310,370)</f>
        <v>350</v>
      </c>
      <c r="D25" s="81" t="s">
        <v>0</v>
      </c>
      <c r="E25" s="178">
        <f ca="1">RANDBETWEEN(380,399)</f>
        <v>391</v>
      </c>
      <c r="F25" s="81" t="s">
        <v>1</v>
      </c>
      <c r="G25" s="82">
        <f ca="1">RANDBETWEEN(310,350)</f>
        <v>329</v>
      </c>
      <c r="H25" s="82" t="s">
        <v>2</v>
      </c>
      <c r="I25" s="85" t="s">
        <v>6</v>
      </c>
      <c r="J25" s="81" t="s">
        <v>180</v>
      </c>
      <c r="K25" s="104"/>
      <c r="L25" s="78" t="s">
        <v>8</v>
      </c>
      <c r="M25" s="95">
        <f ca="1">(C23*1000)-C25</f>
        <v>84650</v>
      </c>
      <c r="N25" s="238">
        <f ca="1">(E23*1000)-E25</f>
        <v>59609</v>
      </c>
      <c r="O25" s="97">
        <f ca="1">(G23*1000)-G25</f>
        <v>65671</v>
      </c>
      <c r="P25" s="116">
        <v>0</v>
      </c>
      <c r="Q25" s="110">
        <v>-1000</v>
      </c>
      <c r="R25" s="229">
        <v>0</v>
      </c>
      <c r="S25" s="235">
        <v>0</v>
      </c>
      <c r="T25" s="236">
        <f ca="1">J23*1000</f>
        <v>442000</v>
      </c>
      <c r="U25" s="104"/>
      <c r="V25" s="311" t="s">
        <v>8</v>
      </c>
      <c r="W25" s="312"/>
      <c r="X25" s="112">
        <v>0</v>
      </c>
      <c r="Y25" s="238">
        <f ca="1">ROUND((C25*((E22/C22)-(((E23-((E22/C22)*C23))/(G23-((G22/C22)*C23)))*(G22/C22)))+G25*((E23-((E22/C22)*C23))/(G23-((G22/C22)*C23))))-E25,2)</f>
        <v>-218.12</v>
      </c>
      <c r="Z25" s="152">
        <v>0</v>
      </c>
      <c r="AA25" s="160">
        <f ca="1">ROUND((C25*((1/C22)-(((0-((1/C22)*C23))/(G23-((G22/C22)*C23)))*(G22/C22)))+G25*((0-((1/C22)*C23))/(G23-((G22/C22)*C23)))),2)</f>
        <v>-1.1000000000000001</v>
      </c>
      <c r="AB25" s="150">
        <f ca="1">ROUND((C25*(0-(((-1)/(G23-((G22/C22)*C23)))*(G22/C22)))+G25*((-1)/(G23-((G22/C22)*C23)))),2)</f>
        <v>-7</v>
      </c>
      <c r="AC25" s="229">
        <v>0</v>
      </c>
      <c r="AD25" s="272">
        <f ca="1">ROUND((C25*(0-((1/(G23-((G22/C22)*C23)))*(G22/C22)))+G25*(1/(G23-((G22/C22)*C23))))-1000,2)</f>
        <v>-993</v>
      </c>
      <c r="AE25" s="79">
        <f ca="1">ROUND(C25*((J22/C22)-(((J23-((J22/C22)*C23))/(G23-((G22/C22)*C23)))*(G22/C22)))+G25*((J23-((J22/C22)*C23))/(G23-((G22/C22)*C23))),2)</f>
        <v>1877.73</v>
      </c>
      <c r="AF25" s="98"/>
    </row>
    <row r="26" spans="2:33" ht="18" customHeight="1" x14ac:dyDescent="0.3">
      <c r="B26" s="117"/>
      <c r="C26" s="345" t="s">
        <v>187</v>
      </c>
      <c r="D26" s="345"/>
      <c r="E26" s="345"/>
      <c r="F26" s="117"/>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98"/>
    </row>
    <row r="27" spans="2:33" ht="18" customHeight="1" thickBot="1" x14ac:dyDescent="0.35">
      <c r="B27" s="117"/>
      <c r="C27" s="343"/>
      <c r="D27" s="343"/>
      <c r="E27" s="343"/>
      <c r="F27" s="99"/>
      <c r="G27" s="99"/>
      <c r="H27" s="109"/>
      <c r="I27" s="109"/>
      <c r="J27" s="99"/>
      <c r="K27" s="98"/>
      <c r="L27" s="122"/>
      <c r="M27" s="118" t="s">
        <v>45</v>
      </c>
      <c r="N27" s="119" t="s">
        <v>44</v>
      </c>
      <c r="O27" s="104"/>
      <c r="P27" s="122"/>
      <c r="Q27" s="118" t="s">
        <v>45</v>
      </c>
      <c r="R27" s="119" t="s">
        <v>44</v>
      </c>
      <c r="S27" s="104"/>
      <c r="T27" s="122"/>
      <c r="U27" s="118" t="s">
        <v>45</v>
      </c>
      <c r="V27" s="119" t="s">
        <v>44</v>
      </c>
      <c r="W27" s="98"/>
      <c r="X27" s="122"/>
      <c r="Y27" s="118" t="s">
        <v>45</v>
      </c>
      <c r="Z27" s="119" t="s">
        <v>44</v>
      </c>
      <c r="AA27" s="98"/>
      <c r="AB27" s="122"/>
      <c r="AC27" s="118" t="s">
        <v>45</v>
      </c>
      <c r="AD27" s="119" t="s">
        <v>44</v>
      </c>
      <c r="AE27" s="98"/>
      <c r="AF27" s="98"/>
    </row>
    <row r="28" spans="2:33" ht="18" customHeight="1" x14ac:dyDescent="0.3">
      <c r="B28" s="98"/>
      <c r="C28" s="108"/>
      <c r="D28" s="108"/>
      <c r="E28" s="108"/>
      <c r="F28" s="108"/>
      <c r="G28" s="108"/>
      <c r="H28" s="109"/>
      <c r="I28" s="108"/>
      <c r="J28" s="99"/>
      <c r="K28" s="98"/>
      <c r="L28" s="121" t="s">
        <v>57</v>
      </c>
      <c r="M28" s="162">
        <v>220</v>
      </c>
      <c r="N28" s="163">
        <v>235</v>
      </c>
      <c r="O28" s="106"/>
      <c r="P28" s="121" t="s">
        <v>60</v>
      </c>
      <c r="Q28" s="162">
        <v>77</v>
      </c>
      <c r="R28" s="163">
        <v>87</v>
      </c>
      <c r="S28" s="104"/>
      <c r="T28" s="121" t="s">
        <v>63</v>
      </c>
      <c r="U28" s="162">
        <v>1</v>
      </c>
      <c r="V28" s="163">
        <v>2</v>
      </c>
      <c r="W28" s="98"/>
      <c r="X28" s="121" t="s">
        <v>66</v>
      </c>
      <c r="Y28" s="124">
        <v>1085</v>
      </c>
      <c r="Z28" s="125">
        <v>1110</v>
      </c>
      <c r="AA28" s="98"/>
      <c r="AB28" s="121" t="s">
        <v>69</v>
      </c>
      <c r="AC28" s="124">
        <v>310</v>
      </c>
      <c r="AD28" s="125">
        <v>370</v>
      </c>
      <c r="AE28" s="98"/>
      <c r="AF28" s="98"/>
    </row>
    <row r="29" spans="2:33" ht="18" customHeight="1" x14ac:dyDescent="0.3">
      <c r="B29" s="98"/>
      <c r="C29" s="253" t="s">
        <v>51</v>
      </c>
      <c r="D29" s="253"/>
      <c r="E29" s="253"/>
      <c r="F29" s="148">
        <f>(N29-M29+1)*(N30-M30+1)*(R29-Q29+1)*(R30-Q30+1)*(V29-U29+1)*(V30-U30+1)*(Z28-Y28+1)*(Z29-Y29+1)*(Z30-Y30+1)*(AD28-AC28+1)*(AD29-AC29+1)*(AD30-AC30+1)*(V28-U28+1)*(R28-Q28+1)*(N28-M28+1)</f>
        <v>1.0781751936384E+16</v>
      </c>
      <c r="G29" s="99"/>
      <c r="H29" s="109"/>
      <c r="I29" s="108"/>
      <c r="J29" s="99"/>
      <c r="K29" s="98"/>
      <c r="L29" s="120" t="s">
        <v>58</v>
      </c>
      <c r="M29" s="124">
        <v>180</v>
      </c>
      <c r="N29" s="125">
        <v>240</v>
      </c>
      <c r="O29" s="106"/>
      <c r="P29" s="109" t="s">
        <v>61</v>
      </c>
      <c r="Q29" s="124">
        <v>60</v>
      </c>
      <c r="R29" s="125">
        <v>74</v>
      </c>
      <c r="S29" s="104"/>
      <c r="T29" s="109" t="s">
        <v>64</v>
      </c>
      <c r="U29" s="140">
        <v>0</v>
      </c>
      <c r="V29" s="141">
        <v>0</v>
      </c>
      <c r="W29" s="98"/>
      <c r="X29" s="109" t="s">
        <v>67</v>
      </c>
      <c r="Y29" s="124">
        <v>440</v>
      </c>
      <c r="Z29" s="125">
        <v>450</v>
      </c>
      <c r="AA29" s="98"/>
      <c r="AB29" s="109" t="s">
        <v>70</v>
      </c>
      <c r="AC29" s="162">
        <v>380</v>
      </c>
      <c r="AD29" s="163">
        <v>399</v>
      </c>
      <c r="AE29" s="98"/>
      <c r="AF29" s="98"/>
    </row>
    <row r="30" spans="2:33" ht="18" customHeight="1" x14ac:dyDescent="0.3">
      <c r="B30" s="98"/>
      <c r="C30" s="259" t="s">
        <v>181</v>
      </c>
      <c r="D30" s="108"/>
      <c r="E30" s="108"/>
      <c r="F30" s="108"/>
      <c r="G30" s="108"/>
      <c r="H30" s="108"/>
      <c r="I30" s="108"/>
      <c r="J30" s="99"/>
      <c r="K30" s="98"/>
      <c r="L30" s="120" t="s">
        <v>59</v>
      </c>
      <c r="M30" s="124">
        <v>100</v>
      </c>
      <c r="N30" s="125">
        <v>125</v>
      </c>
      <c r="O30" s="106"/>
      <c r="P30" s="109" t="s">
        <v>62</v>
      </c>
      <c r="Q30" s="124">
        <v>64</v>
      </c>
      <c r="R30" s="125">
        <v>68</v>
      </c>
      <c r="S30" s="104"/>
      <c r="T30" s="109" t="s">
        <v>65</v>
      </c>
      <c r="U30" s="124">
        <v>2</v>
      </c>
      <c r="V30" s="125">
        <v>4</v>
      </c>
      <c r="W30" s="98"/>
      <c r="X30" s="109" t="s">
        <v>68</v>
      </c>
      <c r="Y30" s="124">
        <v>19</v>
      </c>
      <c r="Z30" s="125">
        <v>24</v>
      </c>
      <c r="AA30" s="98"/>
      <c r="AB30" s="109" t="s">
        <v>71</v>
      </c>
      <c r="AC30" s="124">
        <v>310</v>
      </c>
      <c r="AD30" s="125">
        <v>350</v>
      </c>
      <c r="AE30" s="98"/>
      <c r="AF30" s="98"/>
    </row>
    <row r="31" spans="2:33" ht="18" customHeight="1" x14ac:dyDescent="0.3">
      <c r="B31" s="117"/>
      <c r="C31" s="343" t="s">
        <v>46</v>
      </c>
      <c r="D31" s="343"/>
      <c r="E31" s="343"/>
      <c r="F31" s="117"/>
      <c r="G31" s="117"/>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98"/>
    </row>
    <row r="32" spans="2:33" ht="18" customHeight="1" x14ac:dyDescent="0.3">
      <c r="B32" s="117"/>
      <c r="C32" s="343"/>
      <c r="D32" s="343"/>
      <c r="E32" s="343"/>
      <c r="F32" s="108"/>
      <c r="G32" s="108"/>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98"/>
    </row>
    <row r="33" spans="2:32" ht="18" customHeight="1" x14ac:dyDescent="0.3">
      <c r="B33" s="104"/>
      <c r="C33" s="109" t="s">
        <v>52</v>
      </c>
      <c r="D33" s="250">
        <v>0</v>
      </c>
      <c r="E33" s="227"/>
      <c r="F33" s="227"/>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09"/>
      <c r="AF33" s="98"/>
    </row>
    <row r="34" spans="2:32" ht="18" customHeight="1" x14ac:dyDescent="0.3">
      <c r="B34" s="104"/>
      <c r="C34" s="109" t="s">
        <v>53</v>
      </c>
      <c r="D34" s="250" t="s">
        <v>229</v>
      </c>
      <c r="E34" s="227"/>
      <c r="F34" s="227"/>
      <c r="G34" s="227"/>
      <c r="H34" s="227"/>
      <c r="I34" s="227"/>
      <c r="J34" s="227"/>
      <c r="K34" s="227"/>
      <c r="L34" s="227"/>
      <c r="M34" s="125"/>
      <c r="N34" s="125"/>
      <c r="O34" s="125"/>
      <c r="P34" s="125"/>
      <c r="Q34" s="125"/>
      <c r="R34" s="125"/>
      <c r="S34" s="125"/>
      <c r="T34" s="125"/>
      <c r="U34" s="125"/>
      <c r="V34" s="125"/>
      <c r="W34" s="125"/>
      <c r="X34" s="125"/>
      <c r="Y34" s="125"/>
      <c r="Z34" s="125"/>
      <c r="AA34" s="125"/>
      <c r="AB34" s="125"/>
      <c r="AC34" s="125"/>
      <c r="AD34" s="125"/>
      <c r="AE34" s="109"/>
      <c r="AF34" s="98"/>
    </row>
    <row r="35" spans="2:32" ht="18" customHeight="1" x14ac:dyDescent="0.3">
      <c r="B35" s="104"/>
      <c r="C35" s="109" t="s">
        <v>54</v>
      </c>
      <c r="D35" s="250">
        <v>0</v>
      </c>
      <c r="E35" s="227"/>
      <c r="F35" s="227"/>
      <c r="G35" s="227"/>
      <c r="H35" s="227"/>
      <c r="I35" s="227"/>
      <c r="J35" s="227"/>
      <c r="K35" s="125"/>
      <c r="L35" s="125"/>
      <c r="M35" s="125"/>
      <c r="N35" s="125"/>
      <c r="O35" s="125"/>
      <c r="P35" s="125"/>
      <c r="Q35" s="125"/>
      <c r="R35" s="125"/>
      <c r="S35" s="125"/>
      <c r="T35" s="125"/>
      <c r="U35" s="125"/>
      <c r="V35" s="125"/>
      <c r="W35" s="125"/>
      <c r="X35" s="125"/>
      <c r="Y35" s="125"/>
      <c r="Z35" s="125"/>
      <c r="AA35" s="125"/>
      <c r="AB35" s="125"/>
      <c r="AC35" s="125"/>
      <c r="AD35" s="125"/>
      <c r="AE35" s="109"/>
      <c r="AF35" s="98"/>
    </row>
    <row r="36" spans="2:32" ht="18" customHeight="1" x14ac:dyDescent="0.3">
      <c r="B36" s="104"/>
      <c r="C36" s="109" t="s">
        <v>218</v>
      </c>
      <c r="D36" s="250" t="s">
        <v>297</v>
      </c>
      <c r="E36" s="227"/>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09"/>
      <c r="AF36" s="98"/>
    </row>
    <row r="37" spans="2:32" ht="18" customHeight="1" x14ac:dyDescent="0.3">
      <c r="B37" s="104"/>
      <c r="C37" s="109" t="s">
        <v>219</v>
      </c>
      <c r="D37" s="250" t="s">
        <v>300</v>
      </c>
      <c r="E37" s="227"/>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09"/>
      <c r="AF37" s="98"/>
    </row>
    <row r="38" spans="2:32" ht="18" customHeight="1" x14ac:dyDescent="0.3">
      <c r="B38" s="104"/>
      <c r="C38" s="109" t="s">
        <v>220</v>
      </c>
      <c r="D38" s="250">
        <v>0</v>
      </c>
      <c r="E38" s="227"/>
      <c r="F38" s="227"/>
      <c r="G38" s="227"/>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109"/>
      <c r="AF38" s="98"/>
    </row>
    <row r="39" spans="2:32" ht="18" customHeight="1" x14ac:dyDescent="0.3">
      <c r="B39" s="104"/>
      <c r="C39" s="109" t="s">
        <v>221</v>
      </c>
      <c r="D39" s="250" t="s">
        <v>234</v>
      </c>
      <c r="E39" s="227"/>
      <c r="F39" s="227"/>
      <c r="G39" s="227"/>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109"/>
      <c r="AF39" s="98"/>
    </row>
    <row r="40" spans="2:32" ht="18" customHeight="1" x14ac:dyDescent="0.3">
      <c r="B40" s="104"/>
      <c r="C40" s="109" t="s">
        <v>8</v>
      </c>
      <c r="D40" s="250" t="s">
        <v>223</v>
      </c>
      <c r="E40" s="227"/>
      <c r="F40" s="227"/>
      <c r="G40" s="227"/>
      <c r="H40" s="227"/>
      <c r="I40" s="227"/>
      <c r="J40" s="227"/>
      <c r="K40" s="227"/>
      <c r="L40" s="256"/>
      <c r="M40" s="256"/>
      <c r="N40" s="256"/>
      <c r="O40" s="256"/>
      <c r="P40" s="256"/>
      <c r="Q40" s="256"/>
      <c r="R40" s="256"/>
      <c r="S40" s="256"/>
      <c r="T40" s="256"/>
      <c r="U40" s="256"/>
      <c r="V40" s="256"/>
      <c r="W40" s="256"/>
      <c r="X40" s="256"/>
      <c r="Y40" s="256"/>
      <c r="Z40" s="256"/>
      <c r="AA40" s="256"/>
      <c r="AB40" s="256"/>
      <c r="AC40" s="256"/>
      <c r="AD40" s="256"/>
      <c r="AE40" s="109"/>
      <c r="AF40" s="98"/>
    </row>
    <row r="41" spans="2:32" ht="18" customHeight="1" x14ac:dyDescent="0.3">
      <c r="B41" s="104"/>
      <c r="C41" s="99"/>
      <c r="D41" s="245"/>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8"/>
    </row>
    <row r="42" spans="2:32" ht="18" customHeight="1" x14ac:dyDescent="0.3">
      <c r="B42" s="104"/>
      <c r="C42" s="244" t="s">
        <v>48</v>
      </c>
      <c r="D42" s="250" t="s">
        <v>248</v>
      </c>
      <c r="E42" s="227"/>
      <c r="F42" s="227"/>
      <c r="G42" s="227"/>
      <c r="H42" s="227"/>
      <c r="I42" s="227"/>
      <c r="J42" s="227"/>
      <c r="K42" s="227"/>
      <c r="L42" s="227"/>
      <c r="M42" s="227"/>
      <c r="N42" s="227"/>
      <c r="O42" s="227"/>
      <c r="P42" s="227"/>
      <c r="Q42" s="227"/>
      <c r="R42" s="256"/>
      <c r="S42" s="256"/>
      <c r="T42" s="256"/>
      <c r="U42" s="256"/>
      <c r="V42" s="256"/>
      <c r="W42" s="256"/>
      <c r="X42" s="256"/>
      <c r="Y42" s="256"/>
      <c r="Z42" s="256"/>
      <c r="AA42" s="256"/>
      <c r="AB42" s="256"/>
      <c r="AC42" s="256"/>
      <c r="AD42" s="256"/>
      <c r="AE42" s="109"/>
      <c r="AF42" s="98"/>
    </row>
    <row r="43" spans="2:32" ht="18" customHeight="1" x14ac:dyDescent="0.3">
      <c r="B43" s="104"/>
      <c r="C43" s="244" t="s">
        <v>49</v>
      </c>
      <c r="D43" s="250" t="s">
        <v>249</v>
      </c>
      <c r="E43" s="227"/>
      <c r="F43" s="227"/>
      <c r="G43" s="227"/>
      <c r="H43" s="227"/>
      <c r="I43" s="227"/>
      <c r="J43" s="227"/>
      <c r="K43" s="227"/>
      <c r="L43" s="227"/>
      <c r="M43" s="227"/>
      <c r="N43" s="227"/>
      <c r="O43" s="227"/>
      <c r="P43" s="227"/>
      <c r="Q43" s="227"/>
      <c r="R43" s="256"/>
      <c r="S43" s="256"/>
      <c r="T43" s="256"/>
      <c r="U43" s="256"/>
      <c r="V43" s="256"/>
      <c r="W43" s="256"/>
      <c r="X43" s="256"/>
      <c r="Y43" s="256"/>
      <c r="Z43" s="256"/>
      <c r="AA43" s="256"/>
      <c r="AB43" s="256"/>
      <c r="AC43" s="256"/>
      <c r="AD43" s="256"/>
      <c r="AE43" s="109"/>
      <c r="AF43" s="98"/>
    </row>
    <row r="44" spans="2:32" ht="18" customHeight="1" x14ac:dyDescent="0.3">
      <c r="B44" s="104"/>
      <c r="C44" s="244" t="s">
        <v>50</v>
      </c>
      <c r="D44" s="250" t="s">
        <v>250</v>
      </c>
      <c r="E44" s="227"/>
      <c r="F44" s="227"/>
      <c r="G44" s="227"/>
      <c r="H44" s="227"/>
      <c r="I44" s="227"/>
      <c r="J44" s="227"/>
      <c r="K44" s="256"/>
      <c r="L44" s="256"/>
      <c r="M44" s="256"/>
      <c r="N44" s="256"/>
      <c r="O44" s="256"/>
      <c r="P44" s="256"/>
      <c r="Q44" s="256"/>
      <c r="R44" s="256"/>
      <c r="S44" s="256"/>
      <c r="T44" s="256"/>
      <c r="U44" s="256"/>
      <c r="V44" s="256"/>
      <c r="W44" s="256"/>
      <c r="X44" s="256"/>
      <c r="Y44" s="256"/>
      <c r="Z44" s="256"/>
      <c r="AA44" s="256"/>
      <c r="AB44" s="256"/>
      <c r="AC44" s="256"/>
      <c r="AD44" s="256"/>
      <c r="AE44" s="109"/>
      <c r="AF44" s="98"/>
    </row>
    <row r="45" spans="2:32" ht="18" customHeight="1" x14ac:dyDescent="0.3">
      <c r="B45" s="104"/>
      <c r="C45" s="148"/>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99"/>
      <c r="AF45" s="98"/>
    </row>
    <row r="46" spans="2:32" ht="18" customHeight="1" x14ac:dyDescent="0.3">
      <c r="B46" s="104"/>
      <c r="C46" s="173" t="s">
        <v>162</v>
      </c>
      <c r="D46" s="250" t="s">
        <v>57</v>
      </c>
      <c r="E46" s="227"/>
      <c r="F46" s="227"/>
      <c r="G46" s="227"/>
      <c r="H46" s="227"/>
      <c r="I46" s="227"/>
      <c r="K46" s="227"/>
      <c r="L46" s="227"/>
      <c r="M46" s="227"/>
      <c r="N46" s="227"/>
      <c r="O46" s="227"/>
      <c r="P46" s="227"/>
      <c r="Q46" s="227"/>
      <c r="R46" s="256"/>
      <c r="S46" s="256"/>
      <c r="T46" s="256"/>
      <c r="U46" s="256"/>
      <c r="V46" s="256"/>
      <c r="W46" s="256"/>
      <c r="X46" s="256"/>
      <c r="Y46" s="256"/>
      <c r="Z46" s="256"/>
      <c r="AA46" s="256"/>
      <c r="AB46" s="256"/>
      <c r="AC46" s="256"/>
      <c r="AD46" s="256"/>
      <c r="AE46" s="99"/>
      <c r="AF46" s="98"/>
    </row>
    <row r="47" spans="2:32" ht="18" customHeight="1" x14ac:dyDescent="0.3">
      <c r="B47" s="104"/>
      <c r="C47" s="173" t="s">
        <v>164</v>
      </c>
      <c r="D47" s="250" t="s">
        <v>222</v>
      </c>
      <c r="E47" s="227"/>
      <c r="F47" s="227"/>
      <c r="G47" s="227"/>
      <c r="H47" s="250"/>
      <c r="I47" s="250"/>
      <c r="J47" s="250"/>
      <c r="K47" s="256"/>
      <c r="L47" s="256"/>
      <c r="M47" s="256"/>
      <c r="N47" s="256"/>
      <c r="O47" s="256"/>
      <c r="P47" s="256"/>
      <c r="Q47" s="256"/>
      <c r="R47" s="256"/>
      <c r="S47" s="256"/>
      <c r="T47" s="256"/>
      <c r="U47" s="256"/>
      <c r="V47" s="256"/>
      <c r="W47" s="256"/>
      <c r="X47" s="256"/>
      <c r="Y47" s="256"/>
      <c r="Z47" s="256"/>
      <c r="AA47" s="256"/>
      <c r="AB47" s="256"/>
      <c r="AC47" s="256"/>
      <c r="AD47" s="256"/>
      <c r="AE47" s="99"/>
      <c r="AF47" s="98"/>
    </row>
    <row r="48" spans="2:32" ht="18" customHeight="1" x14ac:dyDescent="0.3">
      <c r="B48" s="117"/>
      <c r="C48" s="343" t="s">
        <v>188</v>
      </c>
      <c r="D48" s="343"/>
      <c r="E48" s="343"/>
      <c r="F48" s="117"/>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2:32" ht="18" customHeight="1" x14ac:dyDescent="0.3">
      <c r="B49" s="117"/>
      <c r="C49" s="343"/>
      <c r="D49" s="343"/>
      <c r="E49" s="343"/>
      <c r="F49" s="108"/>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8"/>
    </row>
    <row r="50" spans="2:32" ht="18" customHeight="1" x14ac:dyDescent="0.3">
      <c r="B50" s="98"/>
      <c r="C50" s="109" t="s">
        <v>52</v>
      </c>
      <c r="D50" s="249" t="s">
        <v>321</v>
      </c>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61"/>
      <c r="AC50" s="262"/>
      <c r="AD50" s="256"/>
      <c r="AE50" s="99"/>
      <c r="AF50" s="98"/>
    </row>
    <row r="51" spans="2:32" ht="18" customHeight="1" x14ac:dyDescent="0.3">
      <c r="B51" s="98"/>
      <c r="C51" s="109" t="s">
        <v>53</v>
      </c>
      <c r="D51" s="249" t="s">
        <v>322</v>
      </c>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61"/>
      <c r="AC51" s="262"/>
      <c r="AD51" s="256"/>
      <c r="AE51" s="99"/>
      <c r="AF51" s="98"/>
    </row>
    <row r="52" spans="2:32" ht="18" customHeight="1" x14ac:dyDescent="0.3">
      <c r="B52" s="98"/>
      <c r="C52" s="109" t="s">
        <v>54</v>
      </c>
      <c r="D52" s="249" t="s">
        <v>322</v>
      </c>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61"/>
      <c r="AC52" s="262"/>
      <c r="AD52" s="256"/>
      <c r="AE52" s="99"/>
      <c r="AF52" s="98"/>
    </row>
    <row r="53" spans="2:32" ht="18" customHeight="1" x14ac:dyDescent="0.3">
      <c r="B53" s="98"/>
      <c r="C53" s="109" t="s">
        <v>291</v>
      </c>
      <c r="D53" s="249" t="s">
        <v>323</v>
      </c>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21"/>
      <c r="AE53" s="99"/>
      <c r="AF53" s="98"/>
    </row>
    <row r="54" spans="2:32" ht="18" customHeight="1" x14ac:dyDescent="0.3">
      <c r="B54" s="98"/>
      <c r="C54" s="109" t="s">
        <v>290</v>
      </c>
      <c r="D54" s="249" t="s">
        <v>324</v>
      </c>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99"/>
      <c r="AF54" s="98"/>
    </row>
    <row r="55" spans="2:32" ht="18" customHeight="1" x14ac:dyDescent="0.3">
      <c r="B55" s="98"/>
      <c r="C55" s="109" t="s">
        <v>293</v>
      </c>
      <c r="D55" s="249" t="s">
        <v>325</v>
      </c>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21"/>
      <c r="AE55" s="99"/>
      <c r="AF55" s="98"/>
    </row>
    <row r="56" spans="2:32" ht="18" customHeight="1" x14ac:dyDescent="0.3">
      <c r="B56" s="98"/>
      <c r="C56" s="109" t="s">
        <v>292</v>
      </c>
      <c r="D56" s="249" t="s">
        <v>326</v>
      </c>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99"/>
      <c r="AF56" s="98"/>
    </row>
    <row r="57" spans="2:32" ht="18" customHeight="1" x14ac:dyDescent="0.3">
      <c r="B57" s="98"/>
      <c r="C57" s="109" t="s">
        <v>294</v>
      </c>
      <c r="D57" s="249" t="s">
        <v>327</v>
      </c>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21"/>
      <c r="AE57" s="99"/>
      <c r="AF57" s="98"/>
    </row>
    <row r="58" spans="2:32" ht="18" customHeight="1" x14ac:dyDescent="0.3">
      <c r="B58" s="98"/>
      <c r="C58" s="109" t="s">
        <v>295</v>
      </c>
      <c r="D58" s="249" t="s">
        <v>328</v>
      </c>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99"/>
      <c r="AF58" s="98"/>
    </row>
    <row r="59" spans="2:32" ht="18" customHeight="1" x14ac:dyDescent="0.3">
      <c r="B59" s="98"/>
      <c r="C59" s="109" t="s">
        <v>221</v>
      </c>
      <c r="D59" s="249" t="s">
        <v>299</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99"/>
      <c r="AF59" s="98"/>
    </row>
    <row r="60" spans="2:32" ht="18" customHeight="1" x14ac:dyDescent="0.3">
      <c r="B60" s="98"/>
      <c r="C60" s="109" t="s">
        <v>8</v>
      </c>
      <c r="D60" s="249" t="s">
        <v>217</v>
      </c>
      <c r="E60" s="249"/>
      <c r="F60" s="249"/>
      <c r="G60" s="249"/>
      <c r="H60" s="249"/>
      <c r="I60" s="249"/>
      <c r="J60" s="249"/>
      <c r="K60" s="249"/>
      <c r="L60" s="249"/>
      <c r="M60" s="249"/>
      <c r="N60" s="249"/>
      <c r="O60" s="261"/>
      <c r="P60" s="262"/>
      <c r="Q60" s="262"/>
      <c r="R60" s="262"/>
      <c r="S60" s="262"/>
      <c r="T60" s="262"/>
      <c r="U60" s="262"/>
      <c r="V60" s="262"/>
      <c r="W60" s="262"/>
      <c r="X60" s="262"/>
      <c r="Y60" s="262"/>
      <c r="Z60" s="262"/>
      <c r="AA60" s="262"/>
      <c r="AB60" s="262"/>
      <c r="AC60" s="262"/>
      <c r="AD60" s="256"/>
      <c r="AE60" s="99"/>
      <c r="AF60" s="98"/>
    </row>
    <row r="61" spans="2:32" ht="18" customHeight="1" x14ac:dyDescent="0.3">
      <c r="B61" s="98"/>
      <c r="C61" s="99"/>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99"/>
      <c r="AE61" s="99"/>
      <c r="AF61" s="98"/>
    </row>
    <row r="62" spans="2:32" ht="18" customHeight="1" x14ac:dyDescent="0.3">
      <c r="B62" s="98"/>
      <c r="C62" s="244" t="s">
        <v>48</v>
      </c>
      <c r="D62" s="249" t="s">
        <v>251</v>
      </c>
      <c r="E62" s="249"/>
      <c r="F62" s="249"/>
      <c r="G62" s="249"/>
      <c r="H62" s="249"/>
      <c r="I62" s="249"/>
      <c r="J62" s="249"/>
      <c r="K62" s="249"/>
      <c r="L62" s="249"/>
      <c r="M62" s="249"/>
      <c r="N62" s="263"/>
      <c r="O62" s="263"/>
      <c r="P62" s="262"/>
      <c r="Q62" s="262"/>
      <c r="R62" s="262"/>
      <c r="S62" s="262"/>
      <c r="T62" s="262"/>
      <c r="U62" s="262"/>
      <c r="V62" s="262"/>
      <c r="W62" s="262"/>
      <c r="X62" s="262"/>
      <c r="Y62" s="262"/>
      <c r="Z62" s="262"/>
      <c r="AA62" s="262"/>
      <c r="AB62" s="262"/>
      <c r="AC62" s="262"/>
      <c r="AD62" s="256"/>
      <c r="AE62" s="99"/>
      <c r="AF62" s="98"/>
    </row>
    <row r="63" spans="2:32" ht="18" customHeight="1" x14ac:dyDescent="0.3">
      <c r="B63" s="98"/>
      <c r="C63" s="244" t="s">
        <v>49</v>
      </c>
      <c r="D63" s="249" t="s">
        <v>252</v>
      </c>
      <c r="E63" s="249"/>
      <c r="F63" s="249"/>
      <c r="G63" s="249"/>
      <c r="H63" s="249"/>
      <c r="I63" s="249"/>
      <c r="J63" s="249"/>
      <c r="K63" s="249"/>
      <c r="L63" s="249"/>
      <c r="M63" s="249"/>
      <c r="N63" s="262"/>
      <c r="O63" s="262"/>
      <c r="P63" s="262"/>
      <c r="Q63" s="262"/>
      <c r="R63" s="262"/>
      <c r="S63" s="262"/>
      <c r="T63" s="262"/>
      <c r="U63" s="262"/>
      <c r="V63" s="262"/>
      <c r="W63" s="262"/>
      <c r="X63" s="262"/>
      <c r="Y63" s="262"/>
      <c r="Z63" s="262"/>
      <c r="AA63" s="262"/>
      <c r="AB63" s="262"/>
      <c r="AC63" s="262"/>
      <c r="AD63" s="256"/>
      <c r="AE63" s="99"/>
      <c r="AF63" s="98"/>
    </row>
    <row r="64" spans="2:32" ht="18" customHeight="1" x14ac:dyDescent="0.3">
      <c r="B64" s="98"/>
      <c r="C64" s="244" t="s">
        <v>50</v>
      </c>
      <c r="D64" s="249" t="s">
        <v>253</v>
      </c>
      <c r="E64" s="249"/>
      <c r="F64" s="249"/>
      <c r="G64" s="249"/>
      <c r="H64" s="249"/>
      <c r="I64" s="249"/>
      <c r="J64" s="249"/>
      <c r="K64" s="249"/>
      <c r="L64" s="249"/>
      <c r="M64" s="249"/>
      <c r="N64" s="263"/>
      <c r="O64" s="263"/>
      <c r="P64" s="262"/>
      <c r="Q64" s="262"/>
      <c r="R64" s="262"/>
      <c r="S64" s="262"/>
      <c r="T64" s="262"/>
      <c r="U64" s="262"/>
      <c r="V64" s="262"/>
      <c r="W64" s="262"/>
      <c r="X64" s="262"/>
      <c r="Y64" s="262"/>
      <c r="Z64" s="262"/>
      <c r="AA64" s="262"/>
      <c r="AB64" s="262"/>
      <c r="AC64" s="262"/>
      <c r="AD64" s="256"/>
      <c r="AE64" s="99"/>
      <c r="AF64" s="98"/>
    </row>
    <row r="65" spans="2:33" ht="18" customHeight="1" x14ac:dyDescent="0.3">
      <c r="B65" s="98"/>
      <c r="C65" s="99"/>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99"/>
      <c r="AE65" s="99"/>
      <c r="AF65" s="98"/>
    </row>
    <row r="66" spans="2:33" ht="18" customHeight="1" x14ac:dyDescent="0.3">
      <c r="B66" s="98"/>
      <c r="C66" s="173" t="s">
        <v>162</v>
      </c>
      <c r="D66" s="249" t="s">
        <v>283</v>
      </c>
      <c r="E66" s="249"/>
      <c r="F66" s="249"/>
      <c r="G66" s="249"/>
      <c r="H66" s="249"/>
      <c r="I66" s="249"/>
      <c r="J66" s="249"/>
      <c r="K66" s="249"/>
      <c r="L66" s="249"/>
      <c r="M66" s="249"/>
      <c r="N66" s="261"/>
      <c r="O66" s="261"/>
      <c r="P66" s="261"/>
      <c r="Q66" s="261"/>
      <c r="R66" s="261"/>
      <c r="S66" s="261"/>
      <c r="T66" s="261"/>
      <c r="U66" s="261"/>
      <c r="V66" s="262"/>
      <c r="W66" s="262"/>
      <c r="X66" s="262"/>
      <c r="Y66" s="262"/>
      <c r="Z66" s="262"/>
      <c r="AA66" s="262"/>
      <c r="AB66" s="262"/>
      <c r="AC66" s="262"/>
      <c r="AD66" s="256"/>
      <c r="AE66" s="99"/>
      <c r="AF66" s="98"/>
    </row>
    <row r="67" spans="2:33" ht="18" customHeight="1" x14ac:dyDescent="0.3">
      <c r="B67" s="98"/>
      <c r="C67" s="173" t="s">
        <v>164</v>
      </c>
      <c r="D67" s="249" t="s">
        <v>284</v>
      </c>
      <c r="E67" s="249"/>
      <c r="F67" s="249"/>
      <c r="G67" s="249"/>
      <c r="H67" s="249"/>
      <c r="I67" s="249"/>
      <c r="J67" s="249"/>
      <c r="K67" s="249"/>
      <c r="L67" s="249"/>
      <c r="M67" s="249"/>
      <c r="N67" s="262"/>
      <c r="O67" s="262"/>
      <c r="P67" s="262"/>
      <c r="Q67" s="262"/>
      <c r="R67" s="262"/>
      <c r="S67" s="262"/>
      <c r="T67" s="262"/>
      <c r="U67" s="262"/>
      <c r="V67" s="262"/>
      <c r="W67" s="262"/>
      <c r="X67" s="262"/>
      <c r="Y67" s="262"/>
      <c r="Z67" s="262"/>
      <c r="AA67" s="262"/>
      <c r="AB67" s="262"/>
      <c r="AC67" s="262"/>
      <c r="AD67" s="256"/>
      <c r="AE67" s="99"/>
      <c r="AF67" s="98"/>
    </row>
    <row r="68" spans="2:33" ht="18" customHeight="1" x14ac:dyDescent="0.3">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row>
    <row r="70" spans="2:33" ht="18" customHeight="1" x14ac:dyDescent="0.3">
      <c r="B70" s="105"/>
      <c r="C70" s="344" t="s">
        <v>75</v>
      </c>
      <c r="D70" s="344"/>
      <c r="E70" s="344"/>
      <c r="F70" s="105"/>
      <c r="G70" s="107"/>
      <c r="H70" s="107"/>
      <c r="I70" s="107"/>
      <c r="J70" s="98"/>
      <c r="K70" s="98"/>
      <c r="L70" s="98"/>
      <c r="M70" s="98"/>
      <c r="N70" s="98"/>
      <c r="O70" s="98"/>
      <c r="P70" s="98"/>
      <c r="Q70" s="98"/>
      <c r="R70" s="98"/>
      <c r="S70" s="98"/>
      <c r="T70" s="98"/>
      <c r="U70" s="98"/>
      <c r="V70" s="98"/>
      <c r="W70" s="98"/>
      <c r="X70" s="98"/>
      <c r="Y70" s="98"/>
      <c r="Z70" s="98"/>
      <c r="AA70" s="98"/>
      <c r="AB70" s="98"/>
      <c r="AC70" s="317" t="s">
        <v>307</v>
      </c>
      <c r="AD70" s="317"/>
      <c r="AE70" s="317"/>
      <c r="AF70" s="98"/>
    </row>
    <row r="71" spans="2:33" ht="18" customHeight="1" x14ac:dyDescent="0.3">
      <c r="B71" s="105"/>
      <c r="C71" s="344"/>
      <c r="D71" s="344"/>
      <c r="E71" s="344"/>
      <c r="F71" s="310" t="s">
        <v>209</v>
      </c>
      <c r="G71" s="310"/>
      <c r="H71" s="310"/>
      <c r="I71" s="310"/>
      <c r="J71" s="310"/>
      <c r="K71" s="98"/>
      <c r="L71" s="308" t="s">
        <v>40</v>
      </c>
      <c r="M71" s="308"/>
      <c r="N71" s="308"/>
      <c r="O71" s="308"/>
      <c r="P71" s="308"/>
      <c r="Q71" s="308"/>
      <c r="R71" s="308"/>
      <c r="S71" s="308"/>
      <c r="T71" s="308"/>
      <c r="U71" s="98"/>
      <c r="V71" s="308" t="s">
        <v>265</v>
      </c>
      <c r="W71" s="308"/>
      <c r="X71" s="308"/>
      <c r="Y71" s="308"/>
      <c r="Z71" s="308"/>
      <c r="AA71" s="308"/>
      <c r="AB71" s="308"/>
      <c r="AC71" s="308"/>
      <c r="AD71" s="308"/>
      <c r="AE71" s="308"/>
      <c r="AF71" s="98"/>
    </row>
    <row r="72" spans="2:33" ht="18" customHeight="1" x14ac:dyDescent="0.3">
      <c r="B72" s="98"/>
      <c r="C72" s="316" t="s">
        <v>216</v>
      </c>
      <c r="D72" s="319"/>
      <c r="E72" s="319"/>
      <c r="F72" s="319"/>
      <c r="G72" s="314" t="s">
        <v>224</v>
      </c>
      <c r="H72" s="346"/>
      <c r="I72" s="346"/>
      <c r="J72" s="346"/>
      <c r="K72" s="98"/>
      <c r="L72" s="309"/>
      <c r="M72" s="309"/>
      <c r="N72" s="309"/>
      <c r="O72" s="309"/>
      <c r="P72" s="309"/>
      <c r="Q72" s="309"/>
      <c r="R72" s="309"/>
      <c r="S72" s="309"/>
      <c r="T72" s="309"/>
      <c r="U72" s="98"/>
      <c r="V72" s="308"/>
      <c r="W72" s="308"/>
      <c r="X72" s="308"/>
      <c r="Y72" s="308"/>
      <c r="Z72" s="308"/>
      <c r="AA72" s="308"/>
      <c r="AB72" s="308"/>
      <c r="AC72" s="308"/>
      <c r="AD72" s="308"/>
      <c r="AE72" s="308"/>
      <c r="AF72" s="98"/>
    </row>
    <row r="73" spans="2:33" ht="18" customHeight="1" thickBot="1" x14ac:dyDescent="0.35">
      <c r="B73" s="98"/>
      <c r="C73" s="320"/>
      <c r="D73" s="320"/>
      <c r="E73" s="320"/>
      <c r="F73" s="320"/>
      <c r="G73" s="320"/>
      <c r="H73" s="320"/>
      <c r="I73" s="320"/>
      <c r="J73" s="320"/>
      <c r="K73" s="98"/>
      <c r="L73" s="73" t="s">
        <v>32</v>
      </c>
      <c r="M73" s="74" t="s">
        <v>33</v>
      </c>
      <c r="N73" s="76" t="s">
        <v>34</v>
      </c>
      <c r="O73" s="76" t="s">
        <v>38</v>
      </c>
      <c r="P73" s="74" t="s">
        <v>35</v>
      </c>
      <c r="Q73" s="75" t="s">
        <v>36</v>
      </c>
      <c r="R73" s="228" t="s">
        <v>37</v>
      </c>
      <c r="S73" s="73" t="s">
        <v>178</v>
      </c>
      <c r="T73" s="76" t="s">
        <v>13</v>
      </c>
      <c r="U73" s="98"/>
      <c r="V73" s="75" t="s">
        <v>298</v>
      </c>
      <c r="W73" s="73" t="s">
        <v>32</v>
      </c>
      <c r="X73" s="74" t="s">
        <v>33</v>
      </c>
      <c r="Y73" s="76" t="s">
        <v>34</v>
      </c>
      <c r="Z73" s="76" t="s">
        <v>38</v>
      </c>
      <c r="AA73" s="74" t="s">
        <v>35</v>
      </c>
      <c r="AB73" s="75" t="s">
        <v>36</v>
      </c>
      <c r="AC73" s="228" t="s">
        <v>37</v>
      </c>
      <c r="AD73" s="73" t="s">
        <v>178</v>
      </c>
      <c r="AE73" s="76" t="s">
        <v>13</v>
      </c>
      <c r="AF73" s="98"/>
    </row>
    <row r="74" spans="2:33" ht="18" customHeight="1" x14ac:dyDescent="0.3">
      <c r="B74" s="98"/>
      <c r="C74" s="157">
        <f ca="1">RANDBETWEEN(220,240)</f>
        <v>228</v>
      </c>
      <c r="D74" s="208" t="s">
        <v>0</v>
      </c>
      <c r="E74" s="16">
        <f ca="1">RANDBETWEEN(150,160)</f>
        <v>157</v>
      </c>
      <c r="F74" s="208" t="s">
        <v>1</v>
      </c>
      <c r="G74" s="3">
        <f ca="1">RANDBETWEEN(175,220)</f>
        <v>206</v>
      </c>
      <c r="H74" s="3" t="s">
        <v>2</v>
      </c>
      <c r="I74" s="83" t="s">
        <v>31</v>
      </c>
      <c r="J74" s="208">
        <f ca="1">RANDBETWEEN(1000,1130)</f>
        <v>1102</v>
      </c>
      <c r="K74" s="104"/>
      <c r="L74" s="77" t="s">
        <v>35</v>
      </c>
      <c r="M74" s="160">
        <f ca="1">C74</f>
        <v>228</v>
      </c>
      <c r="N74" s="150">
        <f ca="1">E74</f>
        <v>157</v>
      </c>
      <c r="O74" s="88">
        <f ca="1">G74</f>
        <v>206</v>
      </c>
      <c r="P74" s="116">
        <v>1</v>
      </c>
      <c r="Q74" s="110">
        <v>0</v>
      </c>
      <c r="R74" s="229">
        <v>0</v>
      </c>
      <c r="S74" s="134">
        <v>0</v>
      </c>
      <c r="T74" s="86">
        <f ca="1">J74</f>
        <v>1102</v>
      </c>
      <c r="U74" s="104"/>
      <c r="V74" s="150">
        <f ca="1">C77</f>
        <v>340</v>
      </c>
      <c r="W74" s="115" t="s">
        <v>41</v>
      </c>
      <c r="X74" s="116">
        <v>1</v>
      </c>
      <c r="Y74" s="110">
        <v>0</v>
      </c>
      <c r="Z74" s="153" t="s">
        <v>205</v>
      </c>
      <c r="AA74" s="160" t="s">
        <v>205</v>
      </c>
      <c r="AB74" s="150" t="s">
        <v>205</v>
      </c>
      <c r="AC74" s="229">
        <v>0</v>
      </c>
      <c r="AD74" s="153" t="s">
        <v>205</v>
      </c>
      <c r="AE74" s="232">
        <f ca="1">ROUND(((J74/C74)-(((J75-((J74/C74)*C75))/(E75-((E74/C74)*C75)))*(E74/C74))),2)</f>
        <v>2.67</v>
      </c>
      <c r="AF74" s="98"/>
    </row>
    <row r="75" spans="2:33" ht="18" customHeight="1" x14ac:dyDescent="0.3">
      <c r="B75" s="98"/>
      <c r="C75" s="158">
        <f ca="1">RANDBETWEEN(77,87)</f>
        <v>86</v>
      </c>
      <c r="D75" s="169" t="s">
        <v>0</v>
      </c>
      <c r="E75" s="159">
        <f ca="1">RANDBETWEEN(72,77)</f>
        <v>73</v>
      </c>
      <c r="F75" s="169" t="s">
        <v>1</v>
      </c>
      <c r="G75" s="209">
        <f ca="1">RANDBETWEEN(64,67)</f>
        <v>67</v>
      </c>
      <c r="H75" s="209" t="s">
        <v>2</v>
      </c>
      <c r="I75" s="84" t="s">
        <v>179</v>
      </c>
      <c r="J75" s="169">
        <f ca="1">RANDBETWEEN(430,460)</f>
        <v>459</v>
      </c>
      <c r="K75" s="104"/>
      <c r="L75" s="171" t="s">
        <v>178</v>
      </c>
      <c r="M75" s="176">
        <f ca="1">C75</f>
        <v>86</v>
      </c>
      <c r="N75" s="90">
        <f ca="1">E75</f>
        <v>73</v>
      </c>
      <c r="O75" s="91">
        <f ca="1">G75</f>
        <v>67</v>
      </c>
      <c r="P75" s="129">
        <v>0</v>
      </c>
      <c r="Q75" s="111">
        <v>-1</v>
      </c>
      <c r="R75" s="230">
        <v>0</v>
      </c>
      <c r="S75" s="132">
        <v>1</v>
      </c>
      <c r="T75" s="89">
        <f ca="1">J75</f>
        <v>459</v>
      </c>
      <c r="U75" s="104"/>
      <c r="V75" s="149">
        <f ca="1">E77</f>
        <v>392</v>
      </c>
      <c r="W75" s="114" t="s">
        <v>225</v>
      </c>
      <c r="X75" s="129">
        <v>0</v>
      </c>
      <c r="Y75" s="111">
        <v>1</v>
      </c>
      <c r="Z75" s="154" t="s">
        <v>205</v>
      </c>
      <c r="AA75" s="176" t="s">
        <v>205</v>
      </c>
      <c r="AB75" s="149" t="s">
        <v>205</v>
      </c>
      <c r="AC75" s="230">
        <v>0</v>
      </c>
      <c r="AD75" s="154" t="s">
        <v>205</v>
      </c>
      <c r="AE75" s="233">
        <f ca="1">ROUND((J75-((J74/C74)*C75))/(E75-((E74/C74)*C75)),2)</f>
        <v>3.14</v>
      </c>
      <c r="AF75" s="98"/>
    </row>
    <row r="76" spans="2:33" ht="18" customHeight="1" thickBot="1" x14ac:dyDescent="0.35">
      <c r="B76" s="98"/>
      <c r="C76" s="158">
        <f ca="1">RANDBETWEEN(1,2)</f>
        <v>2</v>
      </c>
      <c r="D76" s="169" t="s">
        <v>0</v>
      </c>
      <c r="E76" s="156">
        <v>0</v>
      </c>
      <c r="F76" s="169" t="s">
        <v>1</v>
      </c>
      <c r="G76" s="209">
        <f ca="1">RANDBETWEEN(2,5)</f>
        <v>4</v>
      </c>
      <c r="H76" s="209" t="s">
        <v>2</v>
      </c>
      <c r="I76" s="84" t="s">
        <v>31</v>
      </c>
      <c r="J76" s="169">
        <f ca="1">RANDBETWEEN(16,30)</f>
        <v>28</v>
      </c>
      <c r="K76" s="104"/>
      <c r="L76" s="73" t="s">
        <v>37</v>
      </c>
      <c r="M76" s="161">
        <f ca="1">C76</f>
        <v>2</v>
      </c>
      <c r="N76" s="131">
        <f>E76</f>
        <v>0</v>
      </c>
      <c r="O76" s="94">
        <f ca="1">G76</f>
        <v>4</v>
      </c>
      <c r="P76" s="130">
        <v>0</v>
      </c>
      <c r="Q76" s="131">
        <v>0</v>
      </c>
      <c r="R76" s="231">
        <v>1</v>
      </c>
      <c r="S76" s="133">
        <v>0</v>
      </c>
      <c r="T76" s="92">
        <f ca="1">J76</f>
        <v>28</v>
      </c>
      <c r="U76" s="104"/>
      <c r="V76" s="147">
        <v>0</v>
      </c>
      <c r="W76" s="113" t="s">
        <v>89</v>
      </c>
      <c r="X76" s="130">
        <v>0</v>
      </c>
      <c r="Y76" s="131">
        <v>0</v>
      </c>
      <c r="Z76" s="155" t="s">
        <v>205</v>
      </c>
      <c r="AA76" s="161" t="s">
        <v>205</v>
      </c>
      <c r="AB76" s="151" t="s">
        <v>205</v>
      </c>
      <c r="AC76" s="231">
        <v>1</v>
      </c>
      <c r="AD76" s="155" t="s">
        <v>205</v>
      </c>
      <c r="AE76" s="234">
        <f ca="1">ROUND((J76-((J74/C74)*C76))-(((J75-((J74/C74)*C75))/(E75-((E74/C74)*C75)))*(E76-((E74/C74)*C76))),2)</f>
        <v>22.66</v>
      </c>
      <c r="AF76" s="98"/>
    </row>
    <row r="77" spans="2:33" ht="18" customHeight="1" thickTop="1" x14ac:dyDescent="0.3">
      <c r="B77" s="98"/>
      <c r="C77" s="80">
        <f ca="1">RANDBETWEEN(310,370)</f>
        <v>340</v>
      </c>
      <c r="D77" s="81" t="s">
        <v>0</v>
      </c>
      <c r="E77" s="178">
        <f ca="1">RANDBETWEEN(380,399)</f>
        <v>392</v>
      </c>
      <c r="F77" s="81" t="s">
        <v>1</v>
      </c>
      <c r="G77" s="82">
        <f ca="1">RANDBETWEEN(310,350)</f>
        <v>328</v>
      </c>
      <c r="H77" s="82" t="s">
        <v>2</v>
      </c>
      <c r="I77" s="85" t="s">
        <v>6</v>
      </c>
      <c r="J77" s="81" t="s">
        <v>180</v>
      </c>
      <c r="K77" s="104"/>
      <c r="L77" s="78" t="s">
        <v>8</v>
      </c>
      <c r="M77" s="95">
        <f ca="1">(C75*1000)-C77</f>
        <v>85660</v>
      </c>
      <c r="N77" s="238">
        <f ca="1">(E75*1000)-E77</f>
        <v>72608</v>
      </c>
      <c r="O77" s="97">
        <f ca="1">(G75*1000)-G77</f>
        <v>66672</v>
      </c>
      <c r="P77" s="116">
        <v>0</v>
      </c>
      <c r="Q77" s="110">
        <v>-1000</v>
      </c>
      <c r="R77" s="229">
        <v>0</v>
      </c>
      <c r="S77" s="235">
        <v>0</v>
      </c>
      <c r="T77" s="236">
        <f ca="1">J75*1000</f>
        <v>459000</v>
      </c>
      <c r="U77" s="104"/>
      <c r="V77" s="311" t="s">
        <v>8</v>
      </c>
      <c r="W77" s="312"/>
      <c r="X77" s="112">
        <v>0</v>
      </c>
      <c r="Y77" s="138">
        <v>0</v>
      </c>
      <c r="Z77" s="177">
        <f ca="1">ROUND((C77*((G74/C74)-(((G75-((G74/C74)*C75))/(E75-((E74/C74)*C75)))*(E74/C74)))+E77*((G75-((G74/C74)*C75))/(E75-((E74/C74)*C75))))-G77,2)</f>
        <v>-143.41</v>
      </c>
      <c r="AA77" s="160">
        <f ca="1">ROUND(C77*((1/C74)-(((0-((1/C74)*C75))/(E75-((E74/C74)*C75)))*(E74/C74)))+E77*((0-((1/C74)*C75))/(E75-((E74/C74)*C75))),2)</f>
        <v>-2.83</v>
      </c>
      <c r="AB77" s="150">
        <f ca="1">ROUND(C77*(0-(((-1)/(E75-((E74/C74)*C75)))*(E74/C74)))+E77*((-1)/(E75-((E74/C74)*C75))),2)</f>
        <v>-11.46</v>
      </c>
      <c r="AC77" s="229">
        <v>0</v>
      </c>
      <c r="AD77" s="267">
        <f ca="1">ROUND((C77*(0-((1/(E75-((E74/C74)*C75)))*(E74/C74)))+E77*(1/(E75-((E74/C74)*C75))))-1000,2)</f>
        <v>-988.54</v>
      </c>
      <c r="AE77" s="79">
        <f ca="1">ROUND(C77*((J74/C74)-(((J75-((J74/C74)*C75))/(E75-((E74/C74)*C75)))*(E74/C74)))+E77*((J75-((J74/C74)*C75))/(E75-((E74/C74)*C75))),2)</f>
        <v>2139.7800000000002</v>
      </c>
      <c r="AF77" s="98"/>
      <c r="AG77" s="70"/>
    </row>
    <row r="78" spans="2:33" ht="18" customHeight="1" x14ac:dyDescent="0.3">
      <c r="B78" s="117"/>
      <c r="C78" s="345" t="s">
        <v>187</v>
      </c>
      <c r="D78" s="345"/>
      <c r="E78" s="345"/>
      <c r="F78" s="117"/>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98"/>
    </row>
    <row r="79" spans="2:33" ht="18" customHeight="1" thickBot="1" x14ac:dyDescent="0.35">
      <c r="B79" s="117"/>
      <c r="C79" s="343"/>
      <c r="D79" s="343"/>
      <c r="E79" s="343"/>
      <c r="F79" s="99"/>
      <c r="G79" s="99"/>
      <c r="H79" s="109"/>
      <c r="I79" s="109"/>
      <c r="J79" s="99"/>
      <c r="K79" s="98"/>
      <c r="L79" s="122"/>
      <c r="M79" s="118" t="s">
        <v>45</v>
      </c>
      <c r="N79" s="119" t="s">
        <v>44</v>
      </c>
      <c r="O79" s="104"/>
      <c r="P79" s="122"/>
      <c r="Q79" s="118" t="s">
        <v>45</v>
      </c>
      <c r="R79" s="119" t="s">
        <v>44</v>
      </c>
      <c r="S79" s="104"/>
      <c r="T79" s="122"/>
      <c r="U79" s="118" t="s">
        <v>45</v>
      </c>
      <c r="V79" s="119" t="s">
        <v>44</v>
      </c>
      <c r="W79" s="98"/>
      <c r="X79" s="122"/>
      <c r="Y79" s="118" t="s">
        <v>45</v>
      </c>
      <c r="Z79" s="119" t="s">
        <v>44</v>
      </c>
      <c r="AA79" s="98"/>
      <c r="AB79" s="122"/>
      <c r="AC79" s="118" t="s">
        <v>45</v>
      </c>
      <c r="AD79" s="119" t="s">
        <v>44</v>
      </c>
      <c r="AE79" s="98"/>
      <c r="AF79" s="98"/>
    </row>
    <row r="80" spans="2:33" ht="18" customHeight="1" x14ac:dyDescent="0.3">
      <c r="B80" s="98"/>
      <c r="C80" s="210"/>
      <c r="D80" s="210"/>
      <c r="E80" s="210"/>
      <c r="F80" s="99"/>
      <c r="G80" s="99"/>
      <c r="H80" s="109"/>
      <c r="I80" s="108"/>
      <c r="J80" s="99"/>
      <c r="K80" s="98"/>
      <c r="L80" s="121" t="s">
        <v>72</v>
      </c>
      <c r="M80" s="162">
        <v>220</v>
      </c>
      <c r="N80" s="163">
        <v>240</v>
      </c>
      <c r="O80" s="106"/>
      <c r="P80" s="121" t="s">
        <v>76</v>
      </c>
      <c r="Q80" s="162">
        <v>77</v>
      </c>
      <c r="R80" s="163">
        <v>87</v>
      </c>
      <c r="S80" s="104"/>
      <c r="T80" s="121" t="s">
        <v>79</v>
      </c>
      <c r="U80" s="162">
        <v>1</v>
      </c>
      <c r="V80" s="163">
        <v>2</v>
      </c>
      <c r="W80" s="98"/>
      <c r="X80" s="121" t="s">
        <v>82</v>
      </c>
      <c r="Y80" s="124">
        <v>1000</v>
      </c>
      <c r="Z80" s="125">
        <v>1130</v>
      </c>
      <c r="AA80" s="98"/>
      <c r="AB80" s="121" t="s">
        <v>85</v>
      </c>
      <c r="AC80" s="124">
        <v>310</v>
      </c>
      <c r="AD80" s="125">
        <v>370</v>
      </c>
      <c r="AE80" s="98"/>
      <c r="AF80" s="98"/>
    </row>
    <row r="81" spans="2:32" ht="18" customHeight="1" x14ac:dyDescent="0.3">
      <c r="B81" s="98"/>
      <c r="C81" s="210" t="s">
        <v>51</v>
      </c>
      <c r="D81" s="210"/>
      <c r="E81" s="210"/>
      <c r="F81" s="148">
        <f>(N81-M81+1)*(N82-M82+1)*(R81-Q81+1)*(R82-Q82+1)*(V81-U81+1)*(V82-U82+1)*(Z80-Y80+1)*(Z81-Y81+1)*(Z82-Y82+1)*(AD80-AC80+1)*(AD81-AC81+1)*(AD82-AC82+1)*(V80-U80+1)*(R80-Q80+1)*(N80-M80+1)</f>
        <v>6.83804038490496E+16</v>
      </c>
      <c r="G81" s="99"/>
      <c r="H81" s="109"/>
      <c r="I81" s="108"/>
      <c r="J81" s="99"/>
      <c r="K81" s="98"/>
      <c r="L81" s="120" t="s">
        <v>73</v>
      </c>
      <c r="M81" s="124">
        <v>150</v>
      </c>
      <c r="N81" s="125">
        <v>160</v>
      </c>
      <c r="O81" s="106"/>
      <c r="P81" s="109" t="s">
        <v>77</v>
      </c>
      <c r="Q81" s="124">
        <v>72</v>
      </c>
      <c r="R81" s="125">
        <v>77</v>
      </c>
      <c r="S81" s="104"/>
      <c r="T81" s="109" t="s">
        <v>80</v>
      </c>
      <c r="U81" s="140">
        <v>0</v>
      </c>
      <c r="V81" s="141">
        <v>0</v>
      </c>
      <c r="W81" s="98"/>
      <c r="X81" s="109" t="s">
        <v>83</v>
      </c>
      <c r="Y81" s="124">
        <v>430</v>
      </c>
      <c r="Z81" s="125">
        <v>460</v>
      </c>
      <c r="AA81" s="98"/>
      <c r="AB81" s="109" t="s">
        <v>86</v>
      </c>
      <c r="AC81" s="162">
        <v>380</v>
      </c>
      <c r="AD81" s="163">
        <v>399</v>
      </c>
      <c r="AE81" s="98"/>
      <c r="AF81" s="98"/>
    </row>
    <row r="82" spans="2:32" ht="18" customHeight="1" x14ac:dyDescent="0.3">
      <c r="B82" s="98"/>
      <c r="C82" s="259" t="s">
        <v>181</v>
      </c>
      <c r="D82" s="210"/>
      <c r="E82" s="210"/>
      <c r="F82" s="99"/>
      <c r="G82" s="99"/>
      <c r="H82" s="109"/>
      <c r="I82" s="108"/>
      <c r="J82" s="99"/>
      <c r="K82" s="98"/>
      <c r="L82" s="120" t="s">
        <v>74</v>
      </c>
      <c r="M82" s="124">
        <v>175</v>
      </c>
      <c r="N82" s="125">
        <v>220</v>
      </c>
      <c r="O82" s="106"/>
      <c r="P82" s="109" t="s">
        <v>78</v>
      </c>
      <c r="Q82" s="124">
        <v>64</v>
      </c>
      <c r="R82" s="125">
        <v>67</v>
      </c>
      <c r="S82" s="104"/>
      <c r="T82" s="109" t="s">
        <v>81</v>
      </c>
      <c r="U82" s="124">
        <v>2</v>
      </c>
      <c r="V82" s="125">
        <v>5</v>
      </c>
      <c r="W82" s="98"/>
      <c r="X82" s="109" t="s">
        <v>84</v>
      </c>
      <c r="Y82" s="124">
        <v>16</v>
      </c>
      <c r="Z82" s="125">
        <v>30</v>
      </c>
      <c r="AA82" s="98"/>
      <c r="AB82" s="109" t="s">
        <v>87</v>
      </c>
      <c r="AC82" s="124">
        <v>310</v>
      </c>
      <c r="AD82" s="125">
        <v>350</v>
      </c>
      <c r="AE82" s="98"/>
      <c r="AF82" s="98"/>
    </row>
    <row r="83" spans="2:32" ht="18" customHeight="1" x14ac:dyDescent="0.3">
      <c r="B83" s="117"/>
      <c r="C83" s="343" t="s">
        <v>46</v>
      </c>
      <c r="D83" s="343"/>
      <c r="E83" s="343"/>
      <c r="F83" s="117"/>
      <c r="G83" s="117"/>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98"/>
    </row>
    <row r="84" spans="2:32" ht="18" customHeight="1" x14ac:dyDescent="0.3">
      <c r="B84" s="117"/>
      <c r="C84" s="343"/>
      <c r="D84" s="343"/>
      <c r="E84" s="343"/>
      <c r="F84" s="108"/>
      <c r="G84" s="108"/>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98"/>
    </row>
    <row r="85" spans="2:32" ht="18" customHeight="1" x14ac:dyDescent="0.3">
      <c r="B85" s="104"/>
      <c r="C85" s="109" t="s">
        <v>52</v>
      </c>
      <c r="D85" s="250">
        <v>0</v>
      </c>
      <c r="E85" s="250"/>
      <c r="F85" s="250"/>
      <c r="G85" s="250"/>
      <c r="H85" s="250"/>
      <c r="I85" s="254"/>
      <c r="J85" s="254"/>
      <c r="K85" s="254"/>
      <c r="L85" s="254"/>
      <c r="M85" s="254"/>
      <c r="N85" s="254"/>
      <c r="O85" s="254"/>
      <c r="P85" s="254"/>
      <c r="Q85" s="254"/>
      <c r="R85" s="254"/>
      <c r="S85" s="254"/>
      <c r="T85" s="254"/>
      <c r="U85" s="254"/>
      <c r="V85" s="254"/>
      <c r="W85" s="254"/>
      <c r="X85" s="254"/>
      <c r="Y85" s="254"/>
      <c r="Z85" s="254"/>
      <c r="AA85" s="125"/>
      <c r="AB85" s="125"/>
      <c r="AC85" s="125"/>
      <c r="AD85" s="125"/>
      <c r="AE85" s="109"/>
      <c r="AF85" s="98"/>
    </row>
    <row r="86" spans="2:32" ht="18" customHeight="1" x14ac:dyDescent="0.3">
      <c r="B86" s="104"/>
      <c r="C86" s="109" t="s">
        <v>53</v>
      </c>
      <c r="D86" s="250">
        <v>0</v>
      </c>
      <c r="E86" s="250"/>
      <c r="F86" s="250"/>
      <c r="G86" s="250"/>
      <c r="H86" s="250"/>
      <c r="I86" s="250"/>
      <c r="J86" s="250"/>
      <c r="K86" s="250"/>
      <c r="L86" s="250"/>
      <c r="M86" s="250"/>
      <c r="N86" s="250"/>
      <c r="O86" s="250"/>
      <c r="P86" s="250"/>
      <c r="Q86" s="250"/>
      <c r="R86" s="250"/>
      <c r="S86" s="250"/>
      <c r="T86" s="250"/>
      <c r="U86" s="250"/>
      <c r="V86" s="250"/>
      <c r="W86" s="250"/>
      <c r="X86" s="250"/>
      <c r="Y86" s="250"/>
      <c r="Z86" s="250"/>
      <c r="AA86" s="227"/>
      <c r="AB86" s="227"/>
      <c r="AC86" s="125"/>
      <c r="AD86" s="125"/>
      <c r="AE86" s="109"/>
      <c r="AF86" s="98"/>
    </row>
    <row r="87" spans="2:32" ht="18" customHeight="1" x14ac:dyDescent="0.3">
      <c r="B87" s="104"/>
      <c r="C87" s="109" t="s">
        <v>54</v>
      </c>
      <c r="D87" s="250" t="s">
        <v>228</v>
      </c>
      <c r="E87" s="250"/>
      <c r="F87" s="250"/>
      <c r="G87" s="250"/>
      <c r="H87" s="250"/>
      <c r="I87" s="250"/>
      <c r="J87" s="254"/>
      <c r="K87" s="254"/>
      <c r="L87" s="254"/>
      <c r="M87" s="254"/>
      <c r="N87" s="254"/>
      <c r="O87" s="254"/>
      <c r="P87" s="254"/>
      <c r="Q87" s="254"/>
      <c r="R87" s="254"/>
      <c r="S87" s="254"/>
      <c r="T87" s="254"/>
      <c r="U87" s="254"/>
      <c r="V87" s="254"/>
      <c r="W87" s="254"/>
      <c r="X87" s="254"/>
      <c r="Y87" s="254"/>
      <c r="Z87" s="254"/>
      <c r="AA87" s="125"/>
      <c r="AB87" s="125"/>
      <c r="AC87" s="125"/>
      <c r="AD87" s="125"/>
      <c r="AE87" s="109"/>
      <c r="AF87" s="98"/>
    </row>
    <row r="88" spans="2:32" ht="18" customHeight="1" x14ac:dyDescent="0.3">
      <c r="B88" s="104"/>
      <c r="C88" s="109" t="s">
        <v>218</v>
      </c>
      <c r="D88" s="250" t="s">
        <v>230</v>
      </c>
      <c r="E88" s="250"/>
      <c r="F88" s="254"/>
      <c r="G88" s="254"/>
      <c r="H88" s="254"/>
      <c r="I88" s="254"/>
      <c r="J88" s="254"/>
      <c r="K88" s="254"/>
      <c r="L88" s="254"/>
      <c r="M88" s="254"/>
      <c r="N88" s="254"/>
      <c r="O88" s="254"/>
      <c r="P88" s="254"/>
      <c r="Q88" s="254"/>
      <c r="R88" s="254"/>
      <c r="S88" s="254"/>
      <c r="T88" s="254"/>
      <c r="U88" s="254"/>
      <c r="V88" s="254"/>
      <c r="W88" s="254"/>
      <c r="X88" s="254"/>
      <c r="Y88" s="254"/>
      <c r="Z88" s="254"/>
      <c r="AA88" s="125"/>
      <c r="AB88" s="125"/>
      <c r="AC88" s="125"/>
      <c r="AD88" s="125"/>
      <c r="AE88" s="109"/>
      <c r="AF88" s="98"/>
    </row>
    <row r="89" spans="2:32" ht="18" customHeight="1" x14ac:dyDescent="0.3">
      <c r="B89" s="104"/>
      <c r="C89" s="109" t="s">
        <v>219</v>
      </c>
      <c r="D89" s="250" t="s">
        <v>301</v>
      </c>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125"/>
      <c r="AD89" s="125"/>
      <c r="AE89" s="109"/>
      <c r="AF89" s="98"/>
    </row>
    <row r="90" spans="2:32" ht="18" customHeight="1" x14ac:dyDescent="0.3">
      <c r="B90" s="104"/>
      <c r="C90" s="109" t="s">
        <v>220</v>
      </c>
      <c r="D90" s="250">
        <v>0</v>
      </c>
      <c r="E90" s="250"/>
      <c r="F90" s="250"/>
      <c r="G90" s="250"/>
      <c r="H90" s="250"/>
      <c r="I90" s="250"/>
      <c r="J90" s="250"/>
      <c r="K90" s="250"/>
      <c r="L90" s="250"/>
      <c r="M90" s="250"/>
      <c r="N90" s="250"/>
      <c r="O90" s="250"/>
      <c r="P90" s="250"/>
      <c r="Q90" s="250"/>
      <c r="R90" s="250"/>
      <c r="S90" s="250"/>
      <c r="T90" s="250"/>
      <c r="U90" s="250"/>
      <c r="V90" s="250"/>
      <c r="W90" s="250"/>
      <c r="X90" s="250"/>
      <c r="Y90" s="250"/>
      <c r="Z90" s="254"/>
      <c r="AA90" s="125"/>
      <c r="AB90" s="256"/>
      <c r="AC90" s="256"/>
      <c r="AD90" s="256"/>
      <c r="AE90" s="99"/>
      <c r="AF90" s="98"/>
    </row>
    <row r="91" spans="2:32" ht="18" customHeight="1" x14ac:dyDescent="0.3">
      <c r="B91" s="104"/>
      <c r="C91" s="109" t="s">
        <v>221</v>
      </c>
      <c r="D91" s="250" t="s">
        <v>233</v>
      </c>
      <c r="E91" s="250"/>
      <c r="F91" s="250"/>
      <c r="G91" s="250"/>
      <c r="H91" s="250"/>
      <c r="I91" s="250"/>
      <c r="J91" s="250"/>
      <c r="K91" s="250"/>
      <c r="L91" s="250"/>
      <c r="M91" s="250"/>
      <c r="N91" s="250"/>
      <c r="O91" s="250"/>
      <c r="P91" s="250"/>
      <c r="Q91" s="250"/>
      <c r="R91" s="250"/>
      <c r="S91" s="250"/>
      <c r="T91" s="250"/>
      <c r="U91" s="250"/>
      <c r="V91" s="250"/>
      <c r="W91" s="250"/>
      <c r="X91" s="250"/>
      <c r="Y91" s="250"/>
      <c r="Z91" s="254"/>
      <c r="AA91" s="125"/>
      <c r="AB91" s="256"/>
      <c r="AC91" s="256"/>
      <c r="AD91" s="256"/>
      <c r="AE91" s="99"/>
      <c r="AF91" s="98"/>
    </row>
    <row r="92" spans="2:32" ht="18" customHeight="1" x14ac:dyDescent="0.3">
      <c r="B92" s="104"/>
      <c r="C92" s="109" t="s">
        <v>8</v>
      </c>
      <c r="D92" s="250" t="s">
        <v>232</v>
      </c>
      <c r="E92" s="250"/>
      <c r="F92" s="250"/>
      <c r="G92" s="250"/>
      <c r="H92" s="250"/>
      <c r="I92" s="250"/>
      <c r="J92" s="250"/>
      <c r="K92" s="250"/>
      <c r="L92" s="250"/>
      <c r="M92" s="250"/>
      <c r="N92" s="250"/>
      <c r="O92" s="250"/>
      <c r="P92" s="250"/>
      <c r="Q92" s="250"/>
      <c r="R92" s="250"/>
      <c r="S92" s="250"/>
      <c r="T92" s="250"/>
      <c r="U92" s="250"/>
      <c r="V92" s="250"/>
      <c r="W92" s="250"/>
      <c r="X92" s="250"/>
      <c r="Y92" s="250"/>
      <c r="Z92" s="250"/>
      <c r="AA92" s="227"/>
      <c r="AB92" s="256"/>
      <c r="AC92" s="256"/>
      <c r="AD92" s="256"/>
      <c r="AE92" s="99"/>
      <c r="AF92" s="98"/>
    </row>
    <row r="93" spans="2:32" ht="18" customHeight="1" x14ac:dyDescent="0.3">
      <c r="B93" s="104"/>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8"/>
    </row>
    <row r="94" spans="2:32" ht="18" customHeight="1" x14ac:dyDescent="0.3">
      <c r="B94" s="104"/>
      <c r="C94" s="244" t="s">
        <v>48</v>
      </c>
      <c r="D94" s="250" t="s">
        <v>254</v>
      </c>
      <c r="E94" s="250"/>
      <c r="F94" s="250"/>
      <c r="G94" s="250"/>
      <c r="H94" s="250"/>
      <c r="I94" s="250"/>
      <c r="J94" s="250"/>
      <c r="K94" s="250"/>
      <c r="L94" s="250"/>
      <c r="M94" s="250"/>
      <c r="N94" s="250"/>
      <c r="O94" s="250"/>
      <c r="P94" s="250"/>
      <c r="Q94" s="250"/>
      <c r="R94" s="250"/>
      <c r="S94" s="250"/>
      <c r="T94" s="250"/>
      <c r="U94" s="250"/>
      <c r="V94" s="250"/>
      <c r="W94" s="255"/>
      <c r="X94" s="255"/>
      <c r="Y94" s="255"/>
      <c r="Z94" s="255"/>
      <c r="AA94" s="256"/>
      <c r="AB94" s="256"/>
      <c r="AC94" s="256"/>
      <c r="AD94" s="256"/>
      <c r="AE94" s="99"/>
      <c r="AF94" s="98"/>
    </row>
    <row r="95" spans="2:32" ht="18" customHeight="1" x14ac:dyDescent="0.3">
      <c r="B95" s="104"/>
      <c r="C95" s="244" t="s">
        <v>49</v>
      </c>
      <c r="D95" s="250" t="s">
        <v>255</v>
      </c>
      <c r="E95" s="250"/>
      <c r="F95" s="250"/>
      <c r="G95" s="250"/>
      <c r="H95" s="250"/>
      <c r="I95" s="250"/>
      <c r="J95" s="250"/>
      <c r="K95" s="250"/>
      <c r="L95" s="250"/>
      <c r="M95" s="250"/>
      <c r="N95" s="250"/>
      <c r="O95" s="250"/>
      <c r="P95" s="250"/>
      <c r="Q95" s="250"/>
      <c r="R95" s="255"/>
      <c r="S95" s="255"/>
      <c r="T95" s="255"/>
      <c r="U95" s="255"/>
      <c r="V95" s="255"/>
      <c r="W95" s="255"/>
      <c r="X95" s="255"/>
      <c r="Y95" s="255"/>
      <c r="Z95" s="255"/>
      <c r="AA95" s="256"/>
      <c r="AB95" s="256"/>
      <c r="AC95" s="256"/>
      <c r="AD95" s="256"/>
      <c r="AE95" s="99"/>
      <c r="AF95" s="98"/>
    </row>
    <row r="96" spans="2:32" ht="18" customHeight="1" x14ac:dyDescent="0.3">
      <c r="B96" s="104"/>
      <c r="C96" s="244" t="s">
        <v>50</v>
      </c>
      <c r="D96" s="250" t="s">
        <v>256</v>
      </c>
      <c r="E96" s="250"/>
      <c r="F96" s="250"/>
      <c r="G96" s="250"/>
      <c r="H96" s="250"/>
      <c r="I96" s="250"/>
      <c r="J96" s="250"/>
      <c r="K96" s="250"/>
      <c r="L96" s="250"/>
      <c r="M96" s="250"/>
      <c r="N96" s="250"/>
      <c r="O96" s="250"/>
      <c r="P96" s="250"/>
      <c r="Q96" s="250"/>
      <c r="R96" s="255"/>
      <c r="S96" s="255"/>
      <c r="T96" s="255"/>
      <c r="U96" s="255"/>
      <c r="V96" s="255"/>
      <c r="W96" s="255"/>
      <c r="X96" s="255"/>
      <c r="Y96" s="255"/>
      <c r="Z96" s="255"/>
      <c r="AA96" s="256"/>
      <c r="AB96" s="256"/>
      <c r="AC96" s="256"/>
      <c r="AD96" s="256"/>
      <c r="AE96" s="99"/>
      <c r="AF96" s="98"/>
    </row>
    <row r="97" spans="2:32" ht="18" customHeight="1" x14ac:dyDescent="0.3">
      <c r="B97" s="104"/>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99"/>
      <c r="AF97" s="98"/>
    </row>
    <row r="98" spans="2:32" ht="18" customHeight="1" x14ac:dyDescent="0.3">
      <c r="B98" s="104"/>
      <c r="C98" s="173" t="s">
        <v>163</v>
      </c>
      <c r="D98" s="250" t="s">
        <v>72</v>
      </c>
      <c r="E98" s="250"/>
      <c r="F98" s="250"/>
      <c r="G98" s="250"/>
      <c r="H98" s="250"/>
      <c r="I98" s="250"/>
      <c r="J98" s="250"/>
      <c r="K98" s="250"/>
      <c r="L98" s="250"/>
      <c r="M98" s="250"/>
      <c r="N98" s="250"/>
      <c r="O98" s="250"/>
      <c r="P98" s="250"/>
      <c r="Q98" s="250"/>
      <c r="R98" s="250"/>
      <c r="S98" s="250"/>
      <c r="T98" s="250"/>
      <c r="U98" s="250"/>
      <c r="V98" s="255"/>
      <c r="W98" s="255"/>
      <c r="X98" s="255"/>
      <c r="Y98" s="255"/>
      <c r="Z98" s="255"/>
      <c r="AA98" s="256"/>
      <c r="AB98" s="256"/>
      <c r="AC98" s="256"/>
      <c r="AD98" s="256"/>
      <c r="AE98" s="99"/>
      <c r="AF98" s="98"/>
    </row>
    <row r="99" spans="2:32" ht="18" customHeight="1" x14ac:dyDescent="0.3">
      <c r="B99" s="104"/>
      <c r="C99" s="173" t="s">
        <v>165</v>
      </c>
      <c r="D99" s="250" t="s">
        <v>231</v>
      </c>
      <c r="E99" s="250"/>
      <c r="F99" s="250"/>
      <c r="G99" s="250"/>
      <c r="H99" s="250"/>
      <c r="I99" s="250"/>
      <c r="J99" s="250"/>
      <c r="K99" s="250"/>
      <c r="L99" s="250"/>
      <c r="M99" s="250"/>
      <c r="N99" s="250"/>
      <c r="O99" s="250"/>
      <c r="P99" s="250"/>
      <c r="Q99" s="250"/>
      <c r="R99" s="255"/>
      <c r="S99" s="255"/>
      <c r="T99" s="255"/>
      <c r="U99" s="255"/>
      <c r="V99" s="255"/>
      <c r="W99" s="255"/>
      <c r="X99" s="255"/>
      <c r="Y99" s="255"/>
      <c r="Z99" s="255"/>
      <c r="AA99" s="256"/>
      <c r="AB99" s="256"/>
      <c r="AC99" s="256"/>
      <c r="AD99" s="256"/>
      <c r="AE99" s="99"/>
      <c r="AF99" s="98"/>
    </row>
    <row r="100" spans="2:32" ht="18" customHeight="1" x14ac:dyDescent="0.3">
      <c r="B100" s="117"/>
      <c r="C100" s="343" t="s">
        <v>188</v>
      </c>
      <c r="D100" s="343"/>
      <c r="E100" s="343"/>
      <c r="F100" s="117"/>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row>
    <row r="101" spans="2:32" ht="18" customHeight="1" x14ac:dyDescent="0.3">
      <c r="B101" s="117"/>
      <c r="C101" s="343"/>
      <c r="D101" s="343"/>
      <c r="E101" s="343"/>
      <c r="F101" s="108"/>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8"/>
    </row>
    <row r="102" spans="2:32" ht="18" customHeight="1" x14ac:dyDescent="0.3">
      <c r="B102" s="98"/>
      <c r="C102" s="109" t="s">
        <v>52</v>
      </c>
      <c r="D102" s="249" t="s">
        <v>321</v>
      </c>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1"/>
      <c r="AC102" s="262"/>
      <c r="AD102" s="262"/>
      <c r="AE102" s="99"/>
      <c r="AF102" s="98"/>
    </row>
    <row r="103" spans="2:32" ht="18" customHeight="1" x14ac:dyDescent="0.3">
      <c r="B103" s="98"/>
      <c r="C103" s="109" t="s">
        <v>53</v>
      </c>
      <c r="D103" s="249" t="s">
        <v>322</v>
      </c>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1"/>
      <c r="AC103" s="262"/>
      <c r="AD103" s="262"/>
      <c r="AE103" s="99"/>
      <c r="AF103" s="98"/>
    </row>
    <row r="104" spans="2:32" ht="18" customHeight="1" x14ac:dyDescent="0.3">
      <c r="B104" s="98"/>
      <c r="C104" s="109" t="s">
        <v>54</v>
      </c>
      <c r="D104" s="249" t="s">
        <v>322</v>
      </c>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1"/>
      <c r="AC104" s="262"/>
      <c r="AD104" s="262"/>
      <c r="AE104" s="99"/>
      <c r="AF104" s="98"/>
    </row>
    <row r="105" spans="2:32" ht="18" customHeight="1" x14ac:dyDescent="0.3">
      <c r="B105" s="98"/>
      <c r="C105" s="109" t="s">
        <v>291</v>
      </c>
      <c r="D105" s="249" t="s">
        <v>323</v>
      </c>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99"/>
      <c r="AF105" s="98"/>
    </row>
    <row r="106" spans="2:32" ht="18" customHeight="1" x14ac:dyDescent="0.3">
      <c r="B106" s="98"/>
      <c r="C106" s="109" t="s">
        <v>290</v>
      </c>
      <c r="D106" s="249" t="s">
        <v>324</v>
      </c>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99"/>
      <c r="AF106" s="98"/>
    </row>
    <row r="107" spans="2:32" ht="18" customHeight="1" x14ac:dyDescent="0.3">
      <c r="B107" s="98"/>
      <c r="C107" s="109" t="s">
        <v>293</v>
      </c>
      <c r="D107" s="249" t="s">
        <v>325</v>
      </c>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99"/>
      <c r="AF107" s="98"/>
    </row>
    <row r="108" spans="2:32" ht="18" customHeight="1" x14ac:dyDescent="0.3">
      <c r="B108" s="98"/>
      <c r="C108" s="109" t="s">
        <v>292</v>
      </c>
      <c r="D108" s="249" t="s">
        <v>326</v>
      </c>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99"/>
      <c r="AF108" s="98"/>
    </row>
    <row r="109" spans="2:32" ht="18" customHeight="1" x14ac:dyDescent="0.3">
      <c r="B109" s="98"/>
      <c r="C109" s="109" t="s">
        <v>294</v>
      </c>
      <c r="D109" s="249" t="s">
        <v>327</v>
      </c>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99"/>
      <c r="AF109" s="98"/>
    </row>
    <row r="110" spans="2:32" ht="18" customHeight="1" x14ac:dyDescent="0.3">
      <c r="B110" s="98"/>
      <c r="C110" s="109" t="s">
        <v>295</v>
      </c>
      <c r="D110" s="249" t="s">
        <v>328</v>
      </c>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99"/>
      <c r="AF110" s="98"/>
    </row>
    <row r="111" spans="2:32" ht="18" customHeight="1" x14ac:dyDescent="0.3">
      <c r="B111" s="98"/>
      <c r="C111" s="109" t="s">
        <v>221</v>
      </c>
      <c r="D111" s="249" t="s">
        <v>299</v>
      </c>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99"/>
      <c r="AF111" s="98"/>
    </row>
    <row r="112" spans="2:32" ht="18" customHeight="1" x14ac:dyDescent="0.3">
      <c r="B112" s="98"/>
      <c r="C112" s="109" t="s">
        <v>8</v>
      </c>
      <c r="D112" s="249" t="s">
        <v>217</v>
      </c>
      <c r="E112" s="263"/>
      <c r="F112" s="263"/>
      <c r="G112" s="263"/>
      <c r="H112" s="263"/>
      <c r="I112" s="263"/>
      <c r="J112" s="263"/>
      <c r="K112" s="263"/>
      <c r="L112" s="263"/>
      <c r="M112" s="263"/>
      <c r="N112" s="263"/>
      <c r="O112" s="261"/>
      <c r="P112" s="262"/>
      <c r="Q112" s="262"/>
      <c r="R112" s="262"/>
      <c r="S112" s="262"/>
      <c r="T112" s="262"/>
      <c r="U112" s="262"/>
      <c r="V112" s="262"/>
      <c r="W112" s="262"/>
      <c r="X112" s="262"/>
      <c r="Y112" s="262"/>
      <c r="Z112" s="262"/>
      <c r="AA112" s="262"/>
      <c r="AB112" s="262"/>
      <c r="AC112" s="262"/>
      <c r="AD112" s="262"/>
      <c r="AE112" s="99"/>
      <c r="AF112" s="98"/>
    </row>
    <row r="113" spans="2:32" ht="18" customHeight="1" x14ac:dyDescent="0.3">
      <c r="B113" s="98"/>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8"/>
    </row>
    <row r="114" spans="2:32" ht="18" customHeight="1" x14ac:dyDescent="0.3">
      <c r="B114" s="98"/>
      <c r="C114" s="244" t="s">
        <v>48</v>
      </c>
      <c r="D114" s="249" t="s">
        <v>251</v>
      </c>
      <c r="E114" s="263"/>
      <c r="F114" s="263"/>
      <c r="G114" s="263"/>
      <c r="H114" s="263"/>
      <c r="I114" s="263"/>
      <c r="J114" s="263"/>
      <c r="K114" s="263"/>
      <c r="L114" s="263"/>
      <c r="M114" s="263"/>
      <c r="N114" s="263"/>
      <c r="O114" s="263"/>
      <c r="P114" s="262"/>
      <c r="Q114" s="262"/>
      <c r="R114" s="262"/>
      <c r="S114" s="262"/>
      <c r="T114" s="262"/>
      <c r="U114" s="262"/>
      <c r="V114" s="262"/>
      <c r="W114" s="262"/>
      <c r="X114" s="262"/>
      <c r="Y114" s="262"/>
      <c r="Z114" s="262"/>
      <c r="AA114" s="262"/>
      <c r="AB114" s="262"/>
      <c r="AC114" s="262"/>
      <c r="AD114" s="262"/>
      <c r="AE114" s="99"/>
      <c r="AF114" s="98"/>
    </row>
    <row r="115" spans="2:32" ht="18" customHeight="1" x14ac:dyDescent="0.3">
      <c r="B115" s="98"/>
      <c r="C115" s="244" t="s">
        <v>49</v>
      </c>
      <c r="D115" s="249" t="s">
        <v>257</v>
      </c>
      <c r="E115" s="263"/>
      <c r="F115" s="263"/>
      <c r="G115" s="263"/>
      <c r="H115" s="263"/>
      <c r="I115" s="263"/>
      <c r="J115" s="263"/>
      <c r="K115" s="263"/>
      <c r="L115" s="263"/>
      <c r="M115" s="263"/>
      <c r="N115" s="263"/>
      <c r="O115" s="263"/>
      <c r="P115" s="262"/>
      <c r="Q115" s="262"/>
      <c r="R115" s="262"/>
      <c r="S115" s="262"/>
      <c r="T115" s="262"/>
      <c r="U115" s="262"/>
      <c r="V115" s="262"/>
      <c r="W115" s="262"/>
      <c r="X115" s="262"/>
      <c r="Y115" s="262"/>
      <c r="Z115" s="262"/>
      <c r="AA115" s="262"/>
      <c r="AB115" s="262"/>
      <c r="AC115" s="262"/>
      <c r="AD115" s="262"/>
      <c r="AE115" s="99"/>
      <c r="AF115" s="98"/>
    </row>
    <row r="116" spans="2:32" ht="18" customHeight="1" x14ac:dyDescent="0.3">
      <c r="B116" s="98"/>
      <c r="C116" s="244" t="s">
        <v>50</v>
      </c>
      <c r="D116" s="249" t="s">
        <v>253</v>
      </c>
      <c r="E116" s="263"/>
      <c r="F116" s="263"/>
      <c r="G116" s="263"/>
      <c r="H116" s="263"/>
      <c r="I116" s="263"/>
      <c r="J116" s="263"/>
      <c r="K116" s="263"/>
      <c r="L116" s="263"/>
      <c r="M116" s="263"/>
      <c r="N116" s="263"/>
      <c r="O116" s="263"/>
      <c r="P116" s="262"/>
      <c r="Q116" s="262"/>
      <c r="R116" s="262"/>
      <c r="S116" s="262"/>
      <c r="T116" s="262"/>
      <c r="U116" s="262"/>
      <c r="V116" s="262"/>
      <c r="W116" s="262"/>
      <c r="X116" s="262"/>
      <c r="Y116" s="262"/>
      <c r="Z116" s="262"/>
      <c r="AA116" s="262"/>
      <c r="AB116" s="262"/>
      <c r="AC116" s="262"/>
      <c r="AD116" s="262"/>
      <c r="AE116" s="99"/>
      <c r="AF116" s="98"/>
    </row>
    <row r="117" spans="2:32" ht="18" customHeight="1" x14ac:dyDescent="0.3">
      <c r="B117" s="98"/>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8"/>
    </row>
    <row r="118" spans="2:32" ht="18" customHeight="1" x14ac:dyDescent="0.3">
      <c r="B118" s="98"/>
      <c r="C118" s="173" t="s">
        <v>163</v>
      </c>
      <c r="D118" s="249" t="s">
        <v>283</v>
      </c>
      <c r="E118" s="249"/>
      <c r="F118" s="249"/>
      <c r="G118" s="249"/>
      <c r="H118" s="249"/>
      <c r="I118" s="249"/>
      <c r="J118" s="249"/>
      <c r="K118" s="249"/>
      <c r="L118" s="249"/>
      <c r="M118" s="249"/>
      <c r="N118" s="257"/>
      <c r="O118" s="257"/>
      <c r="P118" s="257"/>
      <c r="Q118" s="257"/>
      <c r="R118" s="257"/>
      <c r="S118" s="257"/>
      <c r="T118" s="257"/>
      <c r="U118" s="257"/>
      <c r="V118" s="256"/>
      <c r="W118" s="256"/>
      <c r="X118" s="256"/>
      <c r="Y118" s="256"/>
      <c r="Z118" s="256"/>
      <c r="AA118" s="256"/>
      <c r="AB118" s="256"/>
      <c r="AC118" s="256"/>
      <c r="AD118" s="256"/>
      <c r="AE118" s="99"/>
      <c r="AF118" s="98"/>
    </row>
    <row r="119" spans="2:32" ht="18" customHeight="1" x14ac:dyDescent="0.3">
      <c r="B119" s="98"/>
      <c r="C119" s="173" t="s">
        <v>165</v>
      </c>
      <c r="D119" s="249" t="s">
        <v>284</v>
      </c>
      <c r="E119" s="249"/>
      <c r="F119" s="249"/>
      <c r="G119" s="249"/>
      <c r="H119" s="249"/>
      <c r="I119" s="249"/>
      <c r="J119" s="249"/>
      <c r="K119" s="249"/>
      <c r="L119" s="249"/>
      <c r="M119" s="249"/>
      <c r="N119" s="256"/>
      <c r="O119" s="256"/>
      <c r="P119" s="256"/>
      <c r="Q119" s="256"/>
      <c r="R119" s="256"/>
      <c r="S119" s="256"/>
      <c r="T119" s="256"/>
      <c r="U119" s="256"/>
      <c r="V119" s="256"/>
      <c r="W119" s="256"/>
      <c r="X119" s="256"/>
      <c r="Y119" s="256"/>
      <c r="Z119" s="256"/>
      <c r="AA119" s="256"/>
      <c r="AB119" s="256"/>
      <c r="AC119" s="256"/>
      <c r="AD119" s="256"/>
      <c r="AE119" s="99"/>
      <c r="AF119" s="98"/>
    </row>
    <row r="120" spans="2:32" ht="18" customHeight="1" x14ac:dyDescent="0.3">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row>
    <row r="122" spans="2:32" ht="18" customHeight="1" x14ac:dyDescent="0.3">
      <c r="B122" s="105"/>
      <c r="C122" s="344" t="s">
        <v>88</v>
      </c>
      <c r="D122" s="344"/>
      <c r="E122" s="344"/>
      <c r="F122" s="105"/>
      <c r="G122" s="107"/>
      <c r="H122" s="107"/>
      <c r="I122" s="107"/>
      <c r="J122" s="98"/>
      <c r="K122" s="98"/>
      <c r="L122" s="98"/>
      <c r="M122" s="98"/>
      <c r="N122" s="98"/>
      <c r="O122" s="98"/>
      <c r="P122" s="98"/>
      <c r="Q122" s="98"/>
      <c r="R122" s="98"/>
      <c r="S122" s="98"/>
      <c r="T122" s="98"/>
      <c r="U122" s="98"/>
      <c r="V122" s="98"/>
      <c r="W122" s="98"/>
      <c r="X122" s="98"/>
      <c r="Y122" s="98"/>
      <c r="Z122" s="98"/>
      <c r="AA122" s="98"/>
      <c r="AB122" s="98"/>
      <c r="AC122" s="317" t="s">
        <v>307</v>
      </c>
      <c r="AD122" s="317"/>
      <c r="AE122" s="317"/>
      <c r="AF122" s="98"/>
    </row>
    <row r="123" spans="2:32" ht="18" customHeight="1" x14ac:dyDescent="0.3">
      <c r="B123" s="105"/>
      <c r="C123" s="344"/>
      <c r="D123" s="344"/>
      <c r="E123" s="344"/>
      <c r="F123" s="310" t="s">
        <v>209</v>
      </c>
      <c r="G123" s="310"/>
      <c r="H123" s="310"/>
      <c r="I123" s="310"/>
      <c r="J123" s="310"/>
      <c r="K123" s="98"/>
      <c r="L123" s="308" t="s">
        <v>40</v>
      </c>
      <c r="M123" s="308"/>
      <c r="N123" s="308"/>
      <c r="O123" s="308"/>
      <c r="P123" s="308"/>
      <c r="Q123" s="308"/>
      <c r="R123" s="308"/>
      <c r="S123" s="308"/>
      <c r="T123" s="308"/>
      <c r="U123" s="98"/>
      <c r="V123" s="308" t="s">
        <v>265</v>
      </c>
      <c r="W123" s="308"/>
      <c r="X123" s="308"/>
      <c r="Y123" s="308"/>
      <c r="Z123" s="308"/>
      <c r="AA123" s="308"/>
      <c r="AB123" s="308"/>
      <c r="AC123" s="308"/>
      <c r="AD123" s="308"/>
      <c r="AE123" s="308"/>
      <c r="AF123" s="98"/>
    </row>
    <row r="124" spans="2:32" ht="18" customHeight="1" x14ac:dyDescent="0.3">
      <c r="B124" s="98"/>
      <c r="C124" s="316" t="s">
        <v>235</v>
      </c>
      <c r="D124" s="319"/>
      <c r="E124" s="319"/>
      <c r="F124" s="319"/>
      <c r="G124" s="314" t="s">
        <v>236</v>
      </c>
      <c r="H124" s="346"/>
      <c r="I124" s="346"/>
      <c r="J124" s="346"/>
      <c r="K124" s="98"/>
      <c r="L124" s="309"/>
      <c r="M124" s="309"/>
      <c r="N124" s="309"/>
      <c r="O124" s="309"/>
      <c r="P124" s="309"/>
      <c r="Q124" s="309"/>
      <c r="R124" s="309"/>
      <c r="S124" s="309"/>
      <c r="T124" s="309"/>
      <c r="U124" s="98"/>
      <c r="V124" s="308"/>
      <c r="W124" s="308"/>
      <c r="X124" s="308"/>
      <c r="Y124" s="308"/>
      <c r="Z124" s="308"/>
      <c r="AA124" s="308"/>
      <c r="AB124" s="308"/>
      <c r="AC124" s="308"/>
      <c r="AD124" s="308"/>
      <c r="AE124" s="308"/>
      <c r="AF124" s="98"/>
    </row>
    <row r="125" spans="2:32" ht="18" customHeight="1" thickBot="1" x14ac:dyDescent="0.35">
      <c r="B125" s="98"/>
      <c r="C125" s="320"/>
      <c r="D125" s="320"/>
      <c r="E125" s="320"/>
      <c r="F125" s="320"/>
      <c r="G125" s="320"/>
      <c r="H125" s="320"/>
      <c r="I125" s="320"/>
      <c r="J125" s="320"/>
      <c r="K125" s="98"/>
      <c r="L125" s="73" t="s">
        <v>32</v>
      </c>
      <c r="M125" s="74" t="s">
        <v>33</v>
      </c>
      <c r="N125" s="76" t="s">
        <v>34</v>
      </c>
      <c r="O125" s="76" t="s">
        <v>38</v>
      </c>
      <c r="P125" s="74" t="s">
        <v>35</v>
      </c>
      <c r="Q125" s="75" t="s">
        <v>36</v>
      </c>
      <c r="R125" s="228" t="s">
        <v>37</v>
      </c>
      <c r="S125" s="73" t="s">
        <v>178</v>
      </c>
      <c r="T125" s="76" t="s">
        <v>13</v>
      </c>
      <c r="U125" s="98"/>
      <c r="V125" s="75" t="s">
        <v>298</v>
      </c>
      <c r="W125" s="73" t="s">
        <v>32</v>
      </c>
      <c r="X125" s="74" t="s">
        <v>33</v>
      </c>
      <c r="Y125" s="76" t="s">
        <v>34</v>
      </c>
      <c r="Z125" s="76" t="s">
        <v>38</v>
      </c>
      <c r="AA125" s="74" t="s">
        <v>35</v>
      </c>
      <c r="AB125" s="75" t="s">
        <v>36</v>
      </c>
      <c r="AC125" s="228" t="s">
        <v>37</v>
      </c>
      <c r="AD125" s="73" t="s">
        <v>178</v>
      </c>
      <c r="AE125" s="76" t="s">
        <v>13</v>
      </c>
      <c r="AF125" s="98"/>
    </row>
    <row r="126" spans="2:32" ht="18" customHeight="1" x14ac:dyDescent="0.3">
      <c r="B126" s="98"/>
      <c r="C126" s="157">
        <f ca="1">RANDBETWEEN(220,250)</f>
        <v>223</v>
      </c>
      <c r="D126" s="208" t="s">
        <v>0</v>
      </c>
      <c r="E126" s="16">
        <f ca="1">RANDBETWEEN(140,160)</f>
        <v>155</v>
      </c>
      <c r="F126" s="208" t="s">
        <v>1</v>
      </c>
      <c r="G126" s="3">
        <f ca="1">RANDBETWEEN(180,230)</f>
        <v>186</v>
      </c>
      <c r="H126" s="3" t="s">
        <v>2</v>
      </c>
      <c r="I126" s="83" t="s">
        <v>31</v>
      </c>
      <c r="J126" s="208">
        <f ca="1">RANDBETWEEN(1000,1130)</f>
        <v>1061</v>
      </c>
      <c r="K126" s="104"/>
      <c r="L126" s="77" t="s">
        <v>35</v>
      </c>
      <c r="M126" s="160">
        <f ca="1">C126</f>
        <v>223</v>
      </c>
      <c r="N126" s="150">
        <f ca="1">E126</f>
        <v>155</v>
      </c>
      <c r="O126" s="88">
        <f ca="1">G126</f>
        <v>186</v>
      </c>
      <c r="P126" s="116">
        <v>1</v>
      </c>
      <c r="Q126" s="110">
        <v>0</v>
      </c>
      <c r="R126" s="229">
        <v>0</v>
      </c>
      <c r="S126" s="134">
        <v>0</v>
      </c>
      <c r="T126" s="86">
        <f ca="1">J126</f>
        <v>1061</v>
      </c>
      <c r="U126" s="104"/>
      <c r="V126" s="150">
        <f ca="1">G129</f>
        <v>330</v>
      </c>
      <c r="W126" s="114" t="s">
        <v>55</v>
      </c>
      <c r="X126" s="160" t="s">
        <v>205</v>
      </c>
      <c r="Y126" s="110">
        <v>0</v>
      </c>
      <c r="Z126" s="134">
        <v>1</v>
      </c>
      <c r="AA126" s="160" t="s">
        <v>205</v>
      </c>
      <c r="AB126" s="150" t="s">
        <v>205</v>
      </c>
      <c r="AC126" s="229">
        <v>0</v>
      </c>
      <c r="AD126" s="153" t="s">
        <v>205</v>
      </c>
      <c r="AE126" s="232">
        <f ca="1">ROUND((J126-((J127/E127)*E126))/(G126-((G127/E127)*E126)),2)</f>
        <v>2.21</v>
      </c>
      <c r="AF126" s="98"/>
    </row>
    <row r="127" spans="2:32" ht="18" customHeight="1" x14ac:dyDescent="0.3">
      <c r="B127" s="98"/>
      <c r="C127" s="158">
        <f ca="1">RANDBETWEEN(60,65)</f>
        <v>62</v>
      </c>
      <c r="D127" s="169" t="s">
        <v>0</v>
      </c>
      <c r="E127" s="159">
        <f ca="1">RANDBETWEEN(72,74)</f>
        <v>73</v>
      </c>
      <c r="F127" s="169" t="s">
        <v>1</v>
      </c>
      <c r="G127" s="209">
        <f ca="1">RANDBETWEEN(64,66)</f>
        <v>66</v>
      </c>
      <c r="H127" s="209" t="s">
        <v>2</v>
      </c>
      <c r="I127" s="84" t="s">
        <v>179</v>
      </c>
      <c r="J127" s="169">
        <f ca="1">RANDBETWEEN(430,460)</f>
        <v>452</v>
      </c>
      <c r="K127" s="104"/>
      <c r="L127" s="171" t="s">
        <v>178</v>
      </c>
      <c r="M127" s="176">
        <f ca="1">C127</f>
        <v>62</v>
      </c>
      <c r="N127" s="90">
        <f ca="1">E127</f>
        <v>73</v>
      </c>
      <c r="O127" s="91">
        <f ca="1">G127</f>
        <v>66</v>
      </c>
      <c r="P127" s="129">
        <v>0</v>
      </c>
      <c r="Q127" s="111">
        <v>-1</v>
      </c>
      <c r="R127" s="230">
        <v>0</v>
      </c>
      <c r="S127" s="132">
        <v>1</v>
      </c>
      <c r="T127" s="89">
        <f ca="1">J127</f>
        <v>452</v>
      </c>
      <c r="U127" s="104"/>
      <c r="V127" s="149">
        <f ca="1">E129</f>
        <v>390</v>
      </c>
      <c r="W127" s="175" t="s">
        <v>225</v>
      </c>
      <c r="X127" s="176" t="s">
        <v>205</v>
      </c>
      <c r="Y127" s="111">
        <v>1</v>
      </c>
      <c r="Z127" s="132">
        <v>0</v>
      </c>
      <c r="AA127" s="176" t="s">
        <v>205</v>
      </c>
      <c r="AB127" s="149" t="s">
        <v>205</v>
      </c>
      <c r="AC127" s="230">
        <v>0</v>
      </c>
      <c r="AD127" s="154" t="s">
        <v>205</v>
      </c>
      <c r="AE127" s="233">
        <f ca="1">ROUND(((J127/E127)-(((J126-((J127/E127)*E126))/(G126-((G127/E127)*E126)))*(G127/E127))),2)</f>
        <v>4.2</v>
      </c>
      <c r="AF127" s="98"/>
    </row>
    <row r="128" spans="2:32" ht="18" customHeight="1" thickBot="1" x14ac:dyDescent="0.35">
      <c r="B128" s="98"/>
      <c r="C128" s="158">
        <f ca="1">RANDBETWEEN(1,2)</f>
        <v>1</v>
      </c>
      <c r="D128" s="169" t="s">
        <v>0</v>
      </c>
      <c r="E128" s="156">
        <v>0</v>
      </c>
      <c r="F128" s="169" t="s">
        <v>1</v>
      </c>
      <c r="G128" s="209">
        <f ca="1">RANDBETWEEN(2,4)</f>
        <v>3</v>
      </c>
      <c r="H128" s="209" t="s">
        <v>2</v>
      </c>
      <c r="I128" s="84" t="s">
        <v>31</v>
      </c>
      <c r="J128" s="169">
        <f ca="1">RANDBETWEEN(20,25)</f>
        <v>20</v>
      </c>
      <c r="K128" s="104"/>
      <c r="L128" s="73" t="s">
        <v>37</v>
      </c>
      <c r="M128" s="161">
        <f ca="1">C128</f>
        <v>1</v>
      </c>
      <c r="N128" s="131">
        <f>E128</f>
        <v>0</v>
      </c>
      <c r="O128" s="94">
        <f ca="1">G128</f>
        <v>3</v>
      </c>
      <c r="P128" s="130">
        <v>0</v>
      </c>
      <c r="Q128" s="131">
        <v>0</v>
      </c>
      <c r="R128" s="231">
        <v>1</v>
      </c>
      <c r="S128" s="133">
        <v>0</v>
      </c>
      <c r="T128" s="92">
        <f ca="1">J128</f>
        <v>20</v>
      </c>
      <c r="U128" s="104"/>
      <c r="V128" s="174">
        <v>0</v>
      </c>
      <c r="W128" s="113" t="s">
        <v>89</v>
      </c>
      <c r="X128" s="161" t="s">
        <v>205</v>
      </c>
      <c r="Y128" s="131">
        <v>0</v>
      </c>
      <c r="Z128" s="133">
        <v>0</v>
      </c>
      <c r="AA128" s="161" t="s">
        <v>205</v>
      </c>
      <c r="AB128" s="151" t="s">
        <v>205</v>
      </c>
      <c r="AC128" s="231">
        <v>1</v>
      </c>
      <c r="AD128" s="155" t="s">
        <v>205</v>
      </c>
      <c r="AE128" s="234">
        <f ca="1">ROUND((J128-(((J126-((J127/E127)*E126))/(G126-((G127/E127)*E126)))*G128)),2)</f>
        <v>13.38</v>
      </c>
      <c r="AF128" s="98"/>
    </row>
    <row r="129" spans="2:32" ht="18" customHeight="1" thickTop="1" x14ac:dyDescent="0.3">
      <c r="B129" s="98"/>
      <c r="C129" s="80">
        <f ca="1">RANDBETWEEN(330,379)</f>
        <v>367</v>
      </c>
      <c r="D129" s="81" t="s">
        <v>0</v>
      </c>
      <c r="E129" s="178">
        <f ca="1">RANDBETWEEN(380,390)</f>
        <v>390</v>
      </c>
      <c r="F129" s="81" t="s">
        <v>1</v>
      </c>
      <c r="G129" s="82">
        <f ca="1">RANDBETWEEN(320,330)</f>
        <v>330</v>
      </c>
      <c r="H129" s="82" t="s">
        <v>2</v>
      </c>
      <c r="I129" s="85" t="s">
        <v>6</v>
      </c>
      <c r="J129" s="81" t="s">
        <v>180</v>
      </c>
      <c r="K129" s="104"/>
      <c r="L129" s="78" t="s">
        <v>8</v>
      </c>
      <c r="M129" s="95">
        <f ca="1">(C127*1000)-C129</f>
        <v>61633</v>
      </c>
      <c r="N129" s="238">
        <f ca="1">(E127*1000)-E129</f>
        <v>72610</v>
      </c>
      <c r="O129" s="97">
        <f ca="1">(G127*1000)-G129</f>
        <v>65670</v>
      </c>
      <c r="P129" s="116">
        <v>0</v>
      </c>
      <c r="Q129" s="110">
        <v>-1000</v>
      </c>
      <c r="R129" s="229">
        <v>0</v>
      </c>
      <c r="S129" s="235">
        <v>0</v>
      </c>
      <c r="T129" s="236">
        <f ca="1">J127*1000</f>
        <v>452000</v>
      </c>
      <c r="U129" s="104"/>
      <c r="V129" s="311" t="s">
        <v>8</v>
      </c>
      <c r="W129" s="312"/>
      <c r="X129" s="273">
        <f ca="1">ROUND((G129*((C126-((C127/E127)*E126))/(G126-((G127/E127)*E126)))+E129*((C127/E127)-(((C126-((C127/E127)*E126))/(G126-((G127/E127)*E126)))*(G127/E127))))-C129,2)</f>
        <v>-80.790000000000006</v>
      </c>
      <c r="Y129" s="138">
        <v>0</v>
      </c>
      <c r="Z129" s="152">
        <v>0</v>
      </c>
      <c r="AA129" s="160">
        <f ca="1">ROUND(G129*(1/(G126-((G127/E127)*E126)))+E129*(0-((1/(G126-((G127/E127)*E126)))*(G127/E127))),2)</f>
        <v>-0.49</v>
      </c>
      <c r="AB129" s="150">
        <f ca="1">ROUND(G129*((0-(((-1)/E127)*E126))/(G126-((G127/E127)*E126)))+E129*(((-1)/E127)-(((0-(((-1)/E127)*E126))/(G126-((G127/E127)*E126)))*(G127/E127))),2)</f>
        <v>-6.39</v>
      </c>
      <c r="AC129" s="229">
        <v>0</v>
      </c>
      <c r="AD129" s="272">
        <f ca="1">ROUND((G129*((0-((1/E127)*E126))/(G126-((G127/E127)*E126)))+E129*((1/E127)-(((0-((1/E127)*E126))/(G126-((G127/E127)*E126)))*(G127/E127))))-1000,2)</f>
        <v>-993.61</v>
      </c>
      <c r="AE129" s="79">
        <f ca="1">ROUND(G129*((J126-((J127/E127)*E126))/(G126-((G127/E127)*E126)))+E129*((J127/E127)-(((J126-((J127/E127)*E126))/(G126-((G127/E127)*E126)))*(G127/E127))),2)</f>
        <v>2364.88</v>
      </c>
      <c r="AF129" s="98"/>
    </row>
    <row r="130" spans="2:32" ht="18" customHeight="1" x14ac:dyDescent="0.3">
      <c r="B130" s="117"/>
      <c r="C130" s="345" t="s">
        <v>187</v>
      </c>
      <c r="D130" s="345"/>
      <c r="E130" s="345"/>
      <c r="F130" s="117"/>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98"/>
    </row>
    <row r="131" spans="2:32" ht="18" customHeight="1" thickBot="1" x14ac:dyDescent="0.35">
      <c r="B131" s="117"/>
      <c r="C131" s="343"/>
      <c r="D131" s="343"/>
      <c r="E131" s="343"/>
      <c r="F131" s="99"/>
      <c r="G131" s="99"/>
      <c r="H131" s="109"/>
      <c r="I131" s="109"/>
      <c r="J131" s="99"/>
      <c r="K131" s="98"/>
      <c r="L131" s="122"/>
      <c r="M131" s="118" t="s">
        <v>45</v>
      </c>
      <c r="N131" s="119" t="s">
        <v>44</v>
      </c>
      <c r="O131" s="104"/>
      <c r="P131" s="122"/>
      <c r="Q131" s="118" t="s">
        <v>45</v>
      </c>
      <c r="R131" s="119" t="s">
        <v>44</v>
      </c>
      <c r="S131" s="104"/>
      <c r="T131" s="122"/>
      <c r="U131" s="118" t="s">
        <v>45</v>
      </c>
      <c r="V131" s="119" t="s">
        <v>44</v>
      </c>
      <c r="W131" s="98"/>
      <c r="X131" s="122"/>
      <c r="Y131" s="118" t="s">
        <v>45</v>
      </c>
      <c r="Z131" s="119" t="s">
        <v>44</v>
      </c>
      <c r="AA131" s="98"/>
      <c r="AB131" s="122"/>
      <c r="AC131" s="118" t="s">
        <v>45</v>
      </c>
      <c r="AD131" s="119" t="s">
        <v>44</v>
      </c>
      <c r="AE131" s="98"/>
      <c r="AF131" s="98"/>
    </row>
    <row r="132" spans="2:32" ht="18" customHeight="1" x14ac:dyDescent="0.3">
      <c r="B132" s="98"/>
      <c r="C132" s="210"/>
      <c r="D132" s="210"/>
      <c r="E132" s="210"/>
      <c r="F132" s="99"/>
      <c r="G132" s="99"/>
      <c r="H132" s="109"/>
      <c r="I132" s="108"/>
      <c r="J132" s="99"/>
      <c r="K132" s="98"/>
      <c r="L132" s="121" t="s">
        <v>90</v>
      </c>
      <c r="M132" s="162">
        <v>220</v>
      </c>
      <c r="N132" s="163">
        <v>250</v>
      </c>
      <c r="O132" s="106"/>
      <c r="P132" s="121" t="s">
        <v>93</v>
      </c>
      <c r="Q132" s="162">
        <v>60</v>
      </c>
      <c r="R132" s="163">
        <v>65</v>
      </c>
      <c r="S132" s="104"/>
      <c r="T132" s="121" t="s">
        <v>96</v>
      </c>
      <c r="U132" s="162">
        <v>1</v>
      </c>
      <c r="V132" s="163">
        <v>2</v>
      </c>
      <c r="W132" s="98"/>
      <c r="X132" s="121" t="s">
        <v>99</v>
      </c>
      <c r="Y132" s="124">
        <v>1000</v>
      </c>
      <c r="Z132" s="125">
        <v>1130</v>
      </c>
      <c r="AA132" s="98"/>
      <c r="AB132" s="121" t="s">
        <v>102</v>
      </c>
      <c r="AC132" s="124">
        <v>330</v>
      </c>
      <c r="AD132" s="125">
        <v>379</v>
      </c>
      <c r="AE132" s="98"/>
      <c r="AF132" s="98"/>
    </row>
    <row r="133" spans="2:32" ht="18" customHeight="1" x14ac:dyDescent="0.3">
      <c r="B133" s="98"/>
      <c r="C133" s="210" t="s">
        <v>51</v>
      </c>
      <c r="D133" s="210"/>
      <c r="E133" s="210"/>
      <c r="F133" s="148">
        <f>(N133-M133+1)*(N134-M134+1)*(R133-Q133+1)*(R134-Q134+1)*(V133-U133+1)*(V134-U134+1)*(Z132-Y132+1)*(Z133-Y133+1)*(Z134-Y134+1)*(AD132-AC132+1)*(AD133-AC133+1)*(AD134-AC134+1)*(V132-U132+1)*(R132-Q132+1)*(N132-M132+1)</f>
        <v>1585753904473200</v>
      </c>
      <c r="G133" s="99"/>
      <c r="H133" s="109"/>
      <c r="I133" s="108"/>
      <c r="J133" s="99"/>
      <c r="K133" s="98"/>
      <c r="L133" s="120" t="s">
        <v>91</v>
      </c>
      <c r="M133" s="162">
        <v>140</v>
      </c>
      <c r="N133" s="163">
        <v>160</v>
      </c>
      <c r="O133" s="106"/>
      <c r="P133" s="109" t="s">
        <v>94</v>
      </c>
      <c r="Q133" s="124">
        <v>72</v>
      </c>
      <c r="R133" s="125">
        <v>74</v>
      </c>
      <c r="S133" s="104"/>
      <c r="T133" s="109" t="s">
        <v>97</v>
      </c>
      <c r="U133" s="140">
        <v>0</v>
      </c>
      <c r="V133" s="141">
        <v>0</v>
      </c>
      <c r="W133" s="98"/>
      <c r="X133" s="109" t="s">
        <v>100</v>
      </c>
      <c r="Y133" s="124">
        <v>430</v>
      </c>
      <c r="Z133" s="125">
        <v>460</v>
      </c>
      <c r="AA133" s="98"/>
      <c r="AB133" s="109" t="s">
        <v>103</v>
      </c>
      <c r="AC133" s="162">
        <v>380</v>
      </c>
      <c r="AD133" s="163">
        <v>390</v>
      </c>
      <c r="AE133" s="98"/>
      <c r="AF133" s="98"/>
    </row>
    <row r="134" spans="2:32" ht="18" customHeight="1" x14ac:dyDescent="0.3">
      <c r="B134" s="98"/>
      <c r="C134" s="259" t="s">
        <v>181</v>
      </c>
      <c r="D134" s="210"/>
      <c r="E134" s="210"/>
      <c r="F134" s="99"/>
      <c r="G134" s="99"/>
      <c r="H134" s="109"/>
      <c r="I134" s="108"/>
      <c r="J134" s="99"/>
      <c r="K134" s="98"/>
      <c r="L134" s="120" t="s">
        <v>92</v>
      </c>
      <c r="M134" s="124">
        <v>180</v>
      </c>
      <c r="N134" s="125">
        <v>230</v>
      </c>
      <c r="O134" s="106"/>
      <c r="P134" s="109" t="s">
        <v>95</v>
      </c>
      <c r="Q134" s="124">
        <v>64</v>
      </c>
      <c r="R134" s="125">
        <v>66</v>
      </c>
      <c r="S134" s="104"/>
      <c r="T134" s="109" t="s">
        <v>98</v>
      </c>
      <c r="U134" s="124">
        <v>2</v>
      </c>
      <c r="V134" s="125">
        <v>4</v>
      </c>
      <c r="W134" s="98"/>
      <c r="X134" s="109" t="s">
        <v>101</v>
      </c>
      <c r="Y134" s="124">
        <v>20</v>
      </c>
      <c r="Z134" s="125">
        <v>25</v>
      </c>
      <c r="AA134" s="98"/>
      <c r="AB134" s="109" t="s">
        <v>104</v>
      </c>
      <c r="AC134" s="124">
        <v>320</v>
      </c>
      <c r="AD134" s="125">
        <v>330</v>
      </c>
      <c r="AE134" s="98"/>
      <c r="AF134" s="98"/>
    </row>
    <row r="135" spans="2:32" ht="18" customHeight="1" x14ac:dyDescent="0.3">
      <c r="B135" s="117"/>
      <c r="C135" s="343" t="s">
        <v>46</v>
      </c>
      <c r="D135" s="343"/>
      <c r="E135" s="343"/>
      <c r="F135" s="117"/>
      <c r="G135" s="117"/>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98"/>
    </row>
    <row r="136" spans="2:32" ht="18" customHeight="1" x14ac:dyDescent="0.3">
      <c r="B136" s="117"/>
      <c r="C136" s="343"/>
      <c r="D136" s="343"/>
      <c r="E136" s="343"/>
      <c r="F136" s="108"/>
      <c r="G136" s="108"/>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98"/>
    </row>
    <row r="137" spans="2:32" ht="18" customHeight="1" x14ac:dyDescent="0.3">
      <c r="B137" s="104"/>
      <c r="C137" s="109" t="s">
        <v>52</v>
      </c>
      <c r="D137" s="250" t="s">
        <v>237</v>
      </c>
      <c r="E137" s="227"/>
      <c r="F137" s="227"/>
      <c r="G137" s="227"/>
      <c r="H137" s="227"/>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09"/>
      <c r="AF137" s="98"/>
    </row>
    <row r="138" spans="2:32" ht="18" customHeight="1" x14ac:dyDescent="0.3">
      <c r="B138" s="104"/>
      <c r="C138" s="109" t="s">
        <v>53</v>
      </c>
      <c r="D138" s="250">
        <v>0</v>
      </c>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125"/>
      <c r="AD138" s="125"/>
      <c r="AE138" s="109"/>
      <c r="AF138" s="98"/>
    </row>
    <row r="139" spans="2:32" ht="18" customHeight="1" x14ac:dyDescent="0.3">
      <c r="B139" s="104"/>
      <c r="C139" s="109" t="s">
        <v>54</v>
      </c>
      <c r="D139" s="250">
        <v>0</v>
      </c>
      <c r="E139" s="227"/>
      <c r="F139" s="227"/>
      <c r="G139" s="227"/>
      <c r="H139" s="227"/>
      <c r="I139" s="227"/>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09"/>
      <c r="AF139" s="98"/>
    </row>
    <row r="140" spans="2:32" ht="18" customHeight="1" x14ac:dyDescent="0.3">
      <c r="B140" s="104"/>
      <c r="C140" s="109" t="s">
        <v>218</v>
      </c>
      <c r="D140" s="250" t="s">
        <v>238</v>
      </c>
      <c r="E140" s="227"/>
      <c r="F140" s="227"/>
      <c r="G140" s="227"/>
      <c r="H140" s="227"/>
      <c r="I140" s="227"/>
      <c r="J140" s="227"/>
      <c r="K140" s="227"/>
      <c r="L140" s="227"/>
      <c r="M140" s="227"/>
      <c r="N140" s="227"/>
      <c r="O140" s="227"/>
      <c r="P140" s="227"/>
      <c r="Q140" s="227"/>
      <c r="R140" s="227"/>
      <c r="S140" s="227"/>
      <c r="T140" s="227"/>
      <c r="U140" s="227"/>
      <c r="V140" s="227"/>
      <c r="W140" s="125"/>
      <c r="X140" s="125"/>
      <c r="Y140" s="125"/>
      <c r="Z140" s="125"/>
      <c r="AA140" s="125"/>
      <c r="AB140" s="125"/>
      <c r="AC140" s="125"/>
      <c r="AD140" s="125"/>
      <c r="AE140" s="109"/>
      <c r="AF140" s="98"/>
    </row>
    <row r="141" spans="2:32" ht="18" customHeight="1" x14ac:dyDescent="0.3">
      <c r="B141" s="104"/>
      <c r="C141" s="109" t="s">
        <v>219</v>
      </c>
      <c r="D141" s="250" t="s">
        <v>302</v>
      </c>
      <c r="E141" s="227"/>
      <c r="F141" s="227"/>
      <c r="G141" s="227"/>
      <c r="H141" s="227"/>
      <c r="I141" s="227"/>
      <c r="J141" s="227"/>
      <c r="K141" s="227"/>
      <c r="L141" s="227"/>
      <c r="M141" s="227"/>
      <c r="N141" s="227"/>
      <c r="O141" s="227"/>
      <c r="P141" s="227"/>
      <c r="Q141" s="227"/>
      <c r="R141" s="227"/>
      <c r="S141" s="227"/>
      <c r="T141" s="250"/>
      <c r="U141" s="250"/>
      <c r="V141" s="250"/>
      <c r="W141" s="250"/>
      <c r="X141" s="250"/>
      <c r="Y141" s="250"/>
      <c r="Z141" s="250"/>
      <c r="AA141" s="250"/>
      <c r="AB141" s="250"/>
      <c r="AC141" s="125"/>
      <c r="AD141" s="125"/>
      <c r="AE141" s="109"/>
      <c r="AF141" s="98"/>
    </row>
    <row r="142" spans="2:32" ht="18" customHeight="1" x14ac:dyDescent="0.3">
      <c r="B142" s="104"/>
      <c r="C142" s="109" t="s">
        <v>220</v>
      </c>
      <c r="D142" s="250">
        <v>0</v>
      </c>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125"/>
      <c r="AA142" s="125"/>
      <c r="AB142" s="256"/>
      <c r="AC142" s="256"/>
      <c r="AD142" s="256"/>
      <c r="AE142" s="99"/>
      <c r="AF142" s="98"/>
    </row>
    <row r="143" spans="2:32" ht="18" customHeight="1" x14ac:dyDescent="0.3">
      <c r="B143" s="104"/>
      <c r="C143" s="109" t="s">
        <v>221</v>
      </c>
      <c r="D143" s="250" t="s">
        <v>240</v>
      </c>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125"/>
      <c r="AA143" s="125"/>
      <c r="AB143" s="256"/>
      <c r="AC143" s="256"/>
      <c r="AD143" s="256"/>
      <c r="AE143" s="99"/>
      <c r="AF143" s="98"/>
    </row>
    <row r="144" spans="2:32" ht="18" customHeight="1" x14ac:dyDescent="0.3">
      <c r="B144" s="104"/>
      <c r="C144" s="109" t="s">
        <v>8</v>
      </c>
      <c r="D144" s="227" t="s">
        <v>241</v>
      </c>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56"/>
      <c r="AC144" s="256"/>
      <c r="AD144" s="256"/>
      <c r="AE144" s="99"/>
      <c r="AF144" s="98"/>
    </row>
    <row r="145" spans="2:32" ht="18" customHeight="1" x14ac:dyDescent="0.3">
      <c r="B145" s="104"/>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8"/>
    </row>
    <row r="146" spans="2:32" ht="18" customHeight="1" x14ac:dyDescent="0.3">
      <c r="B146" s="104"/>
      <c r="C146" s="244" t="s">
        <v>48</v>
      </c>
      <c r="D146" s="250" t="s">
        <v>258</v>
      </c>
      <c r="E146" s="227"/>
      <c r="F146" s="227"/>
      <c r="G146" s="227"/>
      <c r="H146" s="227"/>
      <c r="I146" s="227"/>
      <c r="J146" s="227"/>
      <c r="K146" s="227"/>
      <c r="L146" s="227"/>
      <c r="M146" s="227"/>
      <c r="N146" s="227"/>
      <c r="O146" s="227"/>
      <c r="P146" s="227"/>
      <c r="Q146" s="227"/>
      <c r="R146" s="227"/>
      <c r="S146" s="227"/>
      <c r="T146" s="227"/>
      <c r="U146" s="227"/>
      <c r="V146" s="227"/>
      <c r="W146" s="256"/>
      <c r="X146" s="256"/>
      <c r="Y146" s="256"/>
      <c r="Z146" s="256"/>
      <c r="AA146" s="256"/>
      <c r="AB146" s="256"/>
      <c r="AC146" s="256"/>
      <c r="AD146" s="256"/>
      <c r="AE146" s="99"/>
      <c r="AF146" s="98"/>
    </row>
    <row r="147" spans="2:32" ht="18" customHeight="1" x14ac:dyDescent="0.3">
      <c r="B147" s="104"/>
      <c r="C147" s="244" t="s">
        <v>49</v>
      </c>
      <c r="D147" s="250" t="s">
        <v>259</v>
      </c>
      <c r="E147" s="227"/>
      <c r="F147" s="227"/>
      <c r="G147" s="227"/>
      <c r="H147" s="227"/>
      <c r="I147" s="227"/>
      <c r="J147" s="227"/>
      <c r="K147" s="227"/>
      <c r="L147" s="227"/>
      <c r="M147" s="227"/>
      <c r="N147" s="256"/>
      <c r="O147" s="256"/>
      <c r="P147" s="227"/>
      <c r="Q147" s="227"/>
      <c r="R147" s="256"/>
      <c r="S147" s="256"/>
      <c r="T147" s="256"/>
      <c r="U147" s="256"/>
      <c r="V147" s="256"/>
      <c r="W147" s="256"/>
      <c r="X147" s="256"/>
      <c r="Y147" s="256"/>
      <c r="Z147" s="256"/>
      <c r="AA147" s="256"/>
      <c r="AB147" s="256"/>
      <c r="AC147" s="256"/>
      <c r="AD147" s="256"/>
      <c r="AE147" s="99"/>
      <c r="AF147" s="98"/>
    </row>
    <row r="148" spans="2:32" ht="18" customHeight="1" x14ac:dyDescent="0.3">
      <c r="B148" s="104"/>
      <c r="C148" s="244" t="s">
        <v>50</v>
      </c>
      <c r="D148" s="250" t="s">
        <v>260</v>
      </c>
      <c r="E148" s="227"/>
      <c r="F148" s="227"/>
      <c r="G148" s="227"/>
      <c r="H148" s="227"/>
      <c r="I148" s="227"/>
      <c r="J148" s="227"/>
      <c r="K148" s="227"/>
      <c r="L148" s="227"/>
      <c r="M148" s="227"/>
      <c r="N148" s="227"/>
      <c r="O148" s="227"/>
      <c r="P148" s="227"/>
      <c r="Q148" s="227"/>
      <c r="R148" s="227"/>
      <c r="S148" s="227"/>
      <c r="T148" s="227"/>
      <c r="U148" s="256"/>
      <c r="V148" s="256"/>
      <c r="W148" s="256"/>
      <c r="X148" s="256"/>
      <c r="Y148" s="256"/>
      <c r="Z148" s="256"/>
      <c r="AA148" s="256"/>
      <c r="AB148" s="256"/>
      <c r="AC148" s="256"/>
      <c r="AD148" s="256"/>
      <c r="AE148" s="99"/>
      <c r="AF148" s="98"/>
    </row>
    <row r="149" spans="2:32" ht="18" customHeight="1" x14ac:dyDescent="0.3">
      <c r="B149" s="104"/>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99"/>
      <c r="AF149" s="98"/>
    </row>
    <row r="150" spans="2:32" ht="18" customHeight="1" x14ac:dyDescent="0.3">
      <c r="B150" s="104"/>
      <c r="C150" s="173" t="s">
        <v>166</v>
      </c>
      <c r="D150" s="250" t="s">
        <v>94</v>
      </c>
      <c r="E150" s="227"/>
      <c r="F150" s="227"/>
      <c r="G150" s="227"/>
      <c r="H150" s="227"/>
      <c r="I150" s="227"/>
      <c r="J150" s="227"/>
      <c r="K150" s="227"/>
      <c r="L150" s="227"/>
      <c r="M150" s="227"/>
      <c r="N150" s="227"/>
      <c r="O150" s="227"/>
      <c r="P150" s="227"/>
      <c r="Q150" s="227"/>
      <c r="R150" s="227"/>
      <c r="S150" s="227"/>
      <c r="T150" s="227"/>
      <c r="U150" s="227"/>
      <c r="V150" s="256"/>
      <c r="W150" s="256"/>
      <c r="X150" s="256"/>
      <c r="Y150" s="256"/>
      <c r="Z150" s="256"/>
      <c r="AA150" s="256"/>
      <c r="AB150" s="256"/>
      <c r="AC150" s="256"/>
      <c r="AD150" s="256"/>
      <c r="AE150" s="99"/>
      <c r="AF150" s="98"/>
    </row>
    <row r="151" spans="2:32" ht="18" customHeight="1" x14ac:dyDescent="0.3">
      <c r="B151" s="104"/>
      <c r="C151" s="173" t="s">
        <v>167</v>
      </c>
      <c r="D151" s="250" t="s">
        <v>239</v>
      </c>
      <c r="E151" s="227"/>
      <c r="F151" s="227"/>
      <c r="G151" s="227"/>
      <c r="H151" s="227"/>
      <c r="I151" s="227"/>
      <c r="J151" s="227"/>
      <c r="K151" s="250"/>
      <c r="L151" s="250"/>
      <c r="M151" s="250"/>
      <c r="N151" s="250"/>
      <c r="O151" s="250"/>
      <c r="P151" s="250"/>
      <c r="Q151" s="227"/>
      <c r="R151" s="256"/>
      <c r="S151" s="256"/>
      <c r="T151" s="256"/>
      <c r="U151" s="256"/>
      <c r="V151" s="256"/>
      <c r="W151" s="256"/>
      <c r="X151" s="256"/>
      <c r="Y151" s="256"/>
      <c r="Z151" s="256"/>
      <c r="AA151" s="256"/>
      <c r="AB151" s="256"/>
      <c r="AC151" s="256"/>
      <c r="AD151" s="256"/>
      <c r="AE151" s="99"/>
      <c r="AF151" s="98"/>
    </row>
    <row r="152" spans="2:32" ht="18" customHeight="1" x14ac:dyDescent="0.3">
      <c r="B152" s="117"/>
      <c r="C152" s="343" t="s">
        <v>188</v>
      </c>
      <c r="D152" s="343"/>
      <c r="E152" s="343"/>
      <c r="F152" s="117"/>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row>
    <row r="153" spans="2:32" ht="18" customHeight="1" x14ac:dyDescent="0.3">
      <c r="B153" s="117"/>
      <c r="C153" s="343"/>
      <c r="D153" s="343"/>
      <c r="E153" s="343"/>
      <c r="F153" s="108"/>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8"/>
    </row>
    <row r="154" spans="2:32" ht="18" customHeight="1" x14ac:dyDescent="0.3">
      <c r="B154" s="98"/>
      <c r="C154" s="109" t="s">
        <v>52</v>
      </c>
      <c r="D154" s="249" t="s">
        <v>321</v>
      </c>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1"/>
      <c r="AC154" s="262"/>
      <c r="AD154" s="262"/>
      <c r="AE154" s="99"/>
      <c r="AF154" s="98"/>
    </row>
    <row r="155" spans="2:32" ht="18" customHeight="1" x14ac:dyDescent="0.3">
      <c r="B155" s="98"/>
      <c r="C155" s="109" t="s">
        <v>53</v>
      </c>
      <c r="D155" s="249" t="s">
        <v>322</v>
      </c>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1"/>
      <c r="AC155" s="262"/>
      <c r="AD155" s="262"/>
      <c r="AE155" s="99"/>
      <c r="AF155" s="98"/>
    </row>
    <row r="156" spans="2:32" ht="18" customHeight="1" x14ac:dyDescent="0.3">
      <c r="B156" s="98"/>
      <c r="C156" s="109" t="s">
        <v>54</v>
      </c>
      <c r="D156" s="249" t="s">
        <v>322</v>
      </c>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1"/>
      <c r="AC156" s="262"/>
      <c r="AD156" s="262"/>
      <c r="AE156" s="99"/>
      <c r="AF156" s="98"/>
    </row>
    <row r="157" spans="2:32" ht="18" customHeight="1" x14ac:dyDescent="0.3">
      <c r="B157" s="98"/>
      <c r="C157" s="109" t="s">
        <v>291</v>
      </c>
      <c r="D157" s="249" t="s">
        <v>323</v>
      </c>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99"/>
      <c r="AF157" s="98"/>
    </row>
    <row r="158" spans="2:32" ht="18" customHeight="1" x14ac:dyDescent="0.3">
      <c r="B158" s="98"/>
      <c r="C158" s="109" t="s">
        <v>290</v>
      </c>
      <c r="D158" s="249" t="s">
        <v>324</v>
      </c>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99"/>
      <c r="AF158" s="98"/>
    </row>
    <row r="159" spans="2:32" ht="18" customHeight="1" x14ac:dyDescent="0.3">
      <c r="B159" s="98"/>
      <c r="C159" s="109" t="s">
        <v>293</v>
      </c>
      <c r="D159" s="249" t="s">
        <v>325</v>
      </c>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99"/>
      <c r="AF159" s="98"/>
    </row>
    <row r="160" spans="2:32" ht="18" customHeight="1" x14ac:dyDescent="0.3">
      <c r="B160" s="98"/>
      <c r="C160" s="109" t="s">
        <v>292</v>
      </c>
      <c r="D160" s="249" t="s">
        <v>326</v>
      </c>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99"/>
      <c r="AF160" s="98"/>
    </row>
    <row r="161" spans="2:32" ht="18" customHeight="1" x14ac:dyDescent="0.3">
      <c r="B161" s="98"/>
      <c r="C161" s="109" t="s">
        <v>294</v>
      </c>
      <c r="D161" s="249" t="s">
        <v>327</v>
      </c>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99"/>
      <c r="AF161" s="98"/>
    </row>
    <row r="162" spans="2:32" ht="18" customHeight="1" x14ac:dyDescent="0.3">
      <c r="B162" s="98"/>
      <c r="C162" s="109" t="s">
        <v>295</v>
      </c>
      <c r="D162" s="249" t="s">
        <v>328</v>
      </c>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99"/>
      <c r="AF162" s="98"/>
    </row>
    <row r="163" spans="2:32" ht="18" customHeight="1" x14ac:dyDescent="0.3">
      <c r="B163" s="98"/>
      <c r="C163" s="109" t="s">
        <v>221</v>
      </c>
      <c r="D163" s="249" t="s">
        <v>299</v>
      </c>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99"/>
      <c r="AF163" s="98"/>
    </row>
    <row r="164" spans="2:32" ht="18" customHeight="1" x14ac:dyDescent="0.3">
      <c r="B164" s="98"/>
      <c r="C164" s="109" t="s">
        <v>8</v>
      </c>
      <c r="D164" s="249" t="s">
        <v>217</v>
      </c>
      <c r="E164" s="263"/>
      <c r="F164" s="263"/>
      <c r="G164" s="263"/>
      <c r="H164" s="263"/>
      <c r="I164" s="263"/>
      <c r="J164" s="263"/>
      <c r="K164" s="263"/>
      <c r="L164" s="263"/>
      <c r="M164" s="263"/>
      <c r="N164" s="263"/>
      <c r="O164" s="261"/>
      <c r="P164" s="262"/>
      <c r="Q164" s="262"/>
      <c r="R164" s="262"/>
      <c r="S164" s="262"/>
      <c r="T164" s="262"/>
      <c r="U164" s="262"/>
      <c r="V164" s="262"/>
      <c r="W164" s="262"/>
      <c r="X164" s="262"/>
      <c r="Y164" s="262"/>
      <c r="Z164" s="262"/>
      <c r="AA164" s="262"/>
      <c r="AB164" s="262"/>
      <c r="AC164" s="262"/>
      <c r="AD164" s="262"/>
      <c r="AE164" s="99"/>
      <c r="AF164" s="98"/>
    </row>
    <row r="165" spans="2:32" ht="18" customHeight="1" x14ac:dyDescent="0.3">
      <c r="B165" s="98"/>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8"/>
    </row>
    <row r="166" spans="2:32" ht="18" customHeight="1" x14ac:dyDescent="0.3">
      <c r="B166" s="98"/>
      <c r="C166" s="244" t="s">
        <v>48</v>
      </c>
      <c r="D166" s="249" t="s">
        <v>252</v>
      </c>
      <c r="E166" s="263"/>
      <c r="F166" s="263"/>
      <c r="G166" s="263"/>
      <c r="H166" s="263"/>
      <c r="I166" s="263"/>
      <c r="J166" s="263"/>
      <c r="K166" s="263"/>
      <c r="L166" s="263"/>
      <c r="M166" s="263"/>
      <c r="N166" s="263"/>
      <c r="O166" s="263"/>
      <c r="P166" s="262"/>
      <c r="Q166" s="262"/>
      <c r="R166" s="262"/>
      <c r="S166" s="262"/>
      <c r="T166" s="262"/>
      <c r="U166" s="262"/>
      <c r="V166" s="262"/>
      <c r="W166" s="262"/>
      <c r="X166" s="262"/>
      <c r="Y166" s="262"/>
      <c r="Z166" s="262"/>
      <c r="AA166" s="262"/>
      <c r="AB166" s="262"/>
      <c r="AC166" s="262"/>
      <c r="AD166" s="262"/>
      <c r="AE166" s="99"/>
      <c r="AF166" s="98"/>
    </row>
    <row r="167" spans="2:32" ht="18" customHeight="1" x14ac:dyDescent="0.3">
      <c r="B167" s="98"/>
      <c r="C167" s="244" t="s">
        <v>49</v>
      </c>
      <c r="D167" s="249" t="s">
        <v>257</v>
      </c>
      <c r="E167" s="263"/>
      <c r="F167" s="263"/>
      <c r="G167" s="263"/>
      <c r="H167" s="263"/>
      <c r="I167" s="263"/>
      <c r="J167" s="263"/>
      <c r="K167" s="263"/>
      <c r="L167" s="263"/>
      <c r="M167" s="263"/>
      <c r="N167" s="263"/>
      <c r="O167" s="263"/>
      <c r="P167" s="262"/>
      <c r="Q167" s="262"/>
      <c r="R167" s="262"/>
      <c r="S167" s="262"/>
      <c r="T167" s="262"/>
      <c r="U167" s="262"/>
      <c r="V167" s="262"/>
      <c r="W167" s="262"/>
      <c r="X167" s="262"/>
      <c r="Y167" s="262"/>
      <c r="Z167" s="262"/>
      <c r="AA167" s="262"/>
      <c r="AB167" s="262"/>
      <c r="AC167" s="262"/>
      <c r="AD167" s="262"/>
      <c r="AE167" s="99"/>
      <c r="AF167" s="98"/>
    </row>
    <row r="168" spans="2:32" ht="18" customHeight="1" x14ac:dyDescent="0.3">
      <c r="B168" s="98"/>
      <c r="C168" s="244" t="s">
        <v>50</v>
      </c>
      <c r="D168" s="249" t="s">
        <v>253</v>
      </c>
      <c r="E168" s="263"/>
      <c r="F168" s="263"/>
      <c r="G168" s="263"/>
      <c r="H168" s="263"/>
      <c r="I168" s="263"/>
      <c r="J168" s="263"/>
      <c r="K168" s="263"/>
      <c r="L168" s="263"/>
      <c r="M168" s="261"/>
      <c r="N168" s="261"/>
      <c r="O168" s="261"/>
      <c r="P168" s="262"/>
      <c r="Q168" s="262"/>
      <c r="R168" s="262"/>
      <c r="S168" s="262"/>
      <c r="T168" s="262"/>
      <c r="U168" s="262"/>
      <c r="V168" s="262"/>
      <c r="W168" s="262"/>
      <c r="X168" s="262"/>
      <c r="Y168" s="262"/>
      <c r="Z168" s="262"/>
      <c r="AA168" s="262"/>
      <c r="AB168" s="262"/>
      <c r="AC168" s="262"/>
      <c r="AD168" s="262"/>
      <c r="AE168" s="99"/>
      <c r="AF168" s="98"/>
    </row>
    <row r="169" spans="2:32" ht="18" customHeight="1" x14ac:dyDescent="0.3">
      <c r="B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8"/>
    </row>
    <row r="170" spans="2:32" ht="18" customHeight="1" x14ac:dyDescent="0.3">
      <c r="B170" s="98"/>
      <c r="C170" s="173" t="s">
        <v>166</v>
      </c>
      <c r="D170" s="249" t="s">
        <v>283</v>
      </c>
      <c r="E170" s="251"/>
      <c r="F170" s="251"/>
      <c r="G170" s="251"/>
      <c r="H170" s="251"/>
      <c r="I170" s="251"/>
      <c r="J170" s="251"/>
      <c r="K170" s="251"/>
      <c r="L170" s="251"/>
      <c r="M170" s="251"/>
      <c r="N170" s="257"/>
      <c r="O170" s="257"/>
      <c r="P170" s="257"/>
      <c r="Q170" s="257"/>
      <c r="R170" s="257"/>
      <c r="S170" s="257"/>
      <c r="T170" s="257"/>
      <c r="U170" s="256"/>
      <c r="V170" s="256"/>
      <c r="W170" s="256"/>
      <c r="X170" s="256"/>
      <c r="Y170" s="256"/>
      <c r="Z170" s="256"/>
      <c r="AA170" s="256"/>
      <c r="AB170" s="256"/>
      <c r="AC170" s="256"/>
      <c r="AD170" s="256"/>
      <c r="AE170" s="99"/>
      <c r="AF170" s="98"/>
    </row>
    <row r="171" spans="2:32" ht="18" customHeight="1" x14ac:dyDescent="0.3">
      <c r="B171" s="98"/>
      <c r="C171" s="173" t="s">
        <v>167</v>
      </c>
      <c r="D171" s="249" t="s">
        <v>284</v>
      </c>
      <c r="E171" s="251"/>
      <c r="F171" s="251"/>
      <c r="G171" s="251"/>
      <c r="H171" s="251"/>
      <c r="I171" s="251"/>
      <c r="J171" s="251"/>
      <c r="K171" s="251"/>
      <c r="L171" s="251"/>
      <c r="M171" s="251"/>
      <c r="N171" s="256"/>
      <c r="O171" s="256"/>
      <c r="P171" s="256"/>
      <c r="Q171" s="256"/>
      <c r="R171" s="256"/>
      <c r="S171" s="256"/>
      <c r="T171" s="256"/>
      <c r="U171" s="256"/>
      <c r="V171" s="256"/>
      <c r="W171" s="256"/>
      <c r="X171" s="256"/>
      <c r="Y171" s="256"/>
      <c r="Z171" s="256"/>
      <c r="AA171" s="256"/>
      <c r="AB171" s="256"/>
      <c r="AC171" s="256"/>
      <c r="AD171" s="256"/>
      <c r="AE171" s="99"/>
      <c r="AF171" s="98"/>
    </row>
    <row r="172" spans="2:32" ht="18" customHeight="1" x14ac:dyDescent="0.3">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row>
    <row r="174" spans="2:32" ht="18" customHeight="1" x14ac:dyDescent="0.3">
      <c r="B174" s="105"/>
      <c r="C174" s="344" t="s">
        <v>105</v>
      </c>
      <c r="D174" s="344"/>
      <c r="E174" s="344"/>
      <c r="F174" s="105"/>
      <c r="G174" s="107"/>
      <c r="H174" s="107"/>
      <c r="I174" s="107"/>
      <c r="J174" s="98"/>
      <c r="K174" s="98"/>
      <c r="L174" s="98"/>
      <c r="M174" s="98"/>
      <c r="N174" s="98"/>
      <c r="O174" s="98"/>
      <c r="P174" s="98"/>
      <c r="Q174" s="98"/>
      <c r="R174" s="98"/>
      <c r="S174" s="98"/>
      <c r="T174" s="98"/>
      <c r="U174" s="98"/>
      <c r="V174" s="98"/>
      <c r="W174" s="98"/>
      <c r="X174" s="98"/>
      <c r="Y174" s="98"/>
      <c r="Z174" s="98"/>
      <c r="AA174" s="98"/>
      <c r="AB174" s="98"/>
      <c r="AC174" s="317" t="s">
        <v>307</v>
      </c>
      <c r="AD174" s="317"/>
      <c r="AE174" s="317"/>
      <c r="AF174" s="98"/>
    </row>
    <row r="175" spans="2:32" ht="18" customHeight="1" x14ac:dyDescent="0.3">
      <c r="B175" s="105"/>
      <c r="C175" s="344"/>
      <c r="D175" s="344"/>
      <c r="E175" s="344"/>
      <c r="F175" s="310" t="s">
        <v>209</v>
      </c>
      <c r="G175" s="310"/>
      <c r="H175" s="310"/>
      <c r="I175" s="310"/>
      <c r="J175" s="310"/>
      <c r="K175" s="98"/>
      <c r="L175" s="308" t="s">
        <v>40</v>
      </c>
      <c r="M175" s="308"/>
      <c r="N175" s="308"/>
      <c r="O175" s="308"/>
      <c r="P175" s="308"/>
      <c r="Q175" s="308"/>
      <c r="R175" s="308"/>
      <c r="S175" s="308"/>
      <c r="T175" s="308"/>
      <c r="U175" s="98"/>
      <c r="V175" s="308" t="s">
        <v>265</v>
      </c>
      <c r="W175" s="308"/>
      <c r="X175" s="308"/>
      <c r="Y175" s="308"/>
      <c r="Z175" s="308"/>
      <c r="AA175" s="308"/>
      <c r="AB175" s="308"/>
      <c r="AC175" s="308"/>
      <c r="AD175" s="308"/>
      <c r="AE175" s="308"/>
      <c r="AF175" s="98"/>
    </row>
    <row r="176" spans="2:32" ht="18" customHeight="1" x14ac:dyDescent="0.3">
      <c r="B176" s="98"/>
      <c r="C176" s="316" t="s">
        <v>235</v>
      </c>
      <c r="D176" s="319"/>
      <c r="E176" s="319"/>
      <c r="F176" s="319"/>
      <c r="G176" s="314" t="s">
        <v>242</v>
      </c>
      <c r="H176" s="346"/>
      <c r="I176" s="346"/>
      <c r="J176" s="346"/>
      <c r="K176" s="98"/>
      <c r="L176" s="309"/>
      <c r="M176" s="309"/>
      <c r="N176" s="309"/>
      <c r="O176" s="309"/>
      <c r="P176" s="309"/>
      <c r="Q176" s="309"/>
      <c r="R176" s="309"/>
      <c r="S176" s="309"/>
      <c r="T176" s="309"/>
      <c r="U176" s="98"/>
      <c r="V176" s="308"/>
      <c r="W176" s="308"/>
      <c r="X176" s="308"/>
      <c r="Y176" s="308"/>
      <c r="Z176" s="308"/>
      <c r="AA176" s="308"/>
      <c r="AB176" s="308"/>
      <c r="AC176" s="308"/>
      <c r="AD176" s="308"/>
      <c r="AE176" s="308"/>
      <c r="AF176" s="98"/>
    </row>
    <row r="177" spans="2:32" ht="18" customHeight="1" thickBot="1" x14ac:dyDescent="0.35">
      <c r="B177" s="98"/>
      <c r="C177" s="320"/>
      <c r="D177" s="320"/>
      <c r="E177" s="320"/>
      <c r="F177" s="320"/>
      <c r="G177" s="320"/>
      <c r="H177" s="320"/>
      <c r="I177" s="320"/>
      <c r="J177" s="320"/>
      <c r="K177" s="98"/>
      <c r="L177" s="73" t="s">
        <v>32</v>
      </c>
      <c r="M177" s="74" t="s">
        <v>33</v>
      </c>
      <c r="N177" s="76" t="s">
        <v>34</v>
      </c>
      <c r="O177" s="76" t="s">
        <v>38</v>
      </c>
      <c r="P177" s="74" t="s">
        <v>35</v>
      </c>
      <c r="Q177" s="75" t="s">
        <v>36</v>
      </c>
      <c r="R177" s="228" t="s">
        <v>37</v>
      </c>
      <c r="S177" s="73" t="s">
        <v>178</v>
      </c>
      <c r="T177" s="76" t="s">
        <v>13</v>
      </c>
      <c r="U177" s="98"/>
      <c r="V177" s="75" t="s">
        <v>298</v>
      </c>
      <c r="W177" s="73" t="s">
        <v>32</v>
      </c>
      <c r="X177" s="74" t="s">
        <v>33</v>
      </c>
      <c r="Y177" s="76" t="s">
        <v>34</v>
      </c>
      <c r="Z177" s="76" t="s">
        <v>38</v>
      </c>
      <c r="AA177" s="74" t="s">
        <v>35</v>
      </c>
      <c r="AB177" s="75" t="s">
        <v>36</v>
      </c>
      <c r="AC177" s="228" t="s">
        <v>37</v>
      </c>
      <c r="AD177" s="73" t="s">
        <v>178</v>
      </c>
      <c r="AE177" s="76" t="s">
        <v>13</v>
      </c>
      <c r="AF177" s="98"/>
    </row>
    <row r="178" spans="2:32" ht="18" customHeight="1" x14ac:dyDescent="0.3">
      <c r="B178" s="98"/>
      <c r="C178" s="157">
        <f ca="1">RANDBETWEEN(190,250)</f>
        <v>192</v>
      </c>
      <c r="D178" s="17" t="s">
        <v>0</v>
      </c>
      <c r="E178" s="16">
        <f ca="1">RANDBETWEEN(140,155)</f>
        <v>148</v>
      </c>
      <c r="F178" s="208" t="s">
        <v>1</v>
      </c>
      <c r="G178" s="3">
        <f ca="1">RANDBETWEEN(160,179)</f>
        <v>175</v>
      </c>
      <c r="H178" s="3" t="s">
        <v>2</v>
      </c>
      <c r="I178" s="83" t="s">
        <v>31</v>
      </c>
      <c r="J178" s="208">
        <f ca="1">RANDBETWEEN(1100,1500)</f>
        <v>1124</v>
      </c>
      <c r="K178" s="104"/>
      <c r="L178" s="77" t="s">
        <v>35</v>
      </c>
      <c r="M178" s="160">
        <f ca="1">C178</f>
        <v>192</v>
      </c>
      <c r="N178" s="150">
        <f ca="1">E178</f>
        <v>148</v>
      </c>
      <c r="O178" s="88">
        <f ca="1">G178</f>
        <v>175</v>
      </c>
      <c r="P178" s="116">
        <v>1</v>
      </c>
      <c r="Q178" s="110">
        <v>0</v>
      </c>
      <c r="R178" s="229">
        <v>0</v>
      </c>
      <c r="S178" s="134">
        <v>0</v>
      </c>
      <c r="T178" s="86">
        <f ca="1">J178</f>
        <v>1124</v>
      </c>
      <c r="U178" s="104"/>
      <c r="V178" s="110">
        <v>0</v>
      </c>
      <c r="W178" s="114" t="s">
        <v>43</v>
      </c>
      <c r="X178" s="160" t="s">
        <v>205</v>
      </c>
      <c r="Y178" s="110">
        <v>0</v>
      </c>
      <c r="Z178" s="134">
        <v>0</v>
      </c>
      <c r="AA178" s="116">
        <v>1</v>
      </c>
      <c r="AB178" s="150" t="s">
        <v>205</v>
      </c>
      <c r="AC178" s="275" t="s">
        <v>205</v>
      </c>
      <c r="AD178" s="153" t="s">
        <v>205</v>
      </c>
      <c r="AE178" s="232">
        <f ca="1">ROUND((J178-((J179/E179)*E178))-((J180/G180)*(G178-((G179/E179)*E178))),2)</f>
        <v>148.16999999999999</v>
      </c>
      <c r="AF178" s="98"/>
    </row>
    <row r="179" spans="2:32" ht="18" customHeight="1" x14ac:dyDescent="0.3">
      <c r="B179" s="98"/>
      <c r="C179" s="158">
        <f ca="1">RANDBETWEEN(57,63)</f>
        <v>62</v>
      </c>
      <c r="D179" s="277" t="s">
        <v>0</v>
      </c>
      <c r="E179" s="159">
        <f ca="1">RANDBETWEEN(70,74)</f>
        <v>70</v>
      </c>
      <c r="F179" s="169" t="s">
        <v>1</v>
      </c>
      <c r="G179" s="209">
        <f ca="1">RANDBETWEEN(64,68)</f>
        <v>64</v>
      </c>
      <c r="H179" s="209" t="s">
        <v>2</v>
      </c>
      <c r="I179" s="84" t="s">
        <v>179</v>
      </c>
      <c r="J179" s="169">
        <f ca="1">RANDBETWEEN(400,440)</f>
        <v>424</v>
      </c>
      <c r="K179" s="104"/>
      <c r="L179" s="171" t="s">
        <v>178</v>
      </c>
      <c r="M179" s="176">
        <f ca="1">C179</f>
        <v>62</v>
      </c>
      <c r="N179" s="90">
        <f ca="1">E179</f>
        <v>70</v>
      </c>
      <c r="O179" s="91">
        <f ca="1">G179</f>
        <v>64</v>
      </c>
      <c r="P179" s="129">
        <v>0</v>
      </c>
      <c r="Q179" s="111">
        <v>-1</v>
      </c>
      <c r="R179" s="230">
        <v>0</v>
      </c>
      <c r="S179" s="132">
        <v>1</v>
      </c>
      <c r="T179" s="89">
        <f ca="1">J179</f>
        <v>424</v>
      </c>
      <c r="U179" s="104"/>
      <c r="V179" s="149">
        <f ca="1">E181</f>
        <v>380</v>
      </c>
      <c r="W179" s="175" t="s">
        <v>225</v>
      </c>
      <c r="X179" s="176" t="s">
        <v>205</v>
      </c>
      <c r="Y179" s="111">
        <v>1</v>
      </c>
      <c r="Z179" s="132">
        <v>0</v>
      </c>
      <c r="AA179" s="129">
        <v>0</v>
      </c>
      <c r="AB179" s="149" t="s">
        <v>205</v>
      </c>
      <c r="AC179" s="276" t="s">
        <v>205</v>
      </c>
      <c r="AD179" s="154" t="s">
        <v>205</v>
      </c>
      <c r="AE179" s="233">
        <f ca="1">ROUND((J179/E179)-((J180/G180)*(G179/E179)),2)</f>
        <v>4.2300000000000004</v>
      </c>
      <c r="AF179" s="98"/>
    </row>
    <row r="180" spans="2:32" ht="18" customHeight="1" thickBot="1" x14ac:dyDescent="0.35">
      <c r="B180" s="98"/>
      <c r="C180" s="158">
        <f ca="1">RANDBETWEEN(1,3)</f>
        <v>2</v>
      </c>
      <c r="D180" s="169" t="s">
        <v>0</v>
      </c>
      <c r="E180" s="156">
        <v>0</v>
      </c>
      <c r="F180" s="169" t="s">
        <v>1</v>
      </c>
      <c r="G180" s="209">
        <f ca="1">RANDBETWEEN(5,7)</f>
        <v>6</v>
      </c>
      <c r="H180" s="209" t="s">
        <v>2</v>
      </c>
      <c r="I180" s="84" t="s">
        <v>31</v>
      </c>
      <c r="J180" s="169">
        <f ca="1">RANDBETWEEN(12,14)</f>
        <v>12</v>
      </c>
      <c r="K180" s="104"/>
      <c r="L180" s="73" t="s">
        <v>37</v>
      </c>
      <c r="M180" s="161">
        <f ca="1">C180</f>
        <v>2</v>
      </c>
      <c r="N180" s="131">
        <f>E180</f>
        <v>0</v>
      </c>
      <c r="O180" s="94">
        <f ca="1">G180</f>
        <v>6</v>
      </c>
      <c r="P180" s="130">
        <v>0</v>
      </c>
      <c r="Q180" s="131">
        <v>0</v>
      </c>
      <c r="R180" s="231">
        <v>1</v>
      </c>
      <c r="S180" s="133">
        <v>0</v>
      </c>
      <c r="T180" s="92">
        <f ca="1">J180</f>
        <v>12</v>
      </c>
      <c r="U180" s="104"/>
      <c r="V180" s="274">
        <f ca="1">G181</f>
        <v>316</v>
      </c>
      <c r="W180" s="113" t="s">
        <v>55</v>
      </c>
      <c r="X180" s="161" t="s">
        <v>205</v>
      </c>
      <c r="Y180" s="131">
        <v>0</v>
      </c>
      <c r="Z180" s="133">
        <v>1</v>
      </c>
      <c r="AA180" s="130">
        <v>0</v>
      </c>
      <c r="AB180" s="151" t="s">
        <v>205</v>
      </c>
      <c r="AC180" s="147" t="s">
        <v>205</v>
      </c>
      <c r="AD180" s="155" t="s">
        <v>205</v>
      </c>
      <c r="AE180" s="234">
        <f ca="1">ROUND(J180/G180,2)</f>
        <v>2</v>
      </c>
      <c r="AF180" s="98"/>
    </row>
    <row r="181" spans="2:32" ht="18" customHeight="1" thickTop="1" x14ac:dyDescent="0.3">
      <c r="B181" s="98"/>
      <c r="C181" s="80">
        <f ca="1">RANDBETWEEN(340,390)</f>
        <v>350</v>
      </c>
      <c r="D181" s="81" t="s">
        <v>0</v>
      </c>
      <c r="E181" s="178">
        <f ca="1">RANDBETWEEN(370,390)</f>
        <v>380</v>
      </c>
      <c r="F181" s="81" t="s">
        <v>1</v>
      </c>
      <c r="G181" s="82">
        <f ca="1">RANDBETWEEN(310,320)</f>
        <v>316</v>
      </c>
      <c r="H181" s="82" t="s">
        <v>2</v>
      </c>
      <c r="I181" s="85" t="s">
        <v>6</v>
      </c>
      <c r="J181" s="81" t="s">
        <v>180</v>
      </c>
      <c r="K181" s="104"/>
      <c r="L181" s="78" t="s">
        <v>8</v>
      </c>
      <c r="M181" s="95">
        <f ca="1">(C179*1000)-C181</f>
        <v>61650</v>
      </c>
      <c r="N181" s="238">
        <f ca="1">(E179*1000)-E181</f>
        <v>69620</v>
      </c>
      <c r="O181" s="97">
        <f ca="1">(G179*1000)-G181</f>
        <v>63684</v>
      </c>
      <c r="P181" s="116">
        <v>0</v>
      </c>
      <c r="Q181" s="110">
        <v>-1000</v>
      </c>
      <c r="R181" s="229">
        <v>0</v>
      </c>
      <c r="S181" s="235">
        <v>0</v>
      </c>
      <c r="T181" s="236">
        <f ca="1">J179*1000</f>
        <v>424000</v>
      </c>
      <c r="U181" s="104"/>
      <c r="V181" s="311" t="s">
        <v>8</v>
      </c>
      <c r="W181" s="312"/>
      <c r="X181" s="273">
        <f ca="1">ROUND((E181*((C179/E179)-((C180/G180)*(G179/E179)))+G181*(C180/G180))-C181,2)</f>
        <v>-23.9</v>
      </c>
      <c r="Y181" s="138">
        <v>0</v>
      </c>
      <c r="Z181" s="152">
        <v>0</v>
      </c>
      <c r="AA181" s="116">
        <v>0</v>
      </c>
      <c r="AB181" s="150">
        <f ca="1">ROUND(E181*((-1)/E179),2)</f>
        <v>-5.43</v>
      </c>
      <c r="AC181" s="275">
        <f ca="1">ROUND(E181*(0-((1/G180)*(G179/E179)))+G181*(1/G180),2)</f>
        <v>-5.24</v>
      </c>
      <c r="AD181" s="272">
        <f ca="1">ROUND((E181*(1/E179))-1000,2)</f>
        <v>-994.57</v>
      </c>
      <c r="AE181" s="79">
        <f ca="1">ROUND(E181*((J179/E179)-((J180/G180)*(G179/E179)))+G181*(J180/G180),2)</f>
        <v>2238.86</v>
      </c>
      <c r="AF181" s="98"/>
    </row>
    <row r="182" spans="2:32" ht="18" customHeight="1" x14ac:dyDescent="0.3">
      <c r="B182" s="117"/>
      <c r="C182" s="345" t="s">
        <v>187</v>
      </c>
      <c r="D182" s="345"/>
      <c r="E182" s="345"/>
      <c r="F182" s="117"/>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98"/>
    </row>
    <row r="183" spans="2:32" ht="18" customHeight="1" thickBot="1" x14ac:dyDescent="0.35">
      <c r="B183" s="117"/>
      <c r="C183" s="343"/>
      <c r="D183" s="343"/>
      <c r="E183" s="343"/>
      <c r="F183" s="99"/>
      <c r="G183" s="99"/>
      <c r="H183" s="109"/>
      <c r="I183" s="109"/>
      <c r="J183" s="99"/>
      <c r="K183" s="98"/>
      <c r="L183" s="122"/>
      <c r="M183" s="118" t="s">
        <v>45</v>
      </c>
      <c r="N183" s="119" t="s">
        <v>44</v>
      </c>
      <c r="O183" s="104"/>
      <c r="P183" s="122"/>
      <c r="Q183" s="118" t="s">
        <v>45</v>
      </c>
      <c r="R183" s="119" t="s">
        <v>44</v>
      </c>
      <c r="S183" s="104"/>
      <c r="T183" s="122"/>
      <c r="U183" s="118" t="s">
        <v>45</v>
      </c>
      <c r="V183" s="119" t="s">
        <v>44</v>
      </c>
      <c r="W183" s="98"/>
      <c r="X183" s="122"/>
      <c r="Y183" s="118" t="s">
        <v>45</v>
      </c>
      <c r="Z183" s="119" t="s">
        <v>44</v>
      </c>
      <c r="AA183" s="98"/>
      <c r="AB183" s="122"/>
      <c r="AC183" s="118" t="s">
        <v>45</v>
      </c>
      <c r="AD183" s="119" t="s">
        <v>44</v>
      </c>
      <c r="AE183" s="98"/>
      <c r="AF183" s="98"/>
    </row>
    <row r="184" spans="2:32" ht="18" customHeight="1" x14ac:dyDescent="0.3">
      <c r="B184" s="98"/>
      <c r="C184" s="210"/>
      <c r="D184" s="210"/>
      <c r="E184" s="210"/>
      <c r="F184" s="99"/>
      <c r="G184" s="99"/>
      <c r="H184" s="109"/>
      <c r="I184" s="108"/>
      <c r="J184" s="99"/>
      <c r="K184" s="98"/>
      <c r="L184" s="121" t="s">
        <v>106</v>
      </c>
      <c r="M184" s="162">
        <v>190</v>
      </c>
      <c r="N184" s="163">
        <v>250</v>
      </c>
      <c r="O184" s="106"/>
      <c r="P184" s="121" t="s">
        <v>109</v>
      </c>
      <c r="Q184" s="162">
        <v>57</v>
      </c>
      <c r="R184" s="163">
        <v>63</v>
      </c>
      <c r="S184" s="104"/>
      <c r="T184" s="121" t="s">
        <v>112</v>
      </c>
      <c r="U184" s="162">
        <v>1</v>
      </c>
      <c r="V184" s="163">
        <v>3</v>
      </c>
      <c r="W184" s="98"/>
      <c r="X184" s="121" t="s">
        <v>115</v>
      </c>
      <c r="Y184" s="124">
        <v>1100</v>
      </c>
      <c r="Z184" s="125">
        <v>1500</v>
      </c>
      <c r="AA184" s="98"/>
      <c r="AB184" s="121" t="s">
        <v>118</v>
      </c>
      <c r="AC184" s="124">
        <v>340</v>
      </c>
      <c r="AD184" s="125">
        <v>390</v>
      </c>
      <c r="AE184" s="98"/>
      <c r="AF184" s="98"/>
    </row>
    <row r="185" spans="2:32" ht="18" customHeight="1" x14ac:dyDescent="0.3">
      <c r="B185" s="98"/>
      <c r="C185" s="210" t="s">
        <v>51</v>
      </c>
      <c r="D185" s="210"/>
      <c r="E185" s="210"/>
      <c r="F185" s="148">
        <f>(N185-M185+1)*(N186-M186+1)*(R185-Q185+1)*(R186-Q186+1)*(V185-U185+1)*(V186-U186+1)*(Z184-Y184+1)*(Z185-Y185+1)*(Z186-Y186+1)*(AD184-AC184+1)*(AD185-AC185+1)*(AD186-AC186+1)*(V184-U184+1)*(R184-Q184+1)*(N184-M184+1)</f>
        <v>1.7864547141672E+16</v>
      </c>
      <c r="G185" s="99"/>
      <c r="H185" s="109"/>
      <c r="I185" s="108"/>
      <c r="J185" s="99"/>
      <c r="K185" s="98"/>
      <c r="L185" s="120" t="s">
        <v>107</v>
      </c>
      <c r="M185" s="162">
        <v>140</v>
      </c>
      <c r="N185" s="163">
        <v>155</v>
      </c>
      <c r="O185" s="106"/>
      <c r="P185" s="109" t="s">
        <v>110</v>
      </c>
      <c r="Q185" s="124">
        <v>70</v>
      </c>
      <c r="R185" s="125">
        <v>74</v>
      </c>
      <c r="S185" s="104"/>
      <c r="T185" s="109" t="s">
        <v>113</v>
      </c>
      <c r="U185" s="140">
        <v>0</v>
      </c>
      <c r="V185" s="141">
        <v>0</v>
      </c>
      <c r="W185" s="98"/>
      <c r="X185" s="109" t="s">
        <v>116</v>
      </c>
      <c r="Y185" s="124">
        <v>400</v>
      </c>
      <c r="Z185" s="125">
        <v>440</v>
      </c>
      <c r="AA185" s="98"/>
      <c r="AB185" s="109" t="s">
        <v>119</v>
      </c>
      <c r="AC185" s="162">
        <v>370</v>
      </c>
      <c r="AD185" s="163">
        <v>390</v>
      </c>
      <c r="AE185" s="98"/>
      <c r="AF185" s="98"/>
    </row>
    <row r="186" spans="2:32" ht="18" customHeight="1" x14ac:dyDescent="0.3">
      <c r="B186" s="98"/>
      <c r="C186" s="259" t="s">
        <v>181</v>
      </c>
      <c r="D186" s="210"/>
      <c r="E186" s="210"/>
      <c r="F186" s="99"/>
      <c r="G186" s="99"/>
      <c r="H186" s="109"/>
      <c r="I186" s="108"/>
      <c r="J186" s="99"/>
      <c r="K186" s="98"/>
      <c r="L186" s="120" t="s">
        <v>108</v>
      </c>
      <c r="M186" s="124">
        <v>160</v>
      </c>
      <c r="N186" s="125">
        <v>179</v>
      </c>
      <c r="O186" s="106"/>
      <c r="P186" s="109" t="s">
        <v>111</v>
      </c>
      <c r="Q186" s="124">
        <v>64</v>
      </c>
      <c r="R186" s="125">
        <v>68</v>
      </c>
      <c r="S186" s="104"/>
      <c r="T186" s="109" t="s">
        <v>114</v>
      </c>
      <c r="U186" s="124">
        <v>5</v>
      </c>
      <c r="V186" s="125">
        <v>7</v>
      </c>
      <c r="W186" s="98"/>
      <c r="X186" s="109" t="s">
        <v>117</v>
      </c>
      <c r="Y186" s="124">
        <v>12</v>
      </c>
      <c r="Z186" s="125">
        <v>14</v>
      </c>
      <c r="AA186" s="98"/>
      <c r="AB186" s="109" t="s">
        <v>120</v>
      </c>
      <c r="AC186" s="124">
        <v>310</v>
      </c>
      <c r="AD186" s="125">
        <v>320</v>
      </c>
      <c r="AE186" s="98"/>
      <c r="AF186" s="98"/>
    </row>
    <row r="187" spans="2:32" ht="18" customHeight="1" x14ac:dyDescent="0.3">
      <c r="B187" s="117"/>
      <c r="C187" s="343" t="s">
        <v>46</v>
      </c>
      <c r="D187" s="343"/>
      <c r="E187" s="343"/>
      <c r="F187" s="117"/>
      <c r="G187" s="117"/>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98"/>
    </row>
    <row r="188" spans="2:32" ht="18" customHeight="1" x14ac:dyDescent="0.3">
      <c r="B188" s="117"/>
      <c r="C188" s="343"/>
      <c r="D188" s="343"/>
      <c r="E188" s="343"/>
      <c r="F188" s="108"/>
      <c r="G188" s="108"/>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98"/>
    </row>
    <row r="189" spans="2:32" ht="18" customHeight="1" x14ac:dyDescent="0.3">
      <c r="B189" s="104"/>
      <c r="C189" s="109" t="s">
        <v>52</v>
      </c>
      <c r="D189" s="250" t="s">
        <v>243</v>
      </c>
      <c r="E189" s="250"/>
      <c r="F189" s="250"/>
      <c r="G189" s="250"/>
      <c r="H189" s="250"/>
      <c r="I189" s="254"/>
      <c r="J189" s="254"/>
      <c r="K189" s="254"/>
      <c r="L189" s="254"/>
      <c r="M189" s="254"/>
      <c r="N189" s="254"/>
      <c r="O189" s="254"/>
      <c r="P189" s="254"/>
      <c r="Q189" s="125"/>
      <c r="R189" s="125"/>
      <c r="S189" s="125"/>
      <c r="T189" s="125"/>
      <c r="U189" s="125"/>
      <c r="V189" s="125"/>
      <c r="W189" s="125"/>
      <c r="X189" s="125"/>
      <c r="Y189" s="125"/>
      <c r="Z189" s="125"/>
      <c r="AA189" s="125"/>
      <c r="AB189" s="125"/>
      <c r="AC189" s="125"/>
      <c r="AD189" s="125"/>
      <c r="AE189" s="109"/>
      <c r="AF189" s="98"/>
    </row>
    <row r="190" spans="2:32" ht="18" customHeight="1" x14ac:dyDescent="0.3">
      <c r="B190" s="104"/>
      <c r="C190" s="109" t="s">
        <v>53</v>
      </c>
      <c r="D190" s="250">
        <v>0</v>
      </c>
      <c r="E190" s="250"/>
      <c r="F190" s="250"/>
      <c r="G190" s="250"/>
      <c r="H190" s="250"/>
      <c r="I190" s="250"/>
      <c r="J190" s="250"/>
      <c r="K190" s="250"/>
      <c r="L190" s="250"/>
      <c r="M190" s="250"/>
      <c r="N190" s="250"/>
      <c r="O190" s="250"/>
      <c r="P190" s="250"/>
      <c r="Q190" s="227"/>
      <c r="R190" s="227"/>
      <c r="S190" s="227"/>
      <c r="T190" s="227"/>
      <c r="U190" s="227"/>
      <c r="V190" s="227"/>
      <c r="W190" s="227"/>
      <c r="X190" s="227"/>
      <c r="Y190" s="227"/>
      <c r="Z190" s="227"/>
      <c r="AA190" s="227"/>
      <c r="AB190" s="227"/>
      <c r="AC190" s="125"/>
      <c r="AD190" s="125"/>
      <c r="AE190" s="109"/>
      <c r="AF190" s="98"/>
    </row>
    <row r="191" spans="2:32" ht="18" customHeight="1" x14ac:dyDescent="0.3">
      <c r="B191" s="104"/>
      <c r="C191" s="109" t="s">
        <v>54</v>
      </c>
      <c r="D191" s="250">
        <v>0</v>
      </c>
      <c r="E191" s="250"/>
      <c r="F191" s="250"/>
      <c r="G191" s="250"/>
      <c r="H191" s="250"/>
      <c r="I191" s="250"/>
      <c r="J191" s="250"/>
      <c r="K191" s="250"/>
      <c r="L191" s="254"/>
      <c r="M191" s="254"/>
      <c r="N191" s="254"/>
      <c r="O191" s="254"/>
      <c r="P191" s="254"/>
      <c r="Q191" s="125"/>
      <c r="R191" s="125"/>
      <c r="S191" s="125"/>
      <c r="T191" s="125"/>
      <c r="U191" s="125"/>
      <c r="V191" s="125"/>
      <c r="W191" s="125"/>
      <c r="X191" s="125"/>
      <c r="Y191" s="125"/>
      <c r="Z191" s="125"/>
      <c r="AA191" s="125"/>
      <c r="AB191" s="125"/>
      <c r="AC191" s="125"/>
      <c r="AD191" s="125"/>
      <c r="AE191" s="109"/>
      <c r="AF191" s="98"/>
    </row>
    <row r="192" spans="2:32" ht="18" customHeight="1" x14ac:dyDescent="0.3">
      <c r="B192" s="104"/>
      <c r="C192" s="109" t="s">
        <v>218</v>
      </c>
      <c r="D192" s="250">
        <v>0</v>
      </c>
      <c r="E192" s="250"/>
      <c r="F192" s="250"/>
      <c r="G192" s="250"/>
      <c r="H192" s="250"/>
      <c r="I192" s="250"/>
      <c r="J192" s="250"/>
      <c r="K192" s="254"/>
      <c r="L192" s="254"/>
      <c r="M192" s="254"/>
      <c r="N192" s="254"/>
      <c r="O192" s="254"/>
      <c r="P192" s="254"/>
      <c r="Q192" s="125"/>
      <c r="R192" s="125"/>
      <c r="S192" s="125"/>
      <c r="T192" s="125"/>
      <c r="U192" s="125"/>
      <c r="V192" s="125"/>
      <c r="W192" s="125"/>
      <c r="X192" s="125"/>
      <c r="Y192" s="125"/>
      <c r="Z192" s="125"/>
      <c r="AA192" s="125"/>
      <c r="AB192" s="125"/>
      <c r="AC192" s="125"/>
      <c r="AD192" s="125"/>
      <c r="AE192" s="109"/>
      <c r="AF192" s="98"/>
    </row>
    <row r="193" spans="2:32" ht="18" customHeight="1" x14ac:dyDescent="0.3">
      <c r="B193" s="104"/>
      <c r="C193" s="109" t="s">
        <v>219</v>
      </c>
      <c r="D193" s="250" t="s">
        <v>303</v>
      </c>
      <c r="E193" s="250"/>
      <c r="F193" s="250"/>
      <c r="G193" s="250"/>
      <c r="H193" s="250"/>
      <c r="I193" s="250"/>
      <c r="J193" s="250"/>
      <c r="K193" s="250"/>
      <c r="L193" s="250"/>
      <c r="M193" s="250"/>
      <c r="N193" s="250"/>
      <c r="O193" s="250"/>
      <c r="P193" s="250"/>
      <c r="Q193" s="227"/>
      <c r="R193" s="227"/>
      <c r="S193" s="227"/>
      <c r="T193" s="250"/>
      <c r="U193" s="250"/>
      <c r="V193" s="250"/>
      <c r="W193" s="250"/>
      <c r="X193" s="250"/>
      <c r="Y193" s="250"/>
      <c r="Z193" s="250"/>
      <c r="AA193" s="250"/>
      <c r="AB193" s="250"/>
      <c r="AC193" s="125"/>
      <c r="AD193" s="125"/>
      <c r="AE193" s="109"/>
      <c r="AF193" s="98"/>
    </row>
    <row r="194" spans="2:32" ht="18" customHeight="1" x14ac:dyDescent="0.3">
      <c r="B194" s="104"/>
      <c r="C194" s="109" t="s">
        <v>220</v>
      </c>
      <c r="D194" s="250" t="s">
        <v>246</v>
      </c>
      <c r="E194" s="250"/>
      <c r="F194" s="250"/>
      <c r="G194" s="250"/>
      <c r="H194" s="250"/>
      <c r="I194" s="250"/>
      <c r="J194" s="250"/>
      <c r="K194" s="250"/>
      <c r="L194" s="250"/>
      <c r="M194" s="250"/>
      <c r="N194" s="250"/>
      <c r="O194" s="250"/>
      <c r="P194" s="250"/>
      <c r="Q194" s="227"/>
      <c r="R194" s="227"/>
      <c r="S194" s="227"/>
      <c r="T194" s="227"/>
      <c r="U194" s="227"/>
      <c r="V194" s="227"/>
      <c r="W194" s="227"/>
      <c r="X194" s="227"/>
      <c r="Y194" s="227"/>
      <c r="Z194" s="125"/>
      <c r="AA194" s="125"/>
      <c r="AB194" s="256"/>
      <c r="AC194" s="256"/>
      <c r="AD194" s="256"/>
      <c r="AE194" s="99"/>
      <c r="AF194" s="98"/>
    </row>
    <row r="195" spans="2:32" ht="18" customHeight="1" x14ac:dyDescent="0.3">
      <c r="B195" s="104"/>
      <c r="C195" s="109" t="s">
        <v>221</v>
      </c>
      <c r="D195" s="250" t="s">
        <v>245</v>
      </c>
      <c r="E195" s="250"/>
      <c r="F195" s="250"/>
      <c r="G195" s="250"/>
      <c r="H195" s="250"/>
      <c r="I195" s="250"/>
      <c r="J195" s="250"/>
      <c r="K195" s="250"/>
      <c r="L195" s="250"/>
      <c r="M195" s="250"/>
      <c r="N195" s="250"/>
      <c r="O195" s="250"/>
      <c r="P195" s="250"/>
      <c r="Q195" s="227"/>
      <c r="R195" s="227"/>
      <c r="S195" s="227"/>
      <c r="T195" s="227"/>
      <c r="U195" s="227"/>
      <c r="V195" s="227"/>
      <c r="W195" s="227"/>
      <c r="X195" s="227"/>
      <c r="Y195" s="227"/>
      <c r="Z195" s="125"/>
      <c r="AA195" s="125"/>
      <c r="AB195" s="256"/>
      <c r="AC195" s="256"/>
      <c r="AD195" s="256"/>
      <c r="AE195" s="99"/>
      <c r="AF195" s="98"/>
    </row>
    <row r="196" spans="2:32" ht="18" customHeight="1" x14ac:dyDescent="0.3">
      <c r="B196" s="104"/>
      <c r="C196" s="109" t="s">
        <v>8</v>
      </c>
      <c r="D196" s="250" t="s">
        <v>247</v>
      </c>
      <c r="E196" s="250"/>
      <c r="F196" s="250"/>
      <c r="G196" s="250"/>
      <c r="H196" s="250"/>
      <c r="I196" s="250"/>
      <c r="J196" s="250"/>
      <c r="K196" s="250"/>
      <c r="L196" s="250"/>
      <c r="M196" s="250"/>
      <c r="N196" s="250"/>
      <c r="O196" s="250"/>
      <c r="P196" s="250"/>
      <c r="Q196" s="227"/>
      <c r="R196" s="227"/>
      <c r="S196" s="227"/>
      <c r="T196" s="227"/>
      <c r="U196" s="227"/>
      <c r="V196" s="227"/>
      <c r="W196" s="227"/>
      <c r="X196" s="227"/>
      <c r="Y196" s="227"/>
      <c r="Z196" s="227"/>
      <c r="AA196" s="227"/>
      <c r="AB196" s="256"/>
      <c r="AC196" s="256"/>
      <c r="AD196" s="256"/>
      <c r="AE196" s="99"/>
      <c r="AF196" s="98"/>
    </row>
    <row r="197" spans="2:32" ht="18" customHeight="1" x14ac:dyDescent="0.3">
      <c r="B197" s="104"/>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8"/>
    </row>
    <row r="198" spans="2:32" ht="18" customHeight="1" x14ac:dyDescent="0.3">
      <c r="B198" s="104"/>
      <c r="C198" s="244" t="s">
        <v>48</v>
      </c>
      <c r="D198" s="250" t="s">
        <v>261</v>
      </c>
      <c r="E198" s="250"/>
      <c r="F198" s="250"/>
      <c r="G198" s="250"/>
      <c r="H198" s="250"/>
      <c r="I198" s="250"/>
      <c r="J198" s="250"/>
      <c r="K198" s="250"/>
      <c r="L198" s="250"/>
      <c r="M198" s="250"/>
      <c r="N198" s="250"/>
      <c r="O198" s="250"/>
      <c r="P198" s="250"/>
      <c r="Q198" s="227"/>
      <c r="R198" s="227"/>
      <c r="S198" s="227"/>
      <c r="T198" s="227"/>
      <c r="U198" s="227"/>
      <c r="V198" s="227"/>
      <c r="W198" s="256"/>
      <c r="X198" s="256"/>
      <c r="Y198" s="256"/>
      <c r="Z198" s="256"/>
      <c r="AA198" s="256"/>
      <c r="AB198" s="256"/>
      <c r="AC198" s="256"/>
      <c r="AD198" s="256"/>
      <c r="AE198" s="99"/>
      <c r="AF198" s="98"/>
    </row>
    <row r="199" spans="2:32" ht="18" customHeight="1" x14ac:dyDescent="0.3">
      <c r="B199" s="104"/>
      <c r="C199" s="244" t="s">
        <v>49</v>
      </c>
      <c r="D199" s="250" t="s">
        <v>262</v>
      </c>
      <c r="E199" s="250"/>
      <c r="F199" s="250"/>
      <c r="G199" s="250"/>
      <c r="H199" s="250"/>
      <c r="I199" s="250"/>
      <c r="J199" s="250"/>
      <c r="K199" s="250"/>
      <c r="L199" s="250"/>
      <c r="M199" s="250"/>
      <c r="N199" s="250"/>
      <c r="O199" s="250"/>
      <c r="P199" s="250"/>
      <c r="Q199" s="227"/>
      <c r="R199" s="256"/>
      <c r="S199" s="256"/>
      <c r="T199" s="256"/>
      <c r="U199" s="256"/>
      <c r="V199" s="256"/>
      <c r="W199" s="256"/>
      <c r="X199" s="256"/>
      <c r="Y199" s="256"/>
      <c r="Z199" s="256"/>
      <c r="AA199" s="256"/>
      <c r="AB199" s="256"/>
      <c r="AC199" s="256"/>
      <c r="AD199" s="256"/>
      <c r="AE199" s="99"/>
      <c r="AF199" s="98"/>
    </row>
    <row r="200" spans="2:32" ht="18" customHeight="1" x14ac:dyDescent="0.3">
      <c r="B200" s="104"/>
      <c r="C200" s="244" t="s">
        <v>50</v>
      </c>
      <c r="D200" s="250" t="s">
        <v>263</v>
      </c>
      <c r="E200" s="250"/>
      <c r="F200" s="250"/>
      <c r="G200" s="250"/>
      <c r="H200" s="250"/>
      <c r="I200" s="250"/>
      <c r="J200" s="250"/>
      <c r="K200" s="250"/>
      <c r="L200" s="250"/>
      <c r="M200" s="250"/>
      <c r="N200" s="250"/>
      <c r="O200" s="250"/>
      <c r="P200" s="250"/>
      <c r="Q200" s="227"/>
      <c r="R200" s="256"/>
      <c r="S200" s="256"/>
      <c r="T200" s="256"/>
      <c r="U200" s="256"/>
      <c r="V200" s="256"/>
      <c r="W200" s="256"/>
      <c r="X200" s="256"/>
      <c r="Y200" s="256"/>
      <c r="Z200" s="256"/>
      <c r="AA200" s="256"/>
      <c r="AB200" s="256"/>
      <c r="AC200" s="256"/>
      <c r="AD200" s="256"/>
      <c r="AE200" s="99"/>
      <c r="AF200" s="98"/>
    </row>
    <row r="201" spans="2:32" ht="18" customHeight="1" x14ac:dyDescent="0.3">
      <c r="B201" s="104"/>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99"/>
      <c r="AF201" s="98"/>
    </row>
    <row r="202" spans="2:32" ht="18" customHeight="1" x14ac:dyDescent="0.3">
      <c r="B202" s="104"/>
      <c r="C202" s="173" t="s">
        <v>168</v>
      </c>
      <c r="D202" s="250" t="s">
        <v>110</v>
      </c>
      <c r="E202" s="250"/>
      <c r="F202" s="250"/>
      <c r="G202" s="250"/>
      <c r="H202" s="250"/>
      <c r="I202" s="250"/>
      <c r="J202" s="250"/>
      <c r="K202" s="250"/>
      <c r="L202" s="250"/>
      <c r="M202" s="250"/>
      <c r="N202" s="250"/>
      <c r="O202" s="250"/>
      <c r="P202" s="250"/>
      <c r="Q202" s="227"/>
      <c r="R202" s="227"/>
      <c r="S202" s="227"/>
      <c r="T202" s="227"/>
      <c r="U202" s="227"/>
      <c r="V202" s="256"/>
      <c r="W202" s="256"/>
      <c r="X202" s="256"/>
      <c r="Y202" s="256"/>
      <c r="Z202" s="256"/>
      <c r="AA202" s="256"/>
      <c r="AB202" s="256"/>
      <c r="AC202" s="256"/>
      <c r="AD202" s="256"/>
      <c r="AE202" s="99"/>
      <c r="AF202" s="98"/>
    </row>
    <row r="203" spans="2:32" ht="18" customHeight="1" x14ac:dyDescent="0.3">
      <c r="B203" s="104"/>
      <c r="C203" s="173" t="s">
        <v>169</v>
      </c>
      <c r="D203" s="250" t="s">
        <v>244</v>
      </c>
      <c r="E203" s="250"/>
      <c r="F203" s="250"/>
      <c r="G203" s="250"/>
      <c r="H203" s="250"/>
      <c r="I203" s="250"/>
      <c r="J203" s="250"/>
      <c r="K203" s="250"/>
      <c r="L203" s="250"/>
      <c r="M203" s="250"/>
      <c r="N203" s="250"/>
      <c r="O203" s="250"/>
      <c r="P203" s="250"/>
      <c r="Q203" s="227"/>
      <c r="R203" s="256"/>
      <c r="S203" s="256"/>
      <c r="T203" s="256"/>
      <c r="U203" s="256"/>
      <c r="V203" s="256"/>
      <c r="W203" s="256"/>
      <c r="X203" s="256"/>
      <c r="Y203" s="256"/>
      <c r="Z203" s="256"/>
      <c r="AA203" s="256"/>
      <c r="AB203" s="256"/>
      <c r="AC203" s="256"/>
      <c r="AD203" s="256"/>
      <c r="AE203" s="99"/>
      <c r="AF203" s="98"/>
    </row>
    <row r="204" spans="2:32" ht="18" customHeight="1" x14ac:dyDescent="0.3">
      <c r="B204" s="117"/>
      <c r="C204" s="343" t="s">
        <v>188</v>
      </c>
      <c r="D204" s="343"/>
      <c r="E204" s="343"/>
      <c r="F204" s="117"/>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row>
    <row r="205" spans="2:32" ht="18" customHeight="1" x14ac:dyDescent="0.3">
      <c r="B205" s="117"/>
      <c r="C205" s="343"/>
      <c r="D205" s="343"/>
      <c r="E205" s="343"/>
      <c r="F205" s="108"/>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8"/>
    </row>
    <row r="206" spans="2:32" ht="18" customHeight="1" x14ac:dyDescent="0.3">
      <c r="B206" s="98"/>
      <c r="C206" s="109" t="s">
        <v>52</v>
      </c>
      <c r="D206" s="249" t="s">
        <v>321</v>
      </c>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5"/>
      <c r="AC206" s="266"/>
      <c r="AD206" s="266"/>
      <c r="AE206" s="99"/>
      <c r="AF206" s="98"/>
    </row>
    <row r="207" spans="2:32" ht="18" customHeight="1" x14ac:dyDescent="0.3">
      <c r="B207" s="98"/>
      <c r="C207" s="109" t="s">
        <v>53</v>
      </c>
      <c r="D207" s="249" t="s">
        <v>322</v>
      </c>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5"/>
      <c r="AC207" s="266"/>
      <c r="AD207" s="266"/>
      <c r="AE207" s="99"/>
      <c r="AF207" s="98"/>
    </row>
    <row r="208" spans="2:32" ht="18" customHeight="1" x14ac:dyDescent="0.3">
      <c r="B208" s="98"/>
      <c r="C208" s="109" t="s">
        <v>54</v>
      </c>
      <c r="D208" s="249" t="s">
        <v>322</v>
      </c>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5"/>
      <c r="AC208" s="266"/>
      <c r="AD208" s="266"/>
      <c r="AE208" s="99"/>
      <c r="AF208" s="98"/>
    </row>
    <row r="209" spans="2:32" ht="18" customHeight="1" x14ac:dyDescent="0.3">
      <c r="B209" s="98"/>
      <c r="C209" s="109" t="s">
        <v>291</v>
      </c>
      <c r="D209" s="249" t="s">
        <v>323</v>
      </c>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3"/>
      <c r="AE209" s="99"/>
      <c r="AF209" s="98"/>
    </row>
    <row r="210" spans="2:32" ht="18" customHeight="1" x14ac:dyDescent="0.3">
      <c r="B210" s="98"/>
      <c r="C210" s="109" t="s">
        <v>290</v>
      </c>
      <c r="D210" s="249" t="s">
        <v>324</v>
      </c>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3"/>
      <c r="AE210" s="99"/>
      <c r="AF210" s="98"/>
    </row>
    <row r="211" spans="2:32" ht="18" customHeight="1" x14ac:dyDescent="0.3">
      <c r="B211" s="98"/>
      <c r="C211" s="109" t="s">
        <v>293</v>
      </c>
      <c r="D211" s="249" t="s">
        <v>325</v>
      </c>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3"/>
      <c r="AE211" s="99"/>
      <c r="AF211" s="98"/>
    </row>
    <row r="212" spans="2:32" ht="18" customHeight="1" x14ac:dyDescent="0.3">
      <c r="B212" s="98"/>
      <c r="C212" s="109" t="s">
        <v>292</v>
      </c>
      <c r="D212" s="249" t="s">
        <v>326</v>
      </c>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3"/>
      <c r="AE212" s="99"/>
      <c r="AF212" s="98"/>
    </row>
    <row r="213" spans="2:32" ht="18" customHeight="1" x14ac:dyDescent="0.3">
      <c r="B213" s="98"/>
      <c r="C213" s="109" t="s">
        <v>294</v>
      </c>
      <c r="D213" s="249" t="s">
        <v>327</v>
      </c>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3"/>
      <c r="AE213" s="99"/>
      <c r="AF213" s="98"/>
    </row>
    <row r="214" spans="2:32" ht="18" customHeight="1" x14ac:dyDescent="0.3">
      <c r="B214" s="98"/>
      <c r="C214" s="109" t="s">
        <v>295</v>
      </c>
      <c r="D214" s="249" t="s">
        <v>328</v>
      </c>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3"/>
      <c r="AE214" s="99"/>
      <c r="AF214" s="98"/>
    </row>
    <row r="215" spans="2:32" ht="18" customHeight="1" x14ac:dyDescent="0.3">
      <c r="B215" s="98"/>
      <c r="C215" s="109" t="s">
        <v>221</v>
      </c>
      <c r="D215" s="249" t="s">
        <v>299</v>
      </c>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3"/>
      <c r="AE215" s="99"/>
      <c r="AF215" s="98"/>
    </row>
    <row r="216" spans="2:32" ht="18" customHeight="1" x14ac:dyDescent="0.3">
      <c r="B216" s="98"/>
      <c r="C216" s="109" t="s">
        <v>8</v>
      </c>
      <c r="D216" s="249" t="s">
        <v>217</v>
      </c>
      <c r="E216" s="264"/>
      <c r="F216" s="264"/>
      <c r="G216" s="264"/>
      <c r="H216" s="264"/>
      <c r="I216" s="264"/>
      <c r="J216" s="264"/>
      <c r="K216" s="264"/>
      <c r="L216" s="264"/>
      <c r="M216" s="264"/>
      <c r="N216" s="264"/>
      <c r="O216" s="265"/>
      <c r="P216" s="266"/>
      <c r="Q216" s="266"/>
      <c r="R216" s="266"/>
      <c r="S216" s="266"/>
      <c r="T216" s="266"/>
      <c r="U216" s="266"/>
      <c r="V216" s="266"/>
      <c r="W216" s="266"/>
      <c r="X216" s="266"/>
      <c r="Y216" s="266"/>
      <c r="Z216" s="266"/>
      <c r="AA216" s="266"/>
      <c r="AB216" s="266"/>
      <c r="AC216" s="266"/>
      <c r="AD216" s="266"/>
      <c r="AE216" s="99"/>
      <c r="AF216" s="98"/>
    </row>
    <row r="217" spans="2:32" ht="18" customHeight="1" x14ac:dyDescent="0.3">
      <c r="B217" s="98"/>
      <c r="C217" s="99"/>
      <c r="D217" s="245"/>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8"/>
    </row>
    <row r="218" spans="2:32" ht="18" customHeight="1" x14ac:dyDescent="0.3">
      <c r="B218" s="98"/>
      <c r="C218" s="244" t="s">
        <v>48</v>
      </c>
      <c r="D218" s="249" t="s">
        <v>264</v>
      </c>
      <c r="E218" s="264"/>
      <c r="F218" s="264"/>
      <c r="G218" s="264"/>
      <c r="H218" s="264"/>
      <c r="I218" s="264"/>
      <c r="J218" s="264"/>
      <c r="K218" s="264"/>
      <c r="L218" s="264"/>
      <c r="M218" s="264"/>
      <c r="N218" s="264"/>
      <c r="O218" s="264"/>
      <c r="P218" s="266"/>
      <c r="Q218" s="266"/>
      <c r="R218" s="266"/>
      <c r="S218" s="266"/>
      <c r="T218" s="266"/>
      <c r="U218" s="266"/>
      <c r="V218" s="266"/>
      <c r="W218" s="266"/>
      <c r="X218" s="266"/>
      <c r="Y218" s="266"/>
      <c r="Z218" s="266"/>
      <c r="AA218" s="266"/>
      <c r="AB218" s="266"/>
      <c r="AC218" s="266"/>
      <c r="AD218" s="266"/>
      <c r="AE218" s="99"/>
      <c r="AF218" s="98"/>
    </row>
    <row r="219" spans="2:32" ht="18" customHeight="1" x14ac:dyDescent="0.3">
      <c r="B219" s="98"/>
      <c r="C219" s="244" t="s">
        <v>49</v>
      </c>
      <c r="D219" s="249" t="s">
        <v>257</v>
      </c>
      <c r="E219" s="264"/>
      <c r="F219" s="264"/>
      <c r="G219" s="264"/>
      <c r="H219" s="264"/>
      <c r="I219" s="264"/>
      <c r="J219" s="264"/>
      <c r="K219" s="264"/>
      <c r="L219" s="264"/>
      <c r="M219" s="264"/>
      <c r="N219" s="265"/>
      <c r="O219" s="265"/>
      <c r="P219" s="266"/>
      <c r="Q219" s="266"/>
      <c r="R219" s="266"/>
      <c r="S219" s="266"/>
      <c r="T219" s="266"/>
      <c r="U219" s="266"/>
      <c r="V219" s="266"/>
      <c r="W219" s="266"/>
      <c r="X219" s="266"/>
      <c r="Y219" s="266"/>
      <c r="Z219" s="266"/>
      <c r="AA219" s="266"/>
      <c r="AB219" s="266"/>
      <c r="AC219" s="266"/>
      <c r="AD219" s="266"/>
      <c r="AE219" s="99"/>
      <c r="AF219" s="98"/>
    </row>
    <row r="220" spans="2:32" ht="18" customHeight="1" x14ac:dyDescent="0.3">
      <c r="B220" s="98"/>
      <c r="C220" s="244" t="s">
        <v>50</v>
      </c>
      <c r="D220" s="249" t="s">
        <v>252</v>
      </c>
      <c r="E220" s="264"/>
      <c r="F220" s="264"/>
      <c r="G220" s="264"/>
      <c r="H220" s="264"/>
      <c r="I220" s="264"/>
      <c r="J220" s="264"/>
      <c r="K220" s="264"/>
      <c r="L220" s="264"/>
      <c r="M220" s="265"/>
      <c r="N220" s="265"/>
      <c r="O220" s="265"/>
      <c r="P220" s="266"/>
      <c r="Q220" s="266"/>
      <c r="R220" s="266"/>
      <c r="S220" s="266"/>
      <c r="T220" s="266"/>
      <c r="U220" s="266"/>
      <c r="V220" s="266"/>
      <c r="W220" s="266"/>
      <c r="X220" s="266"/>
      <c r="Y220" s="266"/>
      <c r="Z220" s="266"/>
      <c r="AA220" s="266"/>
      <c r="AB220" s="266"/>
      <c r="AC220" s="266"/>
      <c r="AD220" s="266"/>
      <c r="AE220" s="99"/>
      <c r="AF220" s="98"/>
    </row>
    <row r="221" spans="2:32" ht="18" customHeight="1" x14ac:dyDescent="0.3">
      <c r="B221" s="98"/>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8"/>
    </row>
    <row r="222" spans="2:32" ht="18" customHeight="1" x14ac:dyDescent="0.3">
      <c r="B222" s="98"/>
      <c r="C222" s="173" t="s">
        <v>168</v>
      </c>
      <c r="D222" s="249" t="s">
        <v>283</v>
      </c>
      <c r="E222" s="251"/>
      <c r="F222" s="251"/>
      <c r="G222" s="251"/>
      <c r="H222" s="251"/>
      <c r="I222" s="251"/>
      <c r="J222" s="251"/>
      <c r="K222" s="251"/>
      <c r="L222" s="251"/>
      <c r="M222" s="251"/>
      <c r="N222" s="257"/>
      <c r="O222" s="257"/>
      <c r="P222" s="257"/>
      <c r="Q222" s="257"/>
      <c r="R222" s="257"/>
      <c r="S222" s="257"/>
      <c r="T222" s="257"/>
      <c r="U222" s="256"/>
      <c r="V222" s="256"/>
      <c r="W222" s="256"/>
      <c r="X222" s="256"/>
      <c r="Y222" s="256"/>
      <c r="Z222" s="256"/>
      <c r="AA222" s="256"/>
      <c r="AB222" s="256"/>
      <c r="AC222" s="256"/>
      <c r="AD222" s="256"/>
      <c r="AE222" s="99"/>
      <c r="AF222" s="98"/>
    </row>
    <row r="223" spans="2:32" ht="18" customHeight="1" x14ac:dyDescent="0.3">
      <c r="B223" s="98"/>
      <c r="C223" s="173" t="s">
        <v>169</v>
      </c>
      <c r="D223" s="249" t="s">
        <v>284</v>
      </c>
      <c r="E223" s="251"/>
      <c r="F223" s="251"/>
      <c r="G223" s="251"/>
      <c r="H223" s="251"/>
      <c r="I223" s="251"/>
      <c r="J223" s="251"/>
      <c r="K223" s="251"/>
      <c r="L223" s="251"/>
      <c r="M223" s="251"/>
      <c r="N223" s="256"/>
      <c r="O223" s="256"/>
      <c r="P223" s="256"/>
      <c r="Q223" s="256"/>
      <c r="R223" s="256"/>
      <c r="S223" s="256"/>
      <c r="T223" s="256"/>
      <c r="U223" s="256"/>
      <c r="V223" s="256"/>
      <c r="W223" s="256"/>
      <c r="X223" s="256"/>
      <c r="Y223" s="256"/>
      <c r="Z223" s="256"/>
      <c r="AA223" s="256"/>
      <c r="AB223" s="256"/>
      <c r="AC223" s="256"/>
      <c r="AD223" s="256"/>
      <c r="AE223" s="99"/>
      <c r="AF223" s="98"/>
    </row>
    <row r="224" spans="2:32" ht="18" customHeight="1" x14ac:dyDescent="0.3">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row>
  </sheetData>
  <mergeCells count="58">
    <mergeCell ref="L15:M15"/>
    <mergeCell ref="C13:E14"/>
    <mergeCell ref="C15:E15"/>
    <mergeCell ref="AC18:AE18"/>
    <mergeCell ref="AC70:AE70"/>
    <mergeCell ref="F15:G15"/>
    <mergeCell ref="H14:I14"/>
    <mergeCell ref="H15:I15"/>
    <mergeCell ref="J14:K14"/>
    <mergeCell ref="J15:K15"/>
    <mergeCell ref="C204:E205"/>
    <mergeCell ref="C72:F73"/>
    <mergeCell ref="G72:J73"/>
    <mergeCell ref="C124:F125"/>
    <mergeCell ref="G124:J125"/>
    <mergeCell ref="C176:F177"/>
    <mergeCell ref="G176:J177"/>
    <mergeCell ref="C182:E183"/>
    <mergeCell ref="C187:E188"/>
    <mergeCell ref="F123:J123"/>
    <mergeCell ref="F175:J175"/>
    <mergeCell ref="C135:E136"/>
    <mergeCell ref="C100:E101"/>
    <mergeCell ref="C130:E131"/>
    <mergeCell ref="V77:W77"/>
    <mergeCell ref="C78:E79"/>
    <mergeCell ref="C83:E84"/>
    <mergeCell ref="V123:AE124"/>
    <mergeCell ref="V129:W129"/>
    <mergeCell ref="L123:T124"/>
    <mergeCell ref="C122:E123"/>
    <mergeCell ref="AC122:AE122"/>
    <mergeCell ref="V181:W181"/>
    <mergeCell ref="L175:T176"/>
    <mergeCell ref="V175:AE176"/>
    <mergeCell ref="C174:E175"/>
    <mergeCell ref="C152:E153"/>
    <mergeCell ref="AC174:AE174"/>
    <mergeCell ref="L71:T72"/>
    <mergeCell ref="V71:AE72"/>
    <mergeCell ref="C48:E49"/>
    <mergeCell ref="C70:E71"/>
    <mergeCell ref="V19:AE20"/>
    <mergeCell ref="V25:W25"/>
    <mergeCell ref="C18:E19"/>
    <mergeCell ref="C26:E27"/>
    <mergeCell ref="G20:J21"/>
    <mergeCell ref="C20:F21"/>
    <mergeCell ref="C31:E32"/>
    <mergeCell ref="L19:T20"/>
    <mergeCell ref="F19:J19"/>
    <mergeCell ref="F71:J71"/>
    <mergeCell ref="L2:M3"/>
    <mergeCell ref="L4:AE10"/>
    <mergeCell ref="C4:E5"/>
    <mergeCell ref="F14:G14"/>
    <mergeCell ref="L14:M14"/>
    <mergeCell ref="C2:H3"/>
  </mergeCells>
  <phoneticPr fontId="6" type="noConversion"/>
  <hyperlinks>
    <hyperlink ref="F14" location="'Více cest'!B27" display="'Více cest'!B27" xr:uid="{A48766AB-11AF-46C5-BAAA-F2009E65009A}"/>
    <hyperlink ref="F14:G14" location="Zmrzlina_MIN!C19" display="Varianta 1" xr:uid="{8241696F-D31D-4319-8761-1B74864BA521}"/>
    <hyperlink ref="H14:I14" location="Zmrzlina_MIN!C71" display="Varianta 2" xr:uid="{53AAD884-B6AB-4AF0-8C56-F82E2C0CF5E6}"/>
    <hyperlink ref="J14:K14" location="Zmrzlina_MIN!C123" display="Varianta 3" xr:uid="{A35E9D5B-84AC-499D-B0CF-3798D9155A0A}"/>
    <hyperlink ref="L14:M14" location="Zmrzlina_MIN!C175" display="Varianta 4" xr:uid="{4653A15E-860C-4584-AEA0-9C698E80BC4D}"/>
    <hyperlink ref="AC18:AE18" location="Zmrzlina_MIN!C14" display="↑ zpět na obsah" xr:uid="{3E98D758-43EF-4F2C-99BC-18B737DCCDE5}"/>
    <hyperlink ref="AC70:AE70" location="Zmrzlina_MIN!C14" display="↑ zpět na obsah" xr:uid="{496D9ED3-4B51-42AC-8FC0-8E0F3CEFAD80}"/>
    <hyperlink ref="AC122:AE122" location="Zmrzlina_MIN!C14" display="↑ zpět na obsah" xr:uid="{FF56A8CB-9DF1-4CA5-AFB7-CDC6FEE63CFA}"/>
    <hyperlink ref="AC174:AE174" location="Zmrzlina_MIN!C14" display="↑ zpět na obsah" xr:uid="{F4B137DD-9BB3-42E1-B291-0027AA5C352C}"/>
  </hyperlinks>
  <pageMargins left="0.7" right="0.7" top="0.78740157499999996" bottom="0.78740157499999996"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09AE-B859-4878-A497-5F9D2230D9F6}">
  <sheetPr codeName="List7">
    <tabColor theme="8" tint="0.39997558519241921"/>
  </sheetPr>
  <dimension ref="B2:AT36"/>
  <sheetViews>
    <sheetView zoomScaleNormal="100" workbookViewId="0">
      <selection activeCell="C2" sqref="C2:I3"/>
    </sheetView>
  </sheetViews>
  <sheetFormatPr defaultRowHeight="18" customHeight="1" x14ac:dyDescent="0.3"/>
  <cols>
    <col min="1" max="1" width="4.77734375" customWidth="1"/>
    <col min="2" max="2" width="2.77734375" customWidth="1"/>
    <col min="3" max="18" width="7.77734375" customWidth="1"/>
    <col min="19" max="19" width="3.77734375" customWidth="1"/>
    <col min="20" max="35" width="7.77734375" customWidth="1"/>
    <col min="36" max="36" width="2.77734375" customWidth="1"/>
    <col min="37" max="47" width="7.77734375" customWidth="1"/>
  </cols>
  <sheetData>
    <row r="2" spans="2:46" ht="15" customHeight="1" x14ac:dyDescent="0.3">
      <c r="B2" s="214"/>
      <c r="C2" s="321" t="s">
        <v>128</v>
      </c>
      <c r="D2" s="321"/>
      <c r="E2" s="321"/>
      <c r="F2" s="321"/>
      <c r="G2" s="321"/>
      <c r="H2" s="321"/>
      <c r="I2" s="32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2:46" s="189" customFormat="1" ht="25.05" customHeight="1" thickBot="1" x14ac:dyDescent="0.55000000000000004">
      <c r="B3" s="214"/>
      <c r="C3" s="321"/>
      <c r="D3" s="321"/>
      <c r="E3" s="321"/>
      <c r="F3" s="321"/>
      <c r="G3" s="321"/>
      <c r="H3" s="321"/>
      <c r="I3" s="321"/>
      <c r="J3" s="224"/>
      <c r="K3" s="224"/>
      <c r="L3" s="224"/>
      <c r="M3" s="224"/>
      <c r="N3" s="224"/>
      <c r="O3" s="224"/>
      <c r="P3" s="72"/>
      <c r="Q3" s="72"/>
      <c r="R3" s="72"/>
      <c r="S3" s="72"/>
      <c r="T3" s="72"/>
      <c r="U3" s="72"/>
      <c r="V3" s="72"/>
      <c r="W3" s="72"/>
      <c r="X3" s="348" t="s">
        <v>160</v>
      </c>
      <c r="Y3" s="348"/>
      <c r="Z3" s="72"/>
      <c r="AA3" s="348" t="s">
        <v>172</v>
      </c>
      <c r="AB3" s="348"/>
      <c r="AC3" s="72"/>
      <c r="AD3" s="348" t="s">
        <v>173</v>
      </c>
      <c r="AE3" s="348"/>
      <c r="AF3" s="72"/>
      <c r="AG3" s="348" t="s">
        <v>174</v>
      </c>
      <c r="AH3" s="348"/>
      <c r="AI3" s="72"/>
      <c r="AJ3" s="71"/>
      <c r="AK3"/>
      <c r="AL3"/>
    </row>
    <row r="4" spans="2:46" s="189" customFormat="1" ht="25.05" customHeight="1" x14ac:dyDescent="0.5">
      <c r="B4" s="215"/>
      <c r="C4" s="324" t="s">
        <v>171</v>
      </c>
      <c r="D4" s="324"/>
      <c r="E4" s="324"/>
      <c r="F4" s="324"/>
      <c r="G4" s="190"/>
      <c r="H4" s="207"/>
      <c r="I4" s="350" t="s">
        <v>206</v>
      </c>
      <c r="J4" s="350"/>
      <c r="K4" s="350"/>
      <c r="L4" s="350"/>
      <c r="M4" s="350"/>
      <c r="N4" s="350"/>
      <c r="O4" s="350"/>
      <c r="P4" s="350"/>
      <c r="Q4" s="207"/>
      <c r="R4" s="207"/>
      <c r="S4" s="72"/>
      <c r="T4" s="330" t="s">
        <v>207</v>
      </c>
      <c r="U4" s="330"/>
      <c r="V4" s="330"/>
      <c r="W4" s="72"/>
      <c r="X4" s="201" t="s">
        <v>145</v>
      </c>
      <c r="Y4" s="202">
        <v>1090</v>
      </c>
      <c r="Z4" s="72"/>
      <c r="AA4" s="201" t="s">
        <v>136</v>
      </c>
      <c r="AB4" s="202">
        <v>231</v>
      </c>
      <c r="AC4" s="72"/>
      <c r="AD4" s="201" t="s">
        <v>137</v>
      </c>
      <c r="AE4" s="202">
        <v>186</v>
      </c>
      <c r="AF4" s="72"/>
      <c r="AG4" s="201" t="s">
        <v>138</v>
      </c>
      <c r="AH4" s="202">
        <v>116</v>
      </c>
      <c r="AI4" s="72"/>
      <c r="AJ4" s="71"/>
      <c r="AK4"/>
      <c r="AL4"/>
    </row>
    <row r="5" spans="2:46" s="185" customFormat="1" ht="25.05" customHeight="1" thickBot="1" x14ac:dyDescent="0.35">
      <c r="B5" s="191"/>
      <c r="C5" s="349" t="s">
        <v>161</v>
      </c>
      <c r="D5" s="349"/>
      <c r="E5" s="349"/>
      <c r="F5" s="190"/>
      <c r="G5" s="190"/>
      <c r="H5" s="190"/>
      <c r="I5" s="348" t="s">
        <v>172</v>
      </c>
      <c r="J5" s="348"/>
      <c r="K5" s="223"/>
      <c r="L5" s="348" t="s">
        <v>173</v>
      </c>
      <c r="M5" s="348"/>
      <c r="N5" s="72"/>
      <c r="O5" s="348" t="s">
        <v>174</v>
      </c>
      <c r="P5" s="348"/>
      <c r="Q5" s="223"/>
      <c r="R5" s="190"/>
      <c r="S5" s="190"/>
      <c r="T5" s="330" t="s">
        <v>175</v>
      </c>
      <c r="U5" s="330"/>
      <c r="V5" s="330"/>
      <c r="W5" s="190"/>
      <c r="X5" s="201" t="s">
        <v>146</v>
      </c>
      <c r="Y5" s="203">
        <v>444</v>
      </c>
      <c r="Z5" s="190"/>
      <c r="AA5" s="201" t="s">
        <v>139</v>
      </c>
      <c r="AB5" s="203">
        <v>80</v>
      </c>
      <c r="AC5" s="190"/>
      <c r="AD5" s="201" t="s">
        <v>140</v>
      </c>
      <c r="AE5" s="203">
        <v>70</v>
      </c>
      <c r="AF5" s="190"/>
      <c r="AG5" s="201" t="s">
        <v>141</v>
      </c>
      <c r="AH5" s="203">
        <v>65</v>
      </c>
      <c r="AI5" s="190"/>
      <c r="AJ5" s="71"/>
      <c r="AK5"/>
      <c r="AL5"/>
    </row>
    <row r="6" spans="2:46" s="185" customFormat="1" ht="25.05" customHeight="1" thickBot="1" x14ac:dyDescent="0.35">
      <c r="B6" s="191"/>
      <c r="C6" s="349"/>
      <c r="D6" s="349"/>
      <c r="E6" s="349"/>
      <c r="F6" s="190"/>
      <c r="G6" s="190"/>
      <c r="H6" s="190"/>
      <c r="I6" s="201" t="s">
        <v>148</v>
      </c>
      <c r="J6" s="205">
        <v>355</v>
      </c>
      <c r="K6" s="190"/>
      <c r="L6" s="222" t="s">
        <v>149</v>
      </c>
      <c r="M6" s="205">
        <v>382</v>
      </c>
      <c r="N6" s="190"/>
      <c r="O6" s="201" t="s">
        <v>150</v>
      </c>
      <c r="P6" s="205">
        <v>315</v>
      </c>
      <c r="Q6" s="190"/>
      <c r="R6" s="190"/>
      <c r="S6" s="190"/>
      <c r="T6" s="330" t="s">
        <v>208</v>
      </c>
      <c r="U6" s="330"/>
      <c r="V6" s="330"/>
      <c r="W6" s="190"/>
      <c r="X6" s="201" t="s">
        <v>147</v>
      </c>
      <c r="Y6" s="204">
        <v>24</v>
      </c>
      <c r="Z6" s="190"/>
      <c r="AA6" s="201" t="s">
        <v>142</v>
      </c>
      <c r="AB6" s="204">
        <v>2</v>
      </c>
      <c r="AC6" s="190"/>
      <c r="AD6" s="201" t="s">
        <v>143</v>
      </c>
      <c r="AE6" s="225">
        <v>0</v>
      </c>
      <c r="AF6" s="190"/>
      <c r="AG6" s="201" t="s">
        <v>144</v>
      </c>
      <c r="AH6" s="204">
        <v>2</v>
      </c>
      <c r="AI6" s="190"/>
      <c r="AJ6" s="71"/>
      <c r="AK6"/>
      <c r="AL6"/>
    </row>
    <row r="7" spans="2:46" s="185" customFormat="1" ht="18" customHeight="1" x14ac:dyDescent="0.3">
      <c r="B7" s="191"/>
      <c r="C7" s="349"/>
      <c r="D7" s="349"/>
      <c r="E7" s="349"/>
      <c r="F7" s="190"/>
      <c r="G7" s="190"/>
      <c r="H7" s="190"/>
      <c r="I7" s="190"/>
      <c r="J7" s="190"/>
      <c r="K7" s="190"/>
      <c r="L7" s="190"/>
      <c r="M7" s="190"/>
      <c r="N7" s="190"/>
      <c r="O7" s="190"/>
      <c r="P7" s="190"/>
      <c r="Q7" s="190"/>
      <c r="R7" s="190"/>
      <c r="S7" s="190"/>
      <c r="T7" s="190"/>
      <c r="U7" s="201"/>
      <c r="V7" s="201"/>
      <c r="W7" s="201"/>
      <c r="X7" s="206"/>
      <c r="Y7" s="190"/>
      <c r="Z7" s="201"/>
      <c r="AA7" s="206"/>
      <c r="AB7" s="190"/>
      <c r="AC7" s="190"/>
      <c r="AD7" s="201"/>
      <c r="AE7" s="206"/>
      <c r="AF7" s="190"/>
      <c r="AG7" s="201"/>
      <c r="AH7" s="206"/>
      <c r="AI7" s="190"/>
      <c r="AJ7" s="71"/>
      <c r="AK7"/>
      <c r="AL7"/>
    </row>
    <row r="8" spans="2:46" s="184" customFormat="1" ht="25.05" customHeight="1" x14ac:dyDescent="0.35">
      <c r="B8" s="194"/>
      <c r="C8" s="334" t="s">
        <v>130</v>
      </c>
      <c r="D8" s="334"/>
      <c r="E8" s="334"/>
      <c r="F8" s="334"/>
      <c r="G8" s="334"/>
      <c r="H8" s="197"/>
      <c r="I8" s="197"/>
      <c r="J8" s="197"/>
      <c r="K8" s="197"/>
      <c r="L8" s="197"/>
      <c r="M8" s="197"/>
      <c r="N8" s="197"/>
      <c r="O8" s="197"/>
      <c r="P8" s="333" t="s">
        <v>131</v>
      </c>
      <c r="Q8" s="333"/>
      <c r="R8" s="333"/>
      <c r="S8" s="194"/>
      <c r="T8" s="334" t="s">
        <v>132</v>
      </c>
      <c r="U8" s="334"/>
      <c r="V8" s="334"/>
      <c r="W8" s="334"/>
      <c r="X8" s="334"/>
      <c r="Y8" s="334"/>
      <c r="Z8" s="197"/>
      <c r="AA8" s="197"/>
      <c r="AB8" s="197"/>
      <c r="AC8" s="197"/>
      <c r="AD8" s="197"/>
      <c r="AE8" s="197"/>
      <c r="AF8" s="197"/>
      <c r="AG8" s="333" t="s">
        <v>133</v>
      </c>
      <c r="AH8" s="333"/>
      <c r="AI8" s="333"/>
      <c r="AJ8" s="197"/>
      <c r="AK8"/>
      <c r="AL8"/>
    </row>
    <row r="9" spans="2:46" ht="18" customHeight="1" thickBot="1" x14ac:dyDescent="0.35">
      <c r="B9" s="71"/>
      <c r="C9" s="4"/>
      <c r="D9" s="4"/>
      <c r="E9" s="4"/>
      <c r="F9" s="216" t="str">
        <f t="shared" ref="F9:L9" si="0">IF($Q$16=F$15,"↓","")</f>
        <v>↓</v>
      </c>
      <c r="G9" s="216" t="str">
        <f t="shared" si="0"/>
        <v/>
      </c>
      <c r="H9" s="216" t="str">
        <f t="shared" si="0"/>
        <v/>
      </c>
      <c r="I9" s="216" t="str">
        <f t="shared" si="0"/>
        <v/>
      </c>
      <c r="J9" s="216" t="str">
        <f t="shared" si="0"/>
        <v/>
      </c>
      <c r="K9" s="216" t="str">
        <f t="shared" si="0"/>
        <v/>
      </c>
      <c r="L9" s="216" t="str">
        <f t="shared" si="0"/>
        <v/>
      </c>
      <c r="M9" s="216"/>
      <c r="N9" s="216"/>
      <c r="O9" s="216"/>
      <c r="S9" s="192"/>
      <c r="W9" s="219" t="str">
        <f t="shared" ref="W9:AC9" si="1">IF($AH$16=W15,"↓","")</f>
        <v/>
      </c>
      <c r="X9" s="219" t="str">
        <f t="shared" si="1"/>
        <v/>
      </c>
      <c r="Y9" s="219" t="str">
        <f t="shared" si="1"/>
        <v>↓</v>
      </c>
      <c r="Z9" s="219" t="str">
        <f t="shared" si="1"/>
        <v/>
      </c>
      <c r="AA9" s="219" t="str">
        <f t="shared" si="1"/>
        <v/>
      </c>
      <c r="AB9" s="219" t="str">
        <f t="shared" si="1"/>
        <v/>
      </c>
      <c r="AC9" s="219" t="str">
        <f t="shared" si="1"/>
        <v/>
      </c>
      <c r="AD9" s="219"/>
      <c r="AE9" s="219"/>
      <c r="AF9" s="219"/>
      <c r="AH9" s="219"/>
      <c r="AI9" s="198"/>
      <c r="AJ9" s="71"/>
      <c r="AR9" s="4"/>
      <c r="AS9" s="4"/>
      <c r="AT9" s="4"/>
    </row>
    <row r="10" spans="2:46" ht="18" customHeight="1" x14ac:dyDescent="0.3">
      <c r="B10" s="71"/>
      <c r="C10" s="4"/>
      <c r="D10" s="216"/>
      <c r="E10" s="27"/>
      <c r="F10" s="216">
        <f>J6</f>
        <v>355</v>
      </c>
      <c r="G10" s="216">
        <f>M6</f>
        <v>382</v>
      </c>
      <c r="H10" s="169">
        <f>P6</f>
        <v>315</v>
      </c>
      <c r="I10" s="216">
        <f>0</f>
        <v>0</v>
      </c>
      <c r="J10" s="216">
        <f>0</f>
        <v>0</v>
      </c>
      <c r="K10" s="216">
        <f>0</f>
        <v>0</v>
      </c>
      <c r="L10" s="216">
        <v>1000</v>
      </c>
      <c r="M10" s="31"/>
      <c r="N10" s="216"/>
      <c r="O10" s="216"/>
      <c r="Q10" s="54" t="s">
        <v>24</v>
      </c>
      <c r="S10" s="192"/>
      <c r="U10" s="216"/>
      <c r="V10" s="27"/>
      <c r="W10" s="219" cm="1">
        <f t="array" ref="W10:AC10">F10:L10</f>
        <v>355</v>
      </c>
      <c r="X10" s="219">
        <v>382</v>
      </c>
      <c r="Y10" s="169">
        <v>315</v>
      </c>
      <c r="Z10" s="219">
        <v>0</v>
      </c>
      <c r="AA10" s="219">
        <v>0</v>
      </c>
      <c r="AB10" s="219">
        <v>0</v>
      </c>
      <c r="AC10" s="219">
        <v>1000</v>
      </c>
      <c r="AD10" s="31"/>
      <c r="AE10" s="219"/>
      <c r="AF10" s="219"/>
      <c r="AH10" s="54" t="s">
        <v>24</v>
      </c>
      <c r="AJ10" s="71"/>
      <c r="AK10" s="219"/>
      <c r="AS10" s="4"/>
    </row>
    <row r="11" spans="2:46" ht="18" customHeight="1" thickBot="1" x14ac:dyDescent="0.35">
      <c r="B11" s="71"/>
      <c r="C11" s="4"/>
      <c r="D11" s="28" t="s">
        <v>20</v>
      </c>
      <c r="E11" s="29" t="s">
        <v>21</v>
      </c>
      <c r="F11" s="28" t="s">
        <v>0</v>
      </c>
      <c r="G11" s="28" t="s">
        <v>1</v>
      </c>
      <c r="H11" s="186" t="s">
        <v>2</v>
      </c>
      <c r="I11" s="28" t="s">
        <v>125</v>
      </c>
      <c r="J11" s="28" t="s">
        <v>126</v>
      </c>
      <c r="K11" s="28" t="s">
        <v>127</v>
      </c>
      <c r="L11" s="28" t="s">
        <v>176</v>
      </c>
      <c r="M11" s="32" t="s">
        <v>13</v>
      </c>
      <c r="N11" s="30" t="s">
        <v>14</v>
      </c>
      <c r="O11" s="34" t="s">
        <v>16</v>
      </c>
      <c r="Q11" s="41" t="str">
        <f>IF($Q$12=N12,$E$12,IF($Q$12=N13,$E$13,IF($Q$12=N14,$E$14,"--_(O_o)_--")))</f>
        <v>d1</v>
      </c>
      <c r="S11" s="192"/>
      <c r="U11" s="28" t="s">
        <v>20</v>
      </c>
      <c r="V11" s="29" t="s">
        <v>21</v>
      </c>
      <c r="W11" s="216" t="str" cm="1">
        <f t="array" ref="W11:AC11">F11:L11</f>
        <v>x1</v>
      </c>
      <c r="X11" s="216" t="str">
        <v>x2</v>
      </c>
      <c r="Y11" s="169" t="str">
        <v>x3</v>
      </c>
      <c r="Z11" s="216" t="str">
        <v>d1</v>
      </c>
      <c r="AA11" s="216" t="str">
        <v>d2</v>
      </c>
      <c r="AB11" s="216" t="str">
        <v>d3</v>
      </c>
      <c r="AC11" s="216" t="str">
        <v>p2</v>
      </c>
      <c r="AD11" s="33" t="s">
        <v>13</v>
      </c>
      <c r="AE11" s="51" t="s">
        <v>14</v>
      </c>
      <c r="AF11" s="52" t="s">
        <v>16</v>
      </c>
      <c r="AH11" s="49" t="str">
        <f>IF(AH12=AE12,$V$12,IF(AH12=AE13,$V$13,IF(AH12=AE14,$V$14,"--_(O_o)_--")))</f>
        <v>p2</v>
      </c>
      <c r="AJ11" s="71"/>
      <c r="AS11" s="4"/>
    </row>
    <row r="12" spans="2:46" ht="18" customHeight="1" thickBot="1" x14ac:dyDescent="0.35">
      <c r="B12" s="71"/>
      <c r="C12" s="216" t="str">
        <f>IF($Q$12=$N12,"→","")</f>
        <v>→</v>
      </c>
      <c r="D12" s="216">
        <f>IF($E12=$F$11,$F$10,IF($E12=$G$11,$G$10,IF($E12=$H$11,$H$10,IF($E12=$I$11,$I$10,IF($E12=$J$11,$J$10,IF($E12=$K$11,$K$10,IF($E12=$L$11,$L$10,"--__(O_o)__--")))))))</f>
        <v>0</v>
      </c>
      <c r="E12" s="27" t="str">
        <f>IF(AND(OR(F12="1",F12=1),F13=0,F14=0),F11,IF(AND(OR(G12="1",G12=1),G13=0,G14=0),G11,IF(AND(OR(H12="1",H12=1),H13=0,H14=0),H11,IF(AND(OR(I12="1",I12=1),I13=0,I14=0),I11,IF(AND(OR(J12="1",J12=1),J13=0,J14=0),J11,IF(AND(OR(K12="1",K12=1),K13=0,K14=0),K11,IF(AND(OR(L12="1",L12=1),L13=0,L14=0),L11,"Chyba jednotkové matice")))))))</f>
        <v>d1</v>
      </c>
      <c r="F12" s="216">
        <f>AB4</f>
        <v>231</v>
      </c>
      <c r="G12" s="216">
        <f>AE4</f>
        <v>186</v>
      </c>
      <c r="H12" s="169">
        <f>AH4</f>
        <v>116</v>
      </c>
      <c r="I12" s="216">
        <f>1</f>
        <v>1</v>
      </c>
      <c r="J12" s="216">
        <f>0</f>
        <v>0</v>
      </c>
      <c r="K12" s="216">
        <f>0</f>
        <v>0</v>
      </c>
      <c r="L12" s="216">
        <v>0</v>
      </c>
      <c r="M12" s="31">
        <f>Y4</f>
        <v>1090</v>
      </c>
      <c r="N12" s="55">
        <f>IFERROR(M12/IF(F$15=$Q$16,IF(F12&gt;0,F12,10^-150),IF(G$15=$Q$16,IF(G12&gt;0,G12,10^-150),IF(H$15=$Q$16,IF(H12&gt;0,H12,10^-150),IF(I$15=$Q$16,IF(I12&gt;0,I12,10^-150),IF(J$15=$Q$16,IF(J12&gt;0,J12,10^-150),IF(K$15=$Q$16,IF(K12&gt;0,K12,10^-150),IF(L$15=$Q$16,IF(L12&gt;0,L12,10^-150),"Chyba"))))))),10^150)</f>
        <v>4.7186147186147185</v>
      </c>
      <c r="O12" s="216">
        <f>IF(AND($C12="→",$Q$19=1),"",IF(AND($C12="→",$Q$19&lt;&gt;1),$Q$19,IF(AND($C12&lt;&gt;"→",F$9="↓",$F12&lt;&gt;0),$F12,IF(AND($C12&lt;&gt;"→",G$9="↓",$G12&lt;&gt;0),$G12,IF(AND($C12&lt;&gt;"→",H$9="↓",$H12&lt;&gt;0),$H12,IF(AND($C12&lt;&gt;"→",I$9="↓",$I12&lt;&gt;0),$I12,IF(AND($C12&lt;&gt;"→",J$9="↓",$J12&lt;&gt;0),$J12,IF(AND($C12&lt;&gt;"→",K$9="↓",$K12&lt;&gt;0),$K12,IF(AND($C12&lt;&gt;"→",L$9="↓",$L12&lt;&gt;0),$L12,"")))))))))</f>
        <v>231</v>
      </c>
      <c r="Q12" s="195" cm="1">
        <f t="array" ref="Q12">MIN(ABS(N12:N14))</f>
        <v>4.7186147186147185</v>
      </c>
      <c r="S12" s="192"/>
      <c r="T12" s="219" t="str">
        <f>IF($AH$12=AE12,"→","")</f>
        <v/>
      </c>
      <c r="U12" s="216">
        <f>IF($V12=$F$11,$F$10,IF($V12=$G$11,$G$10,IF($V12=$H$11,$H$10,IF($V12=$I$11,$I$10,IF($V12=$J$11,$J$10,IF($V12=$K$11,$K$10,IF($V12=$L$11,$L$10,"--__(O_o)__--")))))))</f>
        <v>355</v>
      </c>
      <c r="V12" s="27" t="str">
        <f>IF($E12=$Q$11,$Q$15,$E12)</f>
        <v>x1</v>
      </c>
      <c r="W12" s="45">
        <f t="shared" ref="W12:AD12" si="2">IF(AND($C12="→",F$9="↓",F12=1),1,IF(AND($C12="→",F$9="↓",F12&lt;&gt;1),F12/F12,IF(AND($C12="→",F$9&lt;&gt;"↓",$Q$19=1),F12,IF(AND($C12="→",F$9&lt;&gt;"↓",$Q$19&lt;&gt;1),F12/$Q$19,IF(AND($C12&lt;&gt;"→",F$9="↓",F12=0),0,IF(AND($C12&lt;&gt;"→",F$9="↓",F12&lt;&gt;0),(-F12)+F12,IF(AND($C12&lt;&gt;"→",F$9&lt;&gt;"↓",$O$12&lt;&gt;""),F12-(F$19*$O$12),F12)))))))</f>
        <v>1</v>
      </c>
      <c r="X12" s="217">
        <f t="shared" si="2"/>
        <v>0.80519480519480524</v>
      </c>
      <c r="Y12" s="187">
        <f t="shared" si="2"/>
        <v>0.50216450216450215</v>
      </c>
      <c r="Z12" s="217">
        <f t="shared" si="2"/>
        <v>4.329004329004329E-3</v>
      </c>
      <c r="AA12" s="217">
        <f t="shared" si="2"/>
        <v>0</v>
      </c>
      <c r="AB12" s="217">
        <f t="shared" si="2"/>
        <v>0</v>
      </c>
      <c r="AC12" s="217">
        <f t="shared" si="2"/>
        <v>0</v>
      </c>
      <c r="AD12" s="45">
        <f t="shared" si="2"/>
        <v>4.7186147186147185</v>
      </c>
      <c r="AE12" s="55">
        <f>IFERROR(AD12/IF(W$15=$AH$16,IF(W12&gt;0,W12,10^-150),IF(X$15=$AH$16,IF(X12&gt;0,X12,10^-150),IF(Y$15=$AH$16,IF(Y12&gt;0,Y12,10^-150),IF(Z$15=$AH$16,IF(Z12&gt;0,Z12,10^-150),IF(AA$15=$AH$16,IF(AA12&gt;0,AA12,10^-150),IF(AB$15=$AH$16,IF(AB12&gt;0,AB12,10^-150),IF(AC$15=$AH$16,IF(AC12&gt;0,AC12,10^-150),"Chyba"))))))),10^150)</f>
        <v>9.3965517241379306</v>
      </c>
      <c r="AF12" s="64">
        <f>IF(AND($T12="→",$AH$19=1),"",IF(AND($T12="→",$AH$19&lt;&gt;1),$AH$19,IF(AND($T12&lt;&gt;"→",W$9="↓",$W12&lt;&gt;0),$W12,IF(AND($T12&lt;&gt;"→",X$9="↓",$X12&lt;&gt;0),$X12,IF(AND($T12&lt;&gt;"→",Y$9="↓",$Y12&lt;&gt;0),$Y12,IF(AND($T12&lt;&gt;"→",Z$9="↓",$Z12&lt;&gt;0),$Z12,IF(AND($T12&lt;&gt;"→",AA$9="↓",$AA12&lt;&gt;0),$AA12,IF(AND($T12&lt;&gt;"→",AB$9="↓",$AB12&lt;&gt;0),$AB12,IF(AND($T12&lt;&gt;"→",AC$9="↓",$AC12&lt;&gt;0),$AC12,"")))))))))</f>
        <v>0.50216450216450215</v>
      </c>
      <c r="AH12" s="196" cm="1">
        <f t="array" ref="AH12">MIN(ABS(AE12:AE14))</f>
        <v>2.6789886660854414</v>
      </c>
      <c r="AJ12" s="71"/>
      <c r="AR12" s="4"/>
      <c r="AS12" s="4"/>
    </row>
    <row r="13" spans="2:46" ht="18" customHeight="1" thickBot="1" x14ac:dyDescent="0.35">
      <c r="B13" s="71"/>
      <c r="C13" s="216" t="str">
        <f>IF($Q$12=$N13,"→","")</f>
        <v/>
      </c>
      <c r="D13" s="216">
        <f t="shared" ref="D13:D14" si="3">IF($E13=$F$11,$F$10,IF($E13=$G$11,$G$10,IF($E13=$H$11,$H$10,IF($E13=$I$11,$I$10,IF($E13=$J$11,$J$10,IF($E13=$K$11,$K$10,IF($E13=$L$11,$L$10,"--__(O_o)__--")))))))</f>
        <v>1000</v>
      </c>
      <c r="E13" s="27" t="str">
        <f>IF(AND(F12=0,OR(F13="1",F13=1),F14=0),F11,IF(AND(G12=0,OR(G13="1",G13=1),G14=0),G11,IF(AND(H12=0,OR(H13="1",H13=1),H14=0),H11,IF(AND(I12=0,OR(I13="1",I13=1),I14=0),I11,IF(AND(J12=0,OR(J13="1",J13=1),J14=0),J11,IF(AND(K12=0,OR(K13="1",K13=1),K14=0),K11,IF(AND(L12=0,OR(L13="1",L13=1),L14=0),L11,"Chyba jednotkové matice")))))))</f>
        <v>p2</v>
      </c>
      <c r="F13" s="216">
        <f>AB5</f>
        <v>80</v>
      </c>
      <c r="G13" s="216">
        <f>AE5</f>
        <v>70</v>
      </c>
      <c r="H13" s="169">
        <f>AH5</f>
        <v>65</v>
      </c>
      <c r="I13" s="216">
        <f>0</f>
        <v>0</v>
      </c>
      <c r="J13" s="216">
        <f>-1</f>
        <v>-1</v>
      </c>
      <c r="K13" s="216">
        <f>0</f>
        <v>0</v>
      </c>
      <c r="L13" s="216">
        <v>1</v>
      </c>
      <c r="M13" s="31">
        <f>Y5</f>
        <v>444</v>
      </c>
      <c r="N13" s="56">
        <f t="shared" ref="N13:N14" si="4">IFERROR(M13/IF(F$15=$Q$16,IF(F13&gt;0,F13,10^-150),IF(G$15=$Q$16,IF(G13&gt;0,G13,10^-150),IF(H$15=$Q$16,IF(H13&gt;0,H13,10^-150),IF(I$15=$Q$16,IF(I13&gt;0,I13,10^-150),IF(J$15=$Q$16,IF(J13&gt;0,J13,10^-150),IF(K$15=$Q$16,IF(K13&gt;0,K13,10^-150),IF(L$15=$Q$16,IF(L13&gt;0,L13,10^-150),"Chyba"))))))),10^150)</f>
        <v>5.55</v>
      </c>
      <c r="O13" s="216">
        <f t="shared" ref="O13:O14" si="5">IF(AND($C13="→",$Q$19=1),"",IF(AND($C13="→",$Q$19&lt;&gt;1),$Q$19,IF(AND($C13&lt;&gt;"→",F$9="↓",$F13&lt;&gt;0),$F13,IF(AND($C13&lt;&gt;"→",G$9="↓",$G13&lt;&gt;0),$G13,IF(AND($C13&lt;&gt;"→",H$9="↓",$H13&lt;&gt;0),$H13,IF(AND($C13&lt;&gt;"→",I$9="↓",$I13&lt;&gt;0),$I13,IF(AND($C13&lt;&gt;"→",J$9="↓",$J13&lt;&gt;0),$J13,IF(AND($C13&lt;&gt;"→",K$9="↓",$K13&lt;&gt;0),$K13,IF(AND($C13&lt;&gt;"→",L$9="↓",$L13&lt;&gt;0),$L13,"")))))))))</f>
        <v>80</v>
      </c>
      <c r="S13" s="192"/>
      <c r="T13" s="219" t="str">
        <f>IF($AH$12=AE13,"→","")</f>
        <v>→</v>
      </c>
      <c r="U13" s="216">
        <f t="shared" ref="U13:U14" si="6">IF($V13=$F$11,$F$10,IF($V13=$G$11,$G$10,IF($V13=$H$11,$H$10,IF($V13=$I$11,$I$10,IF($V13=$J$11,$J$10,IF($V13=$K$11,$K$10,IF($V13=$L$11,$L$10,"--__(O_o)__--")))))))</f>
        <v>1000</v>
      </c>
      <c r="V13" s="27" t="str">
        <f>IF($E13=$Q$11,$Q$15,$E13)</f>
        <v>p2</v>
      </c>
      <c r="W13" s="31">
        <f t="shared" ref="W13:AD13" si="7">IF(AND($C13="→",F$9="↓",F13=1),1,IF(AND($C13="→",F$9="↓",F13&lt;&gt;1),F13/F13,IF(AND($C13="→",F$9&lt;&gt;"↓",$Q$19=1),F13,IF(AND($C13="→",F$9&lt;&gt;"↓",$Q$19&lt;&gt;1),F13/$Q$19,IF(AND($C13&lt;&gt;"→",F$9="↓",F13=0),0,IF(AND($C13&lt;&gt;"→",F$9="↓",F13&lt;&gt;0),(-F13)+F13,IF(AND($C13&lt;&gt;"→",F$9&lt;&gt;"↓",$O$13&lt;&gt;""),F13-(F$19*$O$13),F13)))))))</f>
        <v>0</v>
      </c>
      <c r="X13" s="216">
        <f t="shared" si="7"/>
        <v>5.5844155844155807</v>
      </c>
      <c r="Y13" s="169">
        <f t="shared" si="7"/>
        <v>24.82683982683983</v>
      </c>
      <c r="Z13" s="216">
        <f t="shared" si="7"/>
        <v>-0.34632034632034631</v>
      </c>
      <c r="AA13" s="216">
        <f t="shared" si="7"/>
        <v>-1</v>
      </c>
      <c r="AB13" s="216">
        <f t="shared" si="7"/>
        <v>0</v>
      </c>
      <c r="AC13" s="216">
        <f t="shared" si="7"/>
        <v>1</v>
      </c>
      <c r="AD13" s="31">
        <f t="shared" si="7"/>
        <v>66.51082251082255</v>
      </c>
      <c r="AE13" s="56">
        <f t="shared" ref="AE13:AE14" si="8">IFERROR(AD13/IF(W$15=$AH$16,IF(W13&gt;0,W13,10^-150),IF(X$15=$AH$16,IF(X13&gt;0,X13,10^-150),IF(Y$15=$AH$16,IF(Y13&gt;0,Y13,10^-150),IF(Z$15=$AH$16,IF(Z13&gt;0,Z13,10^-150),IF(AA$15=$AH$16,IF(AA13&gt;0,AA13,10^-150),IF(AB$15=$AH$16,IF(AB13&gt;0,AB13,10^-150),IF(AC$15=$AH$16,IF(AC13&gt;0,AC13,10^-150),"Chyba"))))))),10^150)</f>
        <v>2.6789886660854414</v>
      </c>
      <c r="AF13" s="35">
        <f t="shared" ref="AF13:AF14" si="9">IF(AND($T13="→",$AH$19=1),"",IF(AND($T13="→",$AH$19&lt;&gt;1),$AH$19,IF(AND($T13&lt;&gt;"→",W$9="↓",$W13&lt;&gt;0),$W13,IF(AND($T13&lt;&gt;"→",X$9="↓",$X13&lt;&gt;0),$X13,IF(AND($T13&lt;&gt;"→",Y$9="↓",$Y13&lt;&gt;0),$Y13,IF(AND($T13&lt;&gt;"→",Z$9="↓",$Z13&lt;&gt;0),$Z13,IF(AND($T13&lt;&gt;"→",AA$9="↓",$AA13&lt;&gt;0),$AA13,IF(AND($T13&lt;&gt;"→",AB$9="↓",$AB13&lt;&gt;0),$AB13,IF(AND($T13&lt;&gt;"→",AC$9="↓",$AC13&lt;&gt;0),$AC13,"")))))))))</f>
        <v>24.82683982683983</v>
      </c>
      <c r="AJ13" s="71"/>
      <c r="AR13" s="4"/>
      <c r="AS13" s="4"/>
    </row>
    <row r="14" spans="2:46" ht="18" customHeight="1" thickBot="1" x14ac:dyDescent="0.35">
      <c r="B14" s="71"/>
      <c r="C14" s="216" t="str">
        <f>IF($Q$12=$N14,"→","")</f>
        <v/>
      </c>
      <c r="D14" s="216">
        <f t="shared" si="3"/>
        <v>0</v>
      </c>
      <c r="E14" s="27" t="str">
        <f>IF(AND(F12=0,F13=0,OR(F14="1",F14=1)),F11,IF(AND(G12=0,G13=0,OR(G14="1",G14=1)),G11,IF(AND(H12=0,H13=0,OR(H14="1",H14=1)),H11,IF(AND(I12=0,I13=0,OR(I14="1",I14=1)),I11,IF(AND(J12=0,J13=0,OR(J14="1",J14=1)),J11,IF(AND(K12=0,K13=0,OR(K14="1",K14=1)),K11,IF(AND(L12=0,L13=0,OR(L14="1",L14=1)),L11,"Chyba jednotkové matice")))))))</f>
        <v>d3</v>
      </c>
      <c r="F14" s="216">
        <f>AB6</f>
        <v>2</v>
      </c>
      <c r="G14" s="216">
        <f>AE6</f>
        <v>0</v>
      </c>
      <c r="H14" s="169">
        <f>AH6</f>
        <v>2</v>
      </c>
      <c r="I14" s="216">
        <f>0</f>
        <v>0</v>
      </c>
      <c r="J14" s="216">
        <f>0</f>
        <v>0</v>
      </c>
      <c r="K14" s="216">
        <v>1</v>
      </c>
      <c r="L14" s="216">
        <v>0</v>
      </c>
      <c r="M14" s="31">
        <f>Y6</f>
        <v>24</v>
      </c>
      <c r="N14" s="57">
        <f t="shared" si="4"/>
        <v>12</v>
      </c>
      <c r="O14" s="216">
        <f t="shared" si="5"/>
        <v>2</v>
      </c>
      <c r="Q14" s="54" t="s">
        <v>177</v>
      </c>
      <c r="S14" s="192"/>
      <c r="T14" s="219" t="str">
        <f>IF($AH$12=AE14,"→","")</f>
        <v/>
      </c>
      <c r="U14" s="216">
        <f t="shared" si="6"/>
        <v>0</v>
      </c>
      <c r="V14" s="27" t="str">
        <f>IF($E14=$Q$11,$Q$15,$E14)</f>
        <v>d3</v>
      </c>
      <c r="W14" s="66">
        <f t="shared" ref="W14:AD14" si="10">IF(AND($C14="→",F$9="↓",F14=1),1,IF(AND($C14="→",F$9="↓",F14&lt;&gt;1),F14/F14,IF(AND($C14="→",F$9&lt;&gt;"↓",$Q$19=1),F14,IF(AND($C14="→",F$9&lt;&gt;"↓",$Q$19&lt;&gt;1),F14/$Q$19,IF(AND($C14&lt;&gt;"→",F$9="↓",F14=0),0,IF(AND($C14&lt;&gt;"→",F$9="↓",F14&lt;&gt;0),(-F14)+F14,IF(AND($C14&lt;&gt;"→",F$9&lt;&gt;"↓",$O$14&lt;&gt;""),F14-(F$19*$O$14),F14)))))))</f>
        <v>0</v>
      </c>
      <c r="X14" s="28">
        <f t="shared" si="10"/>
        <v>-1.6103896103896105</v>
      </c>
      <c r="Y14" s="186">
        <f t="shared" si="10"/>
        <v>0.99567099567099571</v>
      </c>
      <c r="Z14" s="28">
        <f t="shared" si="10"/>
        <v>-8.658008658008658E-3</v>
      </c>
      <c r="AA14" s="28">
        <f t="shared" si="10"/>
        <v>0</v>
      </c>
      <c r="AB14" s="28">
        <f t="shared" si="10"/>
        <v>1</v>
      </c>
      <c r="AC14" s="28">
        <f t="shared" si="10"/>
        <v>0</v>
      </c>
      <c r="AD14" s="31">
        <f t="shared" si="10"/>
        <v>14.562770562770563</v>
      </c>
      <c r="AE14" s="57">
        <f t="shared" si="8"/>
        <v>14.626086956521739</v>
      </c>
      <c r="AF14" s="61">
        <f t="shared" si="9"/>
        <v>0.99567099567099571</v>
      </c>
      <c r="AH14" s="188" t="s">
        <v>177</v>
      </c>
      <c r="AJ14" s="71"/>
      <c r="AR14" s="4"/>
      <c r="AS14" s="4"/>
    </row>
    <row r="15" spans="2:46" ht="18" customHeight="1" x14ac:dyDescent="0.3">
      <c r="B15" s="71"/>
      <c r="C15" s="216"/>
      <c r="D15" s="339" t="s">
        <v>25</v>
      </c>
      <c r="E15" s="340"/>
      <c r="F15" s="217">
        <f t="shared" ref="F15:M15" si="11">($D$12*F12+$D$13*F13+$D$14*F14)-F10</f>
        <v>79645</v>
      </c>
      <c r="G15" s="217">
        <f t="shared" si="11"/>
        <v>69618</v>
      </c>
      <c r="H15" s="187">
        <f t="shared" si="11"/>
        <v>64685</v>
      </c>
      <c r="I15" s="217">
        <f t="shared" si="11"/>
        <v>0</v>
      </c>
      <c r="J15" s="217">
        <f t="shared" si="11"/>
        <v>-1000</v>
      </c>
      <c r="K15" s="217">
        <f t="shared" si="11"/>
        <v>0</v>
      </c>
      <c r="L15" s="218">
        <f t="shared" si="11"/>
        <v>0</v>
      </c>
      <c r="M15" s="226">
        <f t="shared" si="11"/>
        <v>444000</v>
      </c>
      <c r="N15" s="63"/>
      <c r="O15" s="217"/>
      <c r="Q15" s="43" t="str">
        <f>IF($Q$16=$F$15,$F$11,IF($Q$16=$G$15,$G$11,IF($Q$16=$H$15,$H$11,IF($Q$16=$I$15,$I$11,IF($Q$16=$J$15,$J$11,IF($Q$16=$K$15,$K$11,IF($Q$16=$L$15,$L$11,"--__(O_o)__--")))))))</f>
        <v>x1</v>
      </c>
      <c r="S15" s="192"/>
      <c r="T15" s="219"/>
      <c r="U15" s="339" t="s">
        <v>25</v>
      </c>
      <c r="V15" s="340"/>
      <c r="W15" s="45">
        <f t="shared" ref="W15:AD15" si="12">($U$12*W$12+$U$13*W$13+$U$14*W$14)-W$10</f>
        <v>0</v>
      </c>
      <c r="X15" s="217">
        <f t="shared" si="12"/>
        <v>5488.2597402597366</v>
      </c>
      <c r="Y15" s="187">
        <f t="shared" si="12"/>
        <v>24690.10822510823</v>
      </c>
      <c r="Z15" s="217">
        <f t="shared" si="12"/>
        <v>-344.78354978354974</v>
      </c>
      <c r="AA15" s="217">
        <f t="shared" si="12"/>
        <v>-1000</v>
      </c>
      <c r="AB15" s="217">
        <f t="shared" si="12"/>
        <v>0</v>
      </c>
      <c r="AC15" s="217">
        <f t="shared" si="12"/>
        <v>0</v>
      </c>
      <c r="AD15" s="37">
        <f t="shared" si="12"/>
        <v>68185.930735930771</v>
      </c>
      <c r="AE15" s="217"/>
      <c r="AF15" s="217"/>
      <c r="AH15" s="49" t="str">
        <f>IF(AH16=W15,$W$11,IF(AH16=X15,$X$11,IF(AH16=Y15,$Y$11,IF(AH16=Z15,$Z$11,IF(AH16=AA15,$AA$11,IF(AH16=AB15,$AB$11,IF(AH16=AC15,$AC$11,"--__(O_o)__--")))))))</f>
        <v>x3</v>
      </c>
      <c r="AJ15" s="71"/>
      <c r="AR15" s="4"/>
      <c r="AS15" s="4"/>
    </row>
    <row r="16" spans="2:46" ht="18" customHeight="1" thickBot="1" x14ac:dyDescent="0.35">
      <c r="B16" s="71"/>
      <c r="C16" s="4"/>
      <c r="F16" s="216"/>
      <c r="G16" s="216"/>
      <c r="H16" s="216"/>
      <c r="I16" s="216"/>
      <c r="J16" s="216"/>
      <c r="K16" s="216"/>
      <c r="L16" s="216"/>
      <c r="M16" s="216"/>
      <c r="N16" s="216"/>
      <c r="O16" s="216"/>
      <c r="Q16" s="44">
        <f>MAX(F15:L15)</f>
        <v>79645</v>
      </c>
      <c r="S16" s="192"/>
      <c r="U16" s="216"/>
      <c r="AE16" s="216"/>
      <c r="AF16" s="216"/>
      <c r="AH16" s="39">
        <f>MAX(W15:AC15)</f>
        <v>24690.10822510823</v>
      </c>
      <c r="AJ16" s="71"/>
      <c r="AR16" s="4"/>
      <c r="AS16" s="4"/>
    </row>
    <row r="17" spans="2:46" ht="18" customHeight="1" thickBot="1" x14ac:dyDescent="0.35">
      <c r="B17" s="71"/>
      <c r="C17" s="4"/>
      <c r="D17" s="4"/>
      <c r="E17" s="4"/>
      <c r="F17" s="4"/>
      <c r="G17" s="4"/>
      <c r="H17" s="4"/>
      <c r="I17" s="4"/>
      <c r="J17" s="4"/>
      <c r="K17" s="4"/>
      <c r="L17" s="4"/>
      <c r="M17" s="4"/>
      <c r="N17" s="4"/>
      <c r="O17" s="4"/>
      <c r="S17" s="192"/>
      <c r="AJ17" s="71"/>
    </row>
    <row r="18" spans="2:46" ht="18" customHeight="1" x14ac:dyDescent="0.3">
      <c r="B18" s="71"/>
      <c r="C18" s="4"/>
      <c r="D18" s="335" t="s">
        <v>23</v>
      </c>
      <c r="E18" s="336"/>
      <c r="F18" s="220">
        <f t="shared" ref="F18:M18" si="13">IF($C$12="→",F$12,IF($C$13="→",F$13,IF($C$14="→",F$14,IF($C$15="→",F$15,""))))</f>
        <v>231</v>
      </c>
      <c r="G18" s="220">
        <f t="shared" si="13"/>
        <v>186</v>
      </c>
      <c r="H18" s="220">
        <f t="shared" si="13"/>
        <v>116</v>
      </c>
      <c r="I18" s="220">
        <f t="shared" si="13"/>
        <v>1</v>
      </c>
      <c r="J18" s="220">
        <f t="shared" si="13"/>
        <v>0</v>
      </c>
      <c r="K18" s="220">
        <f t="shared" si="13"/>
        <v>0</v>
      </c>
      <c r="L18" s="220">
        <f t="shared" si="13"/>
        <v>0</v>
      </c>
      <c r="M18" s="220">
        <f t="shared" si="13"/>
        <v>1090</v>
      </c>
      <c r="Q18" s="40" t="s">
        <v>15</v>
      </c>
      <c r="S18" s="192"/>
      <c r="U18" s="335" t="s">
        <v>23</v>
      </c>
      <c r="V18" s="336"/>
      <c r="W18" s="220">
        <f t="shared" ref="W18:AD18" si="14">IF($T$12="→",W$12,IF($T$13="→",W$13,IF($T$14="→",W$14,"")))</f>
        <v>0</v>
      </c>
      <c r="X18" s="220">
        <f t="shared" si="14"/>
        <v>5.5844155844155807</v>
      </c>
      <c r="Y18" s="220">
        <f t="shared" si="14"/>
        <v>24.82683982683983</v>
      </c>
      <c r="Z18" s="220">
        <f t="shared" si="14"/>
        <v>-0.34632034632034631</v>
      </c>
      <c r="AA18" s="220">
        <f t="shared" si="14"/>
        <v>-1</v>
      </c>
      <c r="AB18" s="220">
        <f t="shared" si="14"/>
        <v>0</v>
      </c>
      <c r="AC18" s="220">
        <f t="shared" si="14"/>
        <v>1</v>
      </c>
      <c r="AD18" s="220">
        <f t="shared" si="14"/>
        <v>66.51082251082255</v>
      </c>
      <c r="AH18" s="40" t="s">
        <v>15</v>
      </c>
      <c r="AJ18" s="71"/>
    </row>
    <row r="19" spans="2:46" ht="18" customHeight="1" thickBot="1" x14ac:dyDescent="0.35">
      <c r="B19" s="71"/>
      <c r="C19" s="4"/>
      <c r="D19" s="337"/>
      <c r="E19" s="338"/>
      <c r="F19" s="220">
        <f t="shared" ref="F19:M19" si="15">IF($C$12="→",IF($O$12&lt;&gt;"",F$12/$O$12,F$12),IF($C$13="→",IF($O$13&lt;&gt;"",F$13/$O$13,F$13),IF($C$14="→",IF($O$14&lt;&gt;"",F$14/$O$14,F$14),"")))</f>
        <v>1</v>
      </c>
      <c r="G19" s="220">
        <f t="shared" si="15"/>
        <v>0.80519480519480524</v>
      </c>
      <c r="H19" s="220">
        <f t="shared" si="15"/>
        <v>0.50216450216450215</v>
      </c>
      <c r="I19" s="220">
        <f t="shared" si="15"/>
        <v>4.329004329004329E-3</v>
      </c>
      <c r="J19" s="220">
        <f t="shared" si="15"/>
        <v>0</v>
      </c>
      <c r="K19" s="220">
        <f t="shared" si="15"/>
        <v>0</v>
      </c>
      <c r="L19" s="220">
        <f t="shared" si="15"/>
        <v>0</v>
      </c>
      <c r="M19" s="220">
        <f t="shared" si="15"/>
        <v>4.7186147186147185</v>
      </c>
      <c r="Q19" s="39">
        <f>IF(AND(C12="→",F9="↓"),F12,IF(AND(C13="→",F9="↓"),F13,IF(AND(C14="→",F9="↓"),F14,IF(AND(C12="→",G9="↓"),G12,IF(AND(C13="→",G9="↓"),G13,IF(AND(C14="→",G9="↓"),G14,IF(AND(C12="→",H9="↓"),H12,IF(AND(C13="→",H9="↓"),H13,IF(AND(C14="→",H9="↓"),H14,IF(AND(C12="→",I9="↓"),I12,IF(AND(C13="→",I9="↓"),I13,IF(AND(C14="→",I9="↓"),I14,IF(AND(C12="→",J9="↓"),J12,IF(AND(C13="→",J9="↓"),J13,IF(AND(C14="→",J9="↓"),J14,IF(AND(C12="→",K9="↓"),K12,IF(AND(C13="→",K9="↓"),K13,IF(AND(C14="→",K9="↓"),K14,IF(AND(C12="→",L9="↓"),L12,IF(AND(C13="→",L9="↓"),L13,IF(AND(L14="→",L9="↓"),L14,"není")))))))))))))))))))))</f>
        <v>231</v>
      </c>
      <c r="S19" s="192"/>
      <c r="U19" s="337"/>
      <c r="V19" s="338"/>
      <c r="W19" s="220">
        <f t="shared" ref="W19:AD19" si="16">IF($T$12="→",IF($AF$12&lt;&gt;"",W$12/$AF$12,W$12),IF($T$13="→",IF($AF$13&lt;&gt;"",W$13/$AF$13,W$13),IF($T$14="→",IF($AF$14&lt;&gt;"",W$14/$AF$14,W$14),"")))</f>
        <v>0</v>
      </c>
      <c r="X19" s="220">
        <f t="shared" si="16"/>
        <v>0.22493461203138604</v>
      </c>
      <c r="Y19" s="220">
        <f t="shared" si="16"/>
        <v>1</v>
      </c>
      <c r="Z19" s="220">
        <f t="shared" si="16"/>
        <v>-1.3949433304272011E-2</v>
      </c>
      <c r="AA19" s="220">
        <f t="shared" si="16"/>
        <v>-4.0278988666085438E-2</v>
      </c>
      <c r="AB19" s="220">
        <f t="shared" si="16"/>
        <v>0</v>
      </c>
      <c r="AC19" s="220">
        <f t="shared" si="16"/>
        <v>4.0278988666085438E-2</v>
      </c>
      <c r="AD19" s="220">
        <f t="shared" si="16"/>
        <v>2.6789886660854414</v>
      </c>
      <c r="AH19" s="39">
        <f>IF(AND(T12="→",W9="↓"),W12,IF(AND(T13="→",W9="↓"),W13,IF(AND(T14="→",W9="↓"),W14,IF(AND(T12="→",X9="↓"),X12,IF(AND(T13="→",X9="↓"),X13,IF(AND(T14="→",X9="↓"),X14,IF(AND(T12="→",Y9="↓"),Y12,IF(AND(T13="→",Y9="↓"),Y13,IF(AND(T14="→",Y9="↓"),Y14,IF(AND(T12="→",Z9="↓"),Z12,IF(AND(T13="→",Z9="↓"),Z13,IF(AND(T14="→",Z9="↓"),Z14,IF(AND(T12="→",AA9="↓"),AA12,IF(AND(T13="→",AA9="↓"),AA13,IF(AND(T14="→",AA9="↓"),AA14,IF(AND(T12="→",AB9="↓"),AB12,IF(AND(T13="→",AB9="↓"),AB13,IF(AND(T14="→",AB9="↓"),AB14,IF(AND(T12="→",AC9="↓"),AC12,IF(AND(T13="→",AC9="↓"),AC13,IF(AND(T14="→",AC9="↓"),AC14,"není")))))))))))))))))))))</f>
        <v>24.82683982683983</v>
      </c>
      <c r="AJ19" s="71"/>
    </row>
    <row r="20" spans="2:46" ht="18" customHeight="1" x14ac:dyDescent="0.3">
      <c r="B20" s="71"/>
      <c r="C20" s="4"/>
      <c r="D20" s="4"/>
      <c r="E20" s="4"/>
      <c r="F20" s="4"/>
      <c r="G20" s="4"/>
      <c r="H20" s="4"/>
      <c r="I20" s="4"/>
      <c r="J20" s="4"/>
      <c r="K20" s="4"/>
      <c r="L20" s="4"/>
      <c r="M20" s="4"/>
      <c r="N20" s="4"/>
      <c r="O20" s="4"/>
      <c r="P20" s="4"/>
      <c r="Q20" s="4"/>
      <c r="R20" s="4"/>
      <c r="S20" s="192"/>
      <c r="U20" s="4"/>
      <c r="V20" s="4"/>
      <c r="W20" s="4"/>
      <c r="AJ20" s="71"/>
    </row>
    <row r="21" spans="2:46" ht="25.05" customHeight="1" x14ac:dyDescent="0.3">
      <c r="B21" s="71"/>
      <c r="C21" s="334" t="s">
        <v>134</v>
      </c>
      <c r="D21" s="334"/>
      <c r="E21" s="334"/>
      <c r="F21" s="334"/>
      <c r="G21" s="334"/>
      <c r="H21" s="199"/>
      <c r="I21" s="199"/>
      <c r="J21" s="199"/>
      <c r="K21" s="199"/>
      <c r="L21" s="199"/>
      <c r="M21" s="199"/>
      <c r="N21" s="199"/>
      <c r="O21" s="199"/>
      <c r="P21" s="333" t="s">
        <v>135</v>
      </c>
      <c r="Q21" s="333"/>
      <c r="R21" s="333"/>
      <c r="S21" s="193"/>
      <c r="T21" s="193"/>
      <c r="U21" s="193"/>
      <c r="V21" s="193"/>
      <c r="W21" s="193"/>
      <c r="X21" s="193"/>
      <c r="Y21" s="193"/>
      <c r="Z21" s="193"/>
      <c r="AA21" s="193"/>
      <c r="AB21" s="193"/>
      <c r="AC21" s="193"/>
      <c r="AD21" s="193"/>
      <c r="AE21" s="193"/>
      <c r="AF21" s="193"/>
      <c r="AG21" s="193"/>
      <c r="AH21" s="193"/>
      <c r="AI21" s="193"/>
      <c r="AJ21" s="193"/>
      <c r="AM21" s="9"/>
      <c r="AN21" s="9"/>
      <c r="AO21" s="9"/>
      <c r="AP21" s="9"/>
      <c r="AQ21" s="9"/>
      <c r="AR21" s="9"/>
      <c r="AS21" s="9"/>
      <c r="AT21" s="9"/>
    </row>
    <row r="22" spans="2:46" ht="18" customHeight="1" thickBot="1" x14ac:dyDescent="0.35">
      <c r="B22" s="71"/>
      <c r="F22" s="219" t="str">
        <f t="shared" ref="F22:L22" si="17">IF($Q$29=F$28,"↓","")</f>
        <v>↓</v>
      </c>
      <c r="G22" s="219" t="str">
        <f t="shared" si="17"/>
        <v/>
      </c>
      <c r="H22" s="219" t="str">
        <f t="shared" si="17"/>
        <v>↓</v>
      </c>
      <c r="I22" s="219" t="str">
        <f t="shared" si="17"/>
        <v/>
      </c>
      <c r="J22" s="219" t="str">
        <f t="shared" si="17"/>
        <v/>
      </c>
      <c r="K22" s="219" t="str">
        <f t="shared" si="17"/>
        <v>↓</v>
      </c>
      <c r="L22" s="219" t="str">
        <f t="shared" si="17"/>
        <v/>
      </c>
      <c r="M22" s="219"/>
      <c r="N22" s="219"/>
      <c r="O22" s="219"/>
      <c r="P22" s="219"/>
      <c r="Q22" s="219"/>
      <c r="S22" s="193"/>
      <c r="Y22" s="9"/>
      <c r="Z22" s="9"/>
      <c r="AA22" s="9"/>
      <c r="AB22" s="9"/>
      <c r="AC22" s="9"/>
      <c r="AD22" s="9"/>
      <c r="AE22" s="9"/>
      <c r="AF22" s="9"/>
      <c r="AG22" s="9"/>
      <c r="AH22" s="9"/>
      <c r="AI22" s="9"/>
      <c r="AJ22" s="9"/>
      <c r="AK22" s="9"/>
      <c r="AL22" s="9"/>
      <c r="AM22" s="9"/>
      <c r="AN22" s="9"/>
      <c r="AO22" s="9"/>
      <c r="AP22" s="9"/>
      <c r="AQ22" s="9"/>
      <c r="AR22" s="9"/>
      <c r="AS22" s="9"/>
      <c r="AT22" s="9"/>
    </row>
    <row r="23" spans="2:46" ht="18" customHeight="1" x14ac:dyDescent="0.3">
      <c r="B23" s="71"/>
      <c r="D23" s="216"/>
      <c r="E23" s="27"/>
      <c r="F23" s="219" cm="1">
        <f t="array" ref="F23:L23">F10:L10</f>
        <v>355</v>
      </c>
      <c r="G23" s="219">
        <v>382</v>
      </c>
      <c r="H23" s="169">
        <v>315</v>
      </c>
      <c r="I23" s="219">
        <v>0</v>
      </c>
      <c r="J23" s="219">
        <v>0</v>
      </c>
      <c r="K23" s="219">
        <v>0</v>
      </c>
      <c r="L23" s="219">
        <v>1000</v>
      </c>
      <c r="M23" s="31"/>
      <c r="N23" s="219"/>
      <c r="O23" s="219"/>
      <c r="P23" s="219"/>
      <c r="Q23" s="54" t="s">
        <v>24</v>
      </c>
      <c r="R23" s="219"/>
      <c r="S23" s="193"/>
      <c r="T23" s="219"/>
      <c r="Y23" s="9"/>
      <c r="Z23" s="9"/>
      <c r="AA23" s="9"/>
      <c r="AB23" s="9"/>
      <c r="AC23" s="9"/>
      <c r="AD23" s="9"/>
      <c r="AE23" s="9"/>
      <c r="AF23" s="9"/>
      <c r="AG23" s="9"/>
      <c r="AH23" s="9"/>
      <c r="AI23" s="9"/>
      <c r="AJ23" s="9"/>
      <c r="AK23" s="9"/>
      <c r="AL23" s="9"/>
      <c r="AM23" s="9"/>
      <c r="AN23" s="9"/>
      <c r="AO23" s="9"/>
      <c r="AP23" s="9"/>
      <c r="AQ23" s="9"/>
      <c r="AR23" s="9"/>
      <c r="AS23" s="9"/>
      <c r="AT23" s="9"/>
    </row>
    <row r="24" spans="2:46" ht="18" customHeight="1" thickBot="1" x14ac:dyDescent="0.35">
      <c r="B24" s="71"/>
      <c r="D24" s="28" t="s">
        <v>20</v>
      </c>
      <c r="E24" s="27" t="s">
        <v>21</v>
      </c>
      <c r="F24" s="31" t="str" cm="1">
        <f t="array" ref="F24:L24">F11:L11</f>
        <v>x1</v>
      </c>
      <c r="G24" s="216" t="str">
        <v>x2</v>
      </c>
      <c r="H24" s="169" t="str">
        <v>x3</v>
      </c>
      <c r="I24" s="216" t="str">
        <v>d1</v>
      </c>
      <c r="J24" s="216" t="str">
        <v>d2</v>
      </c>
      <c r="K24" s="216" t="str">
        <v>d3</v>
      </c>
      <c r="L24" s="216" t="str">
        <v>p2</v>
      </c>
      <c r="M24" s="33" t="s">
        <v>13</v>
      </c>
      <c r="N24" s="51" t="s">
        <v>14</v>
      </c>
      <c r="O24" s="52" t="s">
        <v>16</v>
      </c>
      <c r="Q24" s="49" t="str">
        <f>IF(Q25=N25,E25,IF(Q25=N26,E26,IF(Q25=N27,E27,"--_(O_o)_--")))</f>
        <v>x1</v>
      </c>
      <c r="S24" s="193"/>
      <c r="Y24" s="9"/>
      <c r="Z24" s="9"/>
      <c r="AA24" s="9"/>
      <c r="AB24" s="9"/>
      <c r="AC24" s="9"/>
      <c r="AD24" s="9"/>
      <c r="AE24" s="9"/>
      <c r="AF24" s="9"/>
      <c r="AG24" s="9"/>
      <c r="AH24" s="9"/>
      <c r="AI24" s="9"/>
      <c r="AJ24" s="9"/>
      <c r="AK24" s="9"/>
      <c r="AL24" s="9"/>
      <c r="AM24" s="9"/>
      <c r="AN24" s="9"/>
      <c r="AO24" s="9"/>
      <c r="AP24" s="9"/>
      <c r="AQ24" s="9"/>
      <c r="AR24" s="9"/>
      <c r="AS24" s="9"/>
      <c r="AT24" s="9"/>
    </row>
    <row r="25" spans="2:46" ht="18" customHeight="1" thickBot="1" x14ac:dyDescent="0.35">
      <c r="B25" s="71"/>
      <c r="C25" s="219" t="str">
        <f>IF($Q$25=N25,"→","")</f>
        <v>→</v>
      </c>
      <c r="D25" s="216">
        <f>IF($E25=$F$11,$F$10,IF($E25=$G$11,$G$10,IF($E25=$H$11,$H$10,IF($E25=$I$11,$I$10,IF($E25=$J$11,$J$10,IF($E25=$K$11,$K$10,IF($E25=$L$11,$L$10,"--__(O_o)__--")))))))</f>
        <v>355</v>
      </c>
      <c r="E25" s="218" t="str">
        <f>IF($V12=$AH$11,$AH$15,$V12)</f>
        <v>x1</v>
      </c>
      <c r="F25" s="45">
        <f t="shared" ref="F25:M25" si="18">IF(AND($T12="→",W$9="↓",W12=1),1,IF(AND($T12="→",W$9="↓",W12&lt;&gt;1),W12/W12,IF(AND($T12="→",W$9&lt;&gt;"↓",$AH$19=1),W12,IF(AND($T12="→",W$9&lt;&gt;"↓",$AH$19&lt;&gt;1),W12/$AH$19,IF(AND($T12&lt;&gt;"→",W$9="↓",W12=0),0,IF(AND($T12&lt;&gt;"→",W$9="↓",W12&lt;&gt;0),(-W12)+W12,IF(AND($T12&lt;&gt;"→",W$9&lt;&gt;"↓",$AF12&lt;&gt;""),W12-(W$19*$AF12),W12)))))))</f>
        <v>1</v>
      </c>
      <c r="G25" s="217">
        <f t="shared" si="18"/>
        <v>0.69224062772449879</v>
      </c>
      <c r="H25" s="187">
        <f t="shared" si="18"/>
        <v>0</v>
      </c>
      <c r="I25" s="217">
        <f t="shared" si="18"/>
        <v>1.133391455972101E-2</v>
      </c>
      <c r="J25" s="217">
        <f t="shared" si="18"/>
        <v>2.0226678291194417E-2</v>
      </c>
      <c r="K25" s="217">
        <f t="shared" si="18"/>
        <v>0</v>
      </c>
      <c r="L25" s="218">
        <f t="shared" si="18"/>
        <v>-2.0226678291194417E-2</v>
      </c>
      <c r="M25" s="187">
        <f t="shared" si="18"/>
        <v>3.3733217088055794</v>
      </c>
      <c r="N25" s="55">
        <f>IFERROR($M25/IF($F$28=$Q$29,IF(F25&gt;0,F25,10^-150),IF($G$28=$Q$29,IF(G25&gt;0,G25,10^-150),IF($H$28=$Q$29,IF(H25&gt;0,H25,10^-150),IF($I$28=$Q$29,IF(I25&gt;0,I25,10^-150),IF($J$28=$Q$29,IF(J25&gt;0,J25,10^-150),IF($K$28=$Q$29,IF(K25&gt;0,K25,10^-150),IF($L$28=$Q$29,IF(L25&gt;0,L25,10^-150),"Chyba"))))))),10^150)</f>
        <v>3.3733217088055794</v>
      </c>
      <c r="O25" s="64" t="str">
        <f>IF(AND($C25="→",$Q$32=1),"",IF(AND($C25="→",$Q$32&lt;&gt;1),$Q$32,IF(AND($C25&lt;&gt;"→",$F$22="↓",$F25&lt;&gt;0),$F25,IF(AND($C25&lt;&gt;"→",$G$22="↓",$G25&lt;&gt;0),$G25,IF(AND($C25&lt;&gt;"→",$H$22="↓",$H25&lt;&gt;0),$H25,IF(AND($C25&lt;&gt;"→",$I$22="↓",$I25&lt;&gt;0),$I25,IF(AND($C25&lt;&gt;"→",$J$22="↓",$J25&lt;&gt;0),$J25,IF(AND($C25&lt;&gt;"→",$K$22="↓",$K25&lt;&gt;0),$K25,IF(AND($C25&lt;&gt;"→",$L$22="↓",$L25&lt;&gt;0),$L25,"")))))))))</f>
        <v/>
      </c>
      <c r="Q25" s="196" cm="1">
        <f t="array" ref="Q25">MIN(ABS(N25:N27))</f>
        <v>3.3733217088055794</v>
      </c>
      <c r="S25" s="193"/>
      <c r="Y25" s="9"/>
      <c r="Z25" s="9"/>
      <c r="AA25" s="9"/>
      <c r="AF25" s="9"/>
      <c r="AG25" s="9"/>
      <c r="AH25" s="9"/>
      <c r="AI25" s="9"/>
      <c r="AJ25" s="9"/>
      <c r="AK25" s="9"/>
      <c r="AL25" s="9"/>
      <c r="AM25" s="9"/>
      <c r="AN25" s="9"/>
      <c r="AO25" s="9"/>
      <c r="AP25" s="9"/>
      <c r="AQ25" s="9"/>
      <c r="AR25" s="9"/>
      <c r="AS25" s="9"/>
      <c r="AT25" s="9"/>
    </row>
    <row r="26" spans="2:46" ht="18" customHeight="1" x14ac:dyDescent="0.3">
      <c r="B26" s="71"/>
      <c r="C26" s="219" t="str">
        <f t="shared" ref="C26:C27" si="19">IF($Q$25=N26,"→","")</f>
        <v/>
      </c>
      <c r="D26" s="216">
        <f t="shared" ref="D26:D27" si="20">IF($E26=$F$11,$F$10,IF($E26=$G$11,$G$10,IF($E26=$H$11,$H$10,IF($E26=$I$11,$I$10,IF($E26=$J$11,$J$10,IF($E26=$K$11,$K$10,IF($E26=$L$11,$L$10,"--__(O_o)__--")))))))</f>
        <v>315</v>
      </c>
      <c r="E26" s="27" t="str">
        <f t="shared" ref="E26:E27" si="21">IF($V13=$AH$11,$AH$15,$V13)</f>
        <v>x3</v>
      </c>
      <c r="F26" s="31">
        <f t="shared" ref="F26:F27" si="22">IF(AND($T13="→",W$9="↓",W13=1),1,IF(AND($T13="→",W$9="↓",W13&lt;&gt;1),W13/W13,IF(AND($T13="→",W$9&lt;&gt;"↓",$AH$19=1),W13,IF(AND($T13="→",W$9&lt;&gt;"↓",$AH$19&lt;&gt;1),W13/$AH$19,IF(AND($T13&lt;&gt;"→",W$9="↓",W13=0),0,IF(AND($T13&lt;&gt;"→",W$9="↓",W13&lt;&gt;0),(-W13)+W13,IF(AND($T13&lt;&gt;"→",W$9&lt;&gt;"↓",$AF13&lt;&gt;""),W13-(W$19*$AF13),W13)))))))</f>
        <v>0</v>
      </c>
      <c r="G26" s="216">
        <f t="shared" ref="G26:M27" si="23">IF(AND($T13="→",X$9="↓",X13=1),1,IF(AND($T13="→",X$9="↓",X13&lt;&gt;1),X13/X13,IF(AND($T13="→",X$9&lt;&gt;"↓",$AH$19=1),X13,IF(AND($T13="→",X$9&lt;&gt;"↓",$AH$19&lt;&gt;1),X13/$AH$19,IF(AND($T13&lt;&gt;"→",X$9="↓",X13=0),0,IF(AND($T13&lt;&gt;"→",X$9="↓",X13&lt;&gt;0),(-X13)+X13,IF(AND($T13&lt;&gt;"→",X$9&lt;&gt;"↓",$AF13&lt;&gt;""),X13-(X$19*$AF13),X13)))))))</f>
        <v>0.22493461203138604</v>
      </c>
      <c r="H26" s="169">
        <f t="shared" si="23"/>
        <v>1</v>
      </c>
      <c r="I26" s="216">
        <f t="shared" si="23"/>
        <v>-1.3949433304272011E-2</v>
      </c>
      <c r="J26" s="216">
        <f t="shared" si="23"/>
        <v>-4.0278988666085438E-2</v>
      </c>
      <c r="K26" s="216">
        <f t="shared" si="23"/>
        <v>0</v>
      </c>
      <c r="L26" s="27">
        <f t="shared" si="23"/>
        <v>4.0278988666085438E-2</v>
      </c>
      <c r="M26" s="169">
        <f t="shared" si="23"/>
        <v>2.6789886660854414</v>
      </c>
      <c r="N26" s="56">
        <f t="shared" ref="N26:N27" si="24">IFERROR($M26/IF($F$28=$Q$29,IF(F26&gt;0,F26,10^-150),IF($G$28=$Q$29,IF(G26&gt;0,G26,10^-150),IF($H$28=$Q$29,IF(H26&gt;0,H26,10^-150),IF($I$28=$Q$29,IF(I26&gt;0,I26,10^-150),IF($J$28=$Q$29,IF(J26&gt;0,J26,10^-150),IF($K$28=$Q$29,IF(K26&gt;0,K26,10^-150),IF($L$28=$Q$29,IF(L26&gt;0,L26,10^-150),"Chyba"))))))),10^150)</f>
        <v>2.6789886660854415E+150</v>
      </c>
      <c r="O26" s="35">
        <f t="shared" ref="O26:O27" si="25">IF(AND($C26="→",$Q$32=1),"",IF(AND($C26="→",$Q$32&lt;&gt;1),$Q$32,IF(AND($C26&lt;&gt;"→",$F$22="↓",$F26&lt;&gt;0),$F26,IF(AND($C26&lt;&gt;"→",$G$22="↓",$G26&lt;&gt;0),$G26,IF(AND($C26&lt;&gt;"→",$H$22="↓",$H26&lt;&gt;0),$H26,IF(AND($C26&lt;&gt;"→",$I$22="↓",$I26&lt;&gt;0),$I26,IF(AND($C26&lt;&gt;"→",$J$22="↓",$J26&lt;&gt;0),$J26,IF(AND($C26&lt;&gt;"→",$K$22="↓",$K26&lt;&gt;0),$K26,IF(AND($C26&lt;&gt;"→",$L$22="↓",$L26&lt;&gt;0),$L26,"")))))))))</f>
        <v>1</v>
      </c>
      <c r="S26" s="193"/>
      <c r="AI26" s="9"/>
      <c r="AJ26" s="9"/>
      <c r="AK26" s="9"/>
      <c r="AL26" s="9"/>
      <c r="AM26" s="9"/>
      <c r="AN26" s="9"/>
      <c r="AO26" s="9"/>
      <c r="AP26" s="9"/>
      <c r="AQ26" s="9"/>
      <c r="AR26" s="9"/>
      <c r="AS26" s="9"/>
      <c r="AT26" s="9"/>
    </row>
    <row r="27" spans="2:46" ht="18" customHeight="1" thickBot="1" x14ac:dyDescent="0.35">
      <c r="B27" s="71"/>
      <c r="C27" s="219" t="str">
        <f t="shared" si="19"/>
        <v/>
      </c>
      <c r="D27" s="216">
        <f t="shared" si="20"/>
        <v>0</v>
      </c>
      <c r="E27" s="29" t="str">
        <f t="shared" si="21"/>
        <v>d3</v>
      </c>
      <c r="F27" s="66">
        <f t="shared" si="22"/>
        <v>0</v>
      </c>
      <c r="G27" s="28">
        <f t="shared" si="23"/>
        <v>-1.8343504795117698</v>
      </c>
      <c r="H27" s="186">
        <f t="shared" si="23"/>
        <v>0</v>
      </c>
      <c r="I27" s="28">
        <f t="shared" si="23"/>
        <v>5.2310374891020028E-3</v>
      </c>
      <c r="J27" s="28">
        <f t="shared" si="23"/>
        <v>4.0104620749782043E-2</v>
      </c>
      <c r="K27" s="28">
        <f t="shared" si="23"/>
        <v>1</v>
      </c>
      <c r="L27" s="29">
        <f t="shared" si="23"/>
        <v>-4.0104620749782043E-2</v>
      </c>
      <c r="M27" s="186">
        <f t="shared" si="23"/>
        <v>11.895379250217959</v>
      </c>
      <c r="N27" s="57">
        <f t="shared" si="24"/>
        <v>1.1895379250217959E+151</v>
      </c>
      <c r="O27" s="61">
        <f t="shared" si="25"/>
        <v>1</v>
      </c>
      <c r="Q27" s="59" t="s">
        <v>177</v>
      </c>
      <c r="S27" s="193"/>
      <c r="AK27" s="9"/>
      <c r="AL27" s="9"/>
      <c r="AM27" s="9"/>
      <c r="AN27" s="9"/>
      <c r="AO27" s="9"/>
      <c r="AP27" s="9"/>
      <c r="AQ27" s="9"/>
      <c r="AR27" s="9"/>
      <c r="AS27" s="9"/>
      <c r="AT27" s="9"/>
    </row>
    <row r="28" spans="2:46" ht="18" customHeight="1" x14ac:dyDescent="0.3">
      <c r="B28" s="71"/>
      <c r="C28" s="219"/>
      <c r="D28" s="339" t="s">
        <v>25</v>
      </c>
      <c r="E28" s="340"/>
      <c r="F28" s="217">
        <f>($D$25*F$25+$D$26*F$26+$D$27*F$27)-F$23</f>
        <v>0</v>
      </c>
      <c r="G28" s="217">
        <f t="shared" ref="G28:M28" si="26">($D$25*G$25+$D$26*G$26+$D$27*G$27)-G$23</f>
        <v>-65.40017436791635</v>
      </c>
      <c r="H28" s="187">
        <f t="shared" si="26"/>
        <v>0</v>
      </c>
      <c r="I28" s="217">
        <f t="shared" si="26"/>
        <v>-0.37053182214472535</v>
      </c>
      <c r="J28" s="217">
        <f t="shared" si="26"/>
        <v>-5.5074106364428959</v>
      </c>
      <c r="K28" s="217">
        <f t="shared" si="26"/>
        <v>0</v>
      </c>
      <c r="L28" s="218">
        <f t="shared" si="26"/>
        <v>-994.49258936355716</v>
      </c>
      <c r="M28" s="217">
        <f t="shared" si="26"/>
        <v>2041.4106364428947</v>
      </c>
      <c r="N28" s="63"/>
      <c r="O28" s="217"/>
      <c r="Q28" s="50" t="str">
        <f>IF(Q29=F28,F24,IF(Q29=G28,G24,IF(Q29=H28,H24,IF(Q29=I28,I24,IF(Q29=J28,J24,IF(Q29=K28,K24,IF(Q29=L28,L24,"--__(O_o)__--")))))))</f>
        <v>x1</v>
      </c>
      <c r="S28" s="193"/>
      <c r="AK28" s="9"/>
      <c r="AL28" s="9"/>
      <c r="AM28" s="9"/>
      <c r="AN28" s="9"/>
      <c r="AO28" s="9"/>
      <c r="AP28" s="9"/>
      <c r="AQ28" s="9"/>
      <c r="AR28" s="9"/>
      <c r="AS28" s="9"/>
      <c r="AT28" s="9"/>
    </row>
    <row r="29" spans="2:46" ht="18" customHeight="1" thickBot="1" x14ac:dyDescent="0.35">
      <c r="B29" s="71"/>
      <c r="O29" s="216"/>
      <c r="Q29" s="39">
        <f>MAX(F28:L28)</f>
        <v>0</v>
      </c>
      <c r="S29" s="193"/>
      <c r="AK29" s="9"/>
      <c r="AL29" s="9"/>
      <c r="AM29" s="9"/>
      <c r="AN29" s="9"/>
      <c r="AO29" s="9"/>
      <c r="AP29" s="9"/>
      <c r="AQ29" s="9"/>
      <c r="AR29" s="9"/>
      <c r="AS29" s="9"/>
      <c r="AT29" s="9"/>
    </row>
    <row r="30" spans="2:46" ht="18" customHeight="1" thickBot="1" x14ac:dyDescent="0.35">
      <c r="B30" s="71"/>
      <c r="S30" s="193"/>
      <c r="AI30" s="9"/>
      <c r="AJ30" s="9"/>
      <c r="AK30" s="9"/>
      <c r="AL30" s="9"/>
      <c r="AM30" s="9"/>
      <c r="AN30" s="9"/>
      <c r="AO30" s="9"/>
      <c r="AP30" s="9"/>
      <c r="AQ30" s="9"/>
      <c r="AR30" s="9"/>
      <c r="AS30" s="9"/>
      <c r="AT30" s="9"/>
    </row>
    <row r="31" spans="2:46" ht="18" customHeight="1" x14ac:dyDescent="0.3">
      <c r="B31" s="71"/>
      <c r="D31" s="335" t="s">
        <v>23</v>
      </c>
      <c r="E31" s="336"/>
      <c r="F31" s="220">
        <f>IF($C$25="→",F$25,IF($C$26="→",F$26,IF($C$27="→",F$27,"")))</f>
        <v>1</v>
      </c>
      <c r="G31" s="220">
        <f t="shared" ref="G31:M31" si="27">IF($C$25="→",G$25,IF($C$26="→",G$26,IF($C$27="→",G$27,"")))</f>
        <v>0.69224062772449879</v>
      </c>
      <c r="H31" s="220">
        <f t="shared" si="27"/>
        <v>0</v>
      </c>
      <c r="I31" s="220">
        <f t="shared" si="27"/>
        <v>1.133391455972101E-2</v>
      </c>
      <c r="J31" s="220">
        <f t="shared" si="27"/>
        <v>2.0226678291194417E-2</v>
      </c>
      <c r="K31" s="220">
        <f t="shared" si="27"/>
        <v>0</v>
      </c>
      <c r="L31" s="220">
        <f t="shared" si="27"/>
        <v>-2.0226678291194417E-2</v>
      </c>
      <c r="M31" s="220">
        <f t="shared" si="27"/>
        <v>3.3733217088055794</v>
      </c>
      <c r="Q31" s="40" t="s">
        <v>15</v>
      </c>
      <c r="S31" s="71"/>
      <c r="T31" s="219"/>
      <c r="Y31" s="9"/>
      <c r="Z31" s="9"/>
      <c r="AA31" s="9"/>
      <c r="AF31" s="9"/>
      <c r="AG31" s="9"/>
      <c r="AH31" s="9"/>
      <c r="AI31" s="9"/>
      <c r="AJ31" s="9"/>
      <c r="AK31" s="9"/>
      <c r="AL31" s="9"/>
      <c r="AM31" s="9"/>
      <c r="AN31" s="9"/>
      <c r="AO31" s="9"/>
      <c r="AP31" s="9"/>
      <c r="AQ31" s="9"/>
      <c r="AR31" s="9"/>
      <c r="AS31" s="9"/>
      <c r="AT31" s="9"/>
    </row>
    <row r="32" spans="2:46" ht="18" customHeight="1" thickBot="1" x14ac:dyDescent="0.35">
      <c r="B32" s="71"/>
      <c r="D32" s="337"/>
      <c r="E32" s="338"/>
      <c r="F32" s="220">
        <f>IF($C$25="→",IF($O$25&lt;&gt;"",F$25/$O$25,F$25),IF($C$26="→",IF($O$26&lt;&gt;"",F$26/$O$26,F$26),IF($C$27="→",IF($O$27&lt;&gt;"",F$27/$O$27,F$27),"")))</f>
        <v>1</v>
      </c>
      <c r="G32" s="220">
        <f t="shared" ref="G32:M32" si="28">IF($C$25="→",IF($O$25&lt;&gt;"",G$25/$O$25,G$25),IF($C$26="→",IF($O$26&lt;&gt;"",G$26/$O$26,G$26),IF($C$27="→",IF($O$27&lt;&gt;"",G$27/$O$27,G$27),"")))</f>
        <v>0.69224062772449879</v>
      </c>
      <c r="H32" s="220">
        <f t="shared" si="28"/>
        <v>0</v>
      </c>
      <c r="I32" s="220">
        <f t="shared" si="28"/>
        <v>1.133391455972101E-2</v>
      </c>
      <c r="J32" s="220">
        <f t="shared" si="28"/>
        <v>2.0226678291194417E-2</v>
      </c>
      <c r="K32" s="220">
        <f t="shared" si="28"/>
        <v>0</v>
      </c>
      <c r="L32" s="220">
        <f t="shared" si="28"/>
        <v>-2.0226678291194417E-2</v>
      </c>
      <c r="M32" s="220">
        <f t="shared" si="28"/>
        <v>3.3733217088055794</v>
      </c>
      <c r="Q32" s="39">
        <f>IF(AND(C25="→",F22="↓"),F25,IF(AND(C26="→",F22="↓"),F26,IF(AND(C27="→",F22="↓"),F27,IF(AND(C25="→",G22="↓"),G25,IF(AND(C26="→",G22="↓"),G26,IF(AND(C27="→",G22="↓"),G27,IF(AND(C25="→",H22="↓"),H25,IF(AND(C26="→",H22="↓"),H26,IF(AND(C27="→",H22="↓"),H27,IF(AND(C25="→",I22="↓"),I25,IF(AND(C26="→",I22="↓"),I26,IF(AND(C27="→",I22="↓"),I27,IF(AND(C25="→",J22="↓"),J25,IF(AND(C26="→",J22="↓"),J26,IF(AND(C27="→",J22="↓"),J27,IF(AND(C25="→",K22="↓"),K25,IF(AND(C26="→",K22="↓"),K26,IF(AND(C27="→",K22="↓"),K27,IF(AND(C25="→",L22="↓"),L25,IF(AND(C26="→",L22="↓"),L26,IF(AND(C27="→",L22="↓"),L27,"není")))))))))))))))))))))</f>
        <v>1</v>
      </c>
      <c r="S32" s="71"/>
      <c r="Y32" s="9"/>
      <c r="Z32" s="9"/>
      <c r="AA32" s="9"/>
      <c r="AB32" s="9"/>
      <c r="AC32" s="9"/>
      <c r="AD32" s="9"/>
      <c r="AE32" s="9"/>
      <c r="AF32" s="9"/>
      <c r="AG32" s="9"/>
      <c r="AH32" s="9"/>
      <c r="AI32" s="9"/>
      <c r="AJ32" s="9"/>
      <c r="AK32" s="9"/>
      <c r="AL32" s="9"/>
      <c r="AM32" s="9"/>
      <c r="AN32" s="9"/>
      <c r="AO32" s="9"/>
      <c r="AP32" s="9"/>
      <c r="AQ32" s="9"/>
      <c r="AR32" s="9"/>
      <c r="AS32" s="9"/>
      <c r="AT32" s="9"/>
    </row>
    <row r="33" spans="2:46" ht="18" customHeight="1" x14ac:dyDescent="0.3">
      <c r="B33" s="71"/>
      <c r="S33" s="71"/>
      <c r="Y33" s="9"/>
      <c r="Z33" s="9"/>
      <c r="AA33" s="9"/>
      <c r="AB33" s="9"/>
      <c r="AC33" s="9"/>
      <c r="AD33" s="9"/>
      <c r="AE33" s="9"/>
      <c r="AF33" s="9"/>
      <c r="AG33" s="9"/>
      <c r="AH33" s="9"/>
      <c r="AI33" s="9"/>
      <c r="AJ33" s="9"/>
      <c r="AK33" s="9"/>
      <c r="AL33" s="9"/>
      <c r="AM33" s="9"/>
      <c r="AN33" s="9"/>
      <c r="AO33" s="9"/>
      <c r="AP33" s="9"/>
      <c r="AQ33" s="9"/>
      <c r="AR33" s="9"/>
      <c r="AS33" s="9"/>
      <c r="AT33" s="9"/>
    </row>
    <row r="34" spans="2:46" ht="18" customHeight="1" x14ac:dyDescent="0.3">
      <c r="B34" s="71"/>
      <c r="C34" s="71"/>
      <c r="D34" s="71"/>
      <c r="E34" s="71"/>
      <c r="F34" s="71"/>
      <c r="G34" s="71"/>
      <c r="H34" s="71"/>
      <c r="I34" s="71"/>
      <c r="J34" s="71"/>
      <c r="K34" s="71"/>
      <c r="L34" s="71"/>
      <c r="M34" s="71"/>
      <c r="N34" s="71"/>
      <c r="O34" s="71"/>
      <c r="P34" s="71"/>
      <c r="Q34" s="71"/>
      <c r="R34" s="71"/>
      <c r="S34" s="71"/>
      <c r="Y34" s="9"/>
      <c r="Z34" s="9"/>
      <c r="AA34" s="9"/>
      <c r="AB34" s="9"/>
      <c r="AC34" s="9"/>
      <c r="AD34" s="9"/>
      <c r="AE34" s="9"/>
      <c r="AF34" s="9"/>
      <c r="AG34" s="9"/>
      <c r="AH34" s="9"/>
      <c r="AI34" s="9"/>
      <c r="AJ34" s="9"/>
      <c r="AK34" s="9"/>
      <c r="AL34" s="9"/>
      <c r="AM34" s="9"/>
      <c r="AN34" s="9"/>
      <c r="AO34" s="9"/>
      <c r="AP34" s="9"/>
      <c r="AQ34" s="9"/>
      <c r="AR34" s="9"/>
      <c r="AS34" s="9"/>
      <c r="AT34" s="9"/>
    </row>
    <row r="35" spans="2:46" ht="18" customHeight="1" x14ac:dyDescent="0.3">
      <c r="Y35" s="9"/>
      <c r="Z35" s="9"/>
      <c r="AA35" s="9"/>
      <c r="AB35" s="9"/>
      <c r="AC35" s="9"/>
      <c r="AD35" s="9"/>
      <c r="AE35" s="9"/>
      <c r="AF35" s="9"/>
      <c r="AG35" s="9"/>
      <c r="AH35" s="9"/>
      <c r="AI35" s="9"/>
      <c r="AJ35" s="9"/>
      <c r="AK35" s="9"/>
      <c r="AL35" s="9"/>
      <c r="AM35" s="9"/>
      <c r="AN35" s="9"/>
      <c r="AO35" s="9"/>
      <c r="AP35" s="9"/>
      <c r="AQ35" s="9"/>
      <c r="AR35" s="9"/>
      <c r="AS35" s="9"/>
      <c r="AT35" s="9"/>
    </row>
    <row r="36" spans="2:46" ht="18" customHeight="1" x14ac:dyDescent="0.3">
      <c r="Y36" s="9"/>
      <c r="Z36" s="9"/>
      <c r="AA36" s="9"/>
      <c r="AB36" s="9"/>
      <c r="AC36" s="9"/>
      <c r="AD36" s="9"/>
      <c r="AE36" s="9"/>
      <c r="AF36" s="9"/>
      <c r="AG36" s="9"/>
      <c r="AH36" s="9"/>
      <c r="AI36" s="9"/>
      <c r="AJ36" s="9"/>
      <c r="AK36" s="9"/>
      <c r="AL36" s="9"/>
      <c r="AM36" s="9"/>
      <c r="AN36" s="9"/>
      <c r="AO36" s="9"/>
      <c r="AP36" s="9"/>
      <c r="AQ36" s="9"/>
      <c r="AR36" s="9"/>
      <c r="AS36" s="9"/>
      <c r="AT36" s="9"/>
    </row>
  </sheetData>
  <dataConsolidate/>
  <mergeCells count="26">
    <mergeCell ref="AD3:AE3"/>
    <mergeCell ref="AG3:AH3"/>
    <mergeCell ref="C5:E7"/>
    <mergeCell ref="I5:J5"/>
    <mergeCell ref="L5:M5"/>
    <mergeCell ref="O5:P5"/>
    <mergeCell ref="I4:P4"/>
    <mergeCell ref="T5:V5"/>
    <mergeCell ref="X3:Y3"/>
    <mergeCell ref="AA3:AB3"/>
    <mergeCell ref="T4:V4"/>
    <mergeCell ref="T6:V6"/>
    <mergeCell ref="C2:I3"/>
    <mergeCell ref="C4:F4"/>
    <mergeCell ref="D31:E32"/>
    <mergeCell ref="C8:G8"/>
    <mergeCell ref="P8:R8"/>
    <mergeCell ref="T8:Y8"/>
    <mergeCell ref="AG8:AI8"/>
    <mergeCell ref="D15:E15"/>
    <mergeCell ref="U15:V15"/>
    <mergeCell ref="D18:E19"/>
    <mergeCell ref="U18:V19"/>
    <mergeCell ref="C21:G21"/>
    <mergeCell ref="P21:R21"/>
    <mergeCell ref="D28:E28"/>
  </mergeCells>
  <conditionalFormatting sqref="W15:AC15">
    <cfRule type="cellIs" dxfId="25" priority="2" operator="greaterThan">
      <formula>0</formula>
    </cfRule>
    <cfRule type="cellIs" dxfId="24" priority="5" operator="lessThanOrEqual">
      <formula>0</formula>
    </cfRule>
  </conditionalFormatting>
  <conditionalFormatting sqref="W12:AC15">
    <cfRule type="expression" dxfId="23" priority="8">
      <formula>$AH$16=MAX(W$15)</formula>
    </cfRule>
  </conditionalFormatting>
  <conditionalFormatting sqref="F12:N14">
    <cfRule type="expression" dxfId="22" priority="10">
      <formula>$Q$12=MIN(ABS($N12))</formula>
    </cfRule>
  </conditionalFormatting>
  <conditionalFormatting sqref="W12:AE14">
    <cfRule type="expression" dxfId="21" priority="7">
      <formula>$AH$12=MIN(ABS($AE12))</formula>
    </cfRule>
  </conditionalFormatting>
  <conditionalFormatting sqref="F12:L15">
    <cfRule type="expression" dxfId="20" priority="9">
      <formula>$Q$16=MAX(F$15)</formula>
    </cfRule>
  </conditionalFormatting>
  <conditionalFormatting sqref="F25:N27">
    <cfRule type="expression" dxfId="19" priority="11">
      <formula>$Q$25=MIN(ABS($N25))</formula>
    </cfRule>
  </conditionalFormatting>
  <conditionalFormatting sqref="M25:M27 F25:L28">
    <cfRule type="expression" dxfId="18" priority="12">
      <formula>$Q$29=MAX(F$28)</formula>
    </cfRule>
  </conditionalFormatting>
  <conditionalFormatting sqref="F15:L15">
    <cfRule type="cellIs" dxfId="17" priority="3" operator="greaterThan">
      <formula>0</formula>
    </cfRule>
    <cfRule type="cellIs" dxfId="16" priority="6" operator="lessThanOrEqual">
      <formula>0</formula>
    </cfRule>
  </conditionalFormatting>
  <conditionalFormatting sqref="F28:L28">
    <cfRule type="cellIs" dxfId="15" priority="1" operator="greaterThan">
      <formula>0</formula>
    </cfRule>
    <cfRule type="cellIs" dxfId="14" priority="4" operator="lessThanOrEqual">
      <formula>0</formula>
    </cfRule>
  </conditionalFormatting>
  <pageMargins left="0.7" right="0.7" top="0.78740157499999996" bottom="0.78740157499999996" header="0.3" footer="0.3"/>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3EE7-04D9-4D3D-962B-6746D7BB9873}">
  <sheetPr codeName="List1">
    <tabColor theme="7" tint="0.59999389629810485"/>
  </sheetPr>
  <dimension ref="A2:AQ65"/>
  <sheetViews>
    <sheetView zoomScale="85" zoomScaleNormal="85" workbookViewId="0">
      <selection activeCell="B2" sqref="B2"/>
    </sheetView>
  </sheetViews>
  <sheetFormatPr defaultRowHeight="14.4" x14ac:dyDescent="0.3"/>
  <cols>
    <col min="1" max="44" width="7.77734375" customWidth="1"/>
  </cols>
  <sheetData>
    <row r="2" spans="1:20" ht="25.8" x14ac:dyDescent="0.3">
      <c r="B2" s="300" t="s">
        <v>309</v>
      </c>
      <c r="C2" s="2"/>
      <c r="D2" s="2"/>
      <c r="E2" s="2"/>
      <c r="F2" s="2"/>
      <c r="G2" s="2"/>
      <c r="H2" s="2"/>
      <c r="I2" s="2"/>
      <c r="J2" s="2"/>
      <c r="K2" s="9"/>
      <c r="L2" s="9"/>
    </row>
    <row r="3" spans="1:20" ht="15" customHeight="1" x14ac:dyDescent="0.45">
      <c r="B3" s="1"/>
    </row>
    <row r="4" spans="1:20" ht="18" customHeight="1" x14ac:dyDescent="0.3">
      <c r="B4" s="351" t="s">
        <v>308</v>
      </c>
      <c r="C4" s="352"/>
      <c r="D4" s="352"/>
      <c r="E4" s="352"/>
      <c r="F4" s="352"/>
      <c r="G4" s="352"/>
      <c r="H4" s="352"/>
      <c r="I4" s="352"/>
      <c r="J4" s="352"/>
      <c r="K4" s="352"/>
      <c r="L4" s="352"/>
      <c r="M4" s="353"/>
      <c r="P4" s="70"/>
    </row>
    <row r="5" spans="1:20" ht="15" x14ac:dyDescent="0.3">
      <c r="B5" s="283"/>
      <c r="G5" s="11"/>
      <c r="P5" s="70"/>
    </row>
    <row r="6" spans="1:20" ht="15" x14ac:dyDescent="0.3">
      <c r="B6" s="8" t="s">
        <v>9</v>
      </c>
      <c r="C6" s="3">
        <v>0.7</v>
      </c>
      <c r="D6" s="279" t="s">
        <v>0</v>
      </c>
      <c r="E6" s="3">
        <v>0.4</v>
      </c>
      <c r="F6" s="279" t="s">
        <v>1</v>
      </c>
      <c r="G6" s="3">
        <v>0.2</v>
      </c>
      <c r="H6" s="279" t="s">
        <v>2</v>
      </c>
      <c r="I6" s="3" t="s">
        <v>5</v>
      </c>
      <c r="J6" s="3" t="s">
        <v>3</v>
      </c>
      <c r="K6" s="279">
        <v>20</v>
      </c>
      <c r="L6" s="285"/>
      <c r="M6" s="13"/>
    </row>
    <row r="7" spans="1:20" ht="15" x14ac:dyDescent="0.3">
      <c r="B7" s="7" t="s">
        <v>10</v>
      </c>
      <c r="C7" s="284">
        <v>9</v>
      </c>
      <c r="D7" s="169" t="s">
        <v>0</v>
      </c>
      <c r="E7" s="284">
        <v>6</v>
      </c>
      <c r="F7" s="169" t="s">
        <v>1</v>
      </c>
      <c r="G7" s="284">
        <v>8</v>
      </c>
      <c r="H7" s="169" t="s">
        <v>2</v>
      </c>
      <c r="I7" s="284" t="s">
        <v>5</v>
      </c>
      <c r="J7" s="284" t="s">
        <v>3</v>
      </c>
      <c r="K7" s="169">
        <v>555</v>
      </c>
      <c r="L7" s="285"/>
      <c r="M7" s="13"/>
    </row>
    <row r="8" spans="1:20" ht="15" x14ac:dyDescent="0.3">
      <c r="B8" s="7" t="s">
        <v>11</v>
      </c>
      <c r="C8" s="284">
        <v>1</v>
      </c>
      <c r="D8" s="169" t="s">
        <v>0</v>
      </c>
      <c r="E8" s="284">
        <v>0</v>
      </c>
      <c r="F8" s="169" t="s">
        <v>1</v>
      </c>
      <c r="G8" s="284">
        <v>0</v>
      </c>
      <c r="H8" s="169" t="s">
        <v>2</v>
      </c>
      <c r="I8" s="284"/>
      <c r="J8" s="284" t="s">
        <v>3</v>
      </c>
      <c r="K8" s="169">
        <v>10</v>
      </c>
      <c r="L8" s="285"/>
      <c r="M8" s="13"/>
    </row>
    <row r="9" spans="1:20" ht="15" x14ac:dyDescent="0.3">
      <c r="B9" s="6" t="s">
        <v>12</v>
      </c>
      <c r="C9" s="5">
        <v>0</v>
      </c>
      <c r="D9" s="281" t="s">
        <v>0</v>
      </c>
      <c r="E9" s="5">
        <v>0</v>
      </c>
      <c r="F9" s="281" t="s">
        <v>1</v>
      </c>
      <c r="G9" s="5">
        <v>1</v>
      </c>
      <c r="H9" s="281" t="s">
        <v>2</v>
      </c>
      <c r="I9" s="5" t="s">
        <v>4</v>
      </c>
      <c r="J9" s="5" t="s">
        <v>3</v>
      </c>
      <c r="K9" s="281">
        <v>14</v>
      </c>
      <c r="L9" s="285"/>
      <c r="M9" s="13"/>
    </row>
    <row r="10" spans="1:20" ht="15" x14ac:dyDescent="0.3">
      <c r="A10" s="68"/>
      <c r="B10" s="283"/>
    </row>
    <row r="11" spans="1:20" x14ac:dyDescent="0.3">
      <c r="B11" s="8" t="s">
        <v>8</v>
      </c>
      <c r="C11" s="3">
        <v>13</v>
      </c>
      <c r="D11" s="279" t="str">
        <f>IF(OR(C11="",C11=0),"","x1")</f>
        <v>x1</v>
      </c>
      <c r="E11" s="3">
        <v>41</v>
      </c>
      <c r="F11" s="279" t="str">
        <f>IF(OR(E11="",E11=0),"","x2")</f>
        <v>x2</v>
      </c>
      <c r="G11" s="3">
        <v>63</v>
      </c>
      <c r="H11" s="279" t="str">
        <f>IF(OR(G11="",G11=0),"","x3")</f>
        <v>x3</v>
      </c>
      <c r="I11" s="3" t="s">
        <v>6</v>
      </c>
      <c r="J11" s="279" t="s">
        <v>7</v>
      </c>
      <c r="K11" s="283"/>
    </row>
    <row r="12" spans="1:20" ht="15" x14ac:dyDescent="0.3">
      <c r="B12" s="6" t="s">
        <v>17</v>
      </c>
      <c r="C12" s="5">
        <f>IF(OR(C6&lt;&gt;0,C7&lt;&gt;0,C8&lt;&gt;0,C9&lt;&gt;0),1,"")</f>
        <v>1</v>
      </c>
      <c r="D12" s="281" t="str">
        <f>IF(C12="","","x1")</f>
        <v>x1</v>
      </c>
      <c r="E12" s="5">
        <f>IF(OR(E6&lt;&gt;0,E7&lt;&gt;0,E8&lt;&gt;0,E9&lt;&gt;0),1,"")</f>
        <v>1</v>
      </c>
      <c r="F12" s="281" t="str">
        <f>IF(E12="","","x2")</f>
        <v>x2</v>
      </c>
      <c r="G12" s="5">
        <f>IF(OR(G6&lt;&gt;0,G7&lt;&gt;0,G8&lt;&gt;0,G9&lt;&gt;0),1,"")</f>
        <v>1</v>
      </c>
      <c r="H12" s="281" t="str">
        <f>IF(G12="","","x3")</f>
        <v>x3</v>
      </c>
      <c r="I12" s="5" t="s">
        <v>30</v>
      </c>
      <c r="J12" s="281">
        <v>0</v>
      </c>
    </row>
    <row r="14" spans="1:20" ht="15" x14ac:dyDescent="0.3">
      <c r="B14" s="283"/>
    </row>
    <row r="15" spans="1:20" ht="15.6" x14ac:dyDescent="0.3">
      <c r="B15" s="351" t="s">
        <v>18</v>
      </c>
      <c r="C15" s="352"/>
      <c r="D15" s="352"/>
      <c r="E15" s="352"/>
      <c r="F15" s="352"/>
      <c r="G15" s="352"/>
      <c r="H15" s="352"/>
      <c r="I15" s="352"/>
      <c r="J15" s="352"/>
      <c r="K15" s="352"/>
      <c r="L15" s="352"/>
      <c r="M15" s="352"/>
      <c r="N15" s="352"/>
      <c r="O15" s="352"/>
      <c r="P15" s="352"/>
      <c r="Q15" s="352"/>
      <c r="R15" s="352"/>
      <c r="S15" s="352"/>
      <c r="T15" s="353"/>
    </row>
    <row r="16" spans="1:20" ht="15" x14ac:dyDescent="0.3">
      <c r="M16" s="12"/>
      <c r="N16" s="12"/>
      <c r="O16" s="12"/>
    </row>
    <row r="17" spans="2:28" ht="15" x14ac:dyDescent="0.3">
      <c r="B17" s="8" t="str" cm="1">
        <f t="array" ref="B17:H20">B6:H9</f>
        <v>op1</v>
      </c>
      <c r="C17" s="3">
        <v>0.7</v>
      </c>
      <c r="D17" s="279" t="str">
        <v>x1</v>
      </c>
      <c r="E17" s="3">
        <v>0.4</v>
      </c>
      <c r="F17" s="279" t="str">
        <v>x2</v>
      </c>
      <c r="G17" s="3">
        <v>0.2</v>
      </c>
      <c r="H17" s="279" t="str">
        <v>x3</v>
      </c>
      <c r="I17" s="3">
        <f>IF($I$6="&lt;",1,IF($I$6="&gt;",-1,0))</f>
        <v>1</v>
      </c>
      <c r="J17" s="279" t="str">
        <f>IF($I$6="&lt;","d1",IF($I$6="&gt;","d1",""))</f>
        <v>d1</v>
      </c>
      <c r="K17" s="286"/>
      <c r="L17" s="287"/>
      <c r="M17" s="292"/>
      <c r="N17" s="289"/>
      <c r="O17" s="292"/>
      <c r="P17" s="287"/>
      <c r="Q17" s="3" t="s">
        <v>3</v>
      </c>
      <c r="R17" s="279" cm="1">
        <f t="array" ref="R17:R20">K6:K9</f>
        <v>20</v>
      </c>
      <c r="S17" s="285"/>
      <c r="T17" s="242"/>
    </row>
    <row r="18" spans="2:28" ht="15" x14ac:dyDescent="0.3">
      <c r="B18" s="7" t="str">
        <v>op2</v>
      </c>
      <c r="C18" s="284">
        <v>9</v>
      </c>
      <c r="D18" s="169" t="str">
        <v>x1</v>
      </c>
      <c r="E18" s="284">
        <v>6</v>
      </c>
      <c r="F18" s="169" t="str">
        <v>x2</v>
      </c>
      <c r="G18" s="284">
        <v>8</v>
      </c>
      <c r="H18" s="169" t="str">
        <v>x3</v>
      </c>
      <c r="I18" s="288"/>
      <c r="J18" s="289"/>
      <c r="K18" s="283">
        <f>IF($I$7="&lt;",1,IF($I$7="&gt;",-1,0))</f>
        <v>1</v>
      </c>
      <c r="L18" s="169" t="str">
        <f>IF($I$7="&lt;","d2",IF($I$7="&gt;","d2",""))</f>
        <v>d2</v>
      </c>
      <c r="M18" s="292"/>
      <c r="N18" s="289"/>
      <c r="O18" s="292"/>
      <c r="P18" s="289"/>
      <c r="Q18" s="284" t="s">
        <v>3</v>
      </c>
      <c r="R18" s="169">
        <v>555</v>
      </c>
      <c r="S18" s="285"/>
      <c r="T18" s="242"/>
    </row>
    <row r="19" spans="2:28" ht="15" x14ac:dyDescent="0.3">
      <c r="B19" s="7" t="str">
        <v>op3</v>
      </c>
      <c r="C19" s="284">
        <v>1</v>
      </c>
      <c r="D19" s="169" t="str">
        <v>x1</v>
      </c>
      <c r="E19" s="284">
        <v>0</v>
      </c>
      <c r="F19" s="169" t="str">
        <v>x2</v>
      </c>
      <c r="G19" s="284">
        <v>0</v>
      </c>
      <c r="H19" s="169" t="str">
        <v>x3</v>
      </c>
      <c r="I19" s="288"/>
      <c r="J19" s="289"/>
      <c r="K19" s="292"/>
      <c r="L19" s="289"/>
      <c r="M19" s="283">
        <f>IF($I$8="&lt;",1,IF($I$8="&gt;",-1,0))</f>
        <v>0</v>
      </c>
      <c r="N19" s="169" t="str">
        <f>IF($I$8="&lt;","d3",IF($I$8="&gt;","d3",""))</f>
        <v/>
      </c>
      <c r="O19" s="292"/>
      <c r="P19" s="289"/>
      <c r="Q19" s="284" t="s">
        <v>3</v>
      </c>
      <c r="R19" s="169">
        <v>10</v>
      </c>
      <c r="S19" s="285"/>
      <c r="T19" s="242"/>
    </row>
    <row r="20" spans="2:28" ht="15" x14ac:dyDescent="0.3">
      <c r="B20" s="6" t="str">
        <v>op4</v>
      </c>
      <c r="C20" s="5">
        <v>0</v>
      </c>
      <c r="D20" s="281" t="str">
        <v>x1</v>
      </c>
      <c r="E20" s="5">
        <v>0</v>
      </c>
      <c r="F20" s="281" t="str">
        <v>x2</v>
      </c>
      <c r="G20" s="5">
        <v>1</v>
      </c>
      <c r="H20" s="281" t="str">
        <v>x3</v>
      </c>
      <c r="I20" s="290"/>
      <c r="J20" s="291"/>
      <c r="K20" s="290"/>
      <c r="L20" s="291"/>
      <c r="M20" s="290"/>
      <c r="N20" s="291"/>
      <c r="O20" s="5">
        <f>IF($I$9="&lt;",1,IF($I$9="&gt;",-1,0))</f>
        <v>-1</v>
      </c>
      <c r="P20" s="281" t="str">
        <f>IF($I$9="&lt;","d4",IF($I$9="&gt;","d4",""))</f>
        <v>d4</v>
      </c>
      <c r="Q20" s="5" t="s">
        <v>3</v>
      </c>
      <c r="R20" s="281">
        <v>14</v>
      </c>
      <c r="S20" s="242"/>
      <c r="T20" s="242"/>
    </row>
    <row r="21" spans="2:28" ht="15" x14ac:dyDescent="0.3">
      <c r="B21" s="11"/>
      <c r="C21" s="11"/>
      <c r="D21" s="11"/>
      <c r="E21" s="11"/>
      <c r="F21" s="11"/>
      <c r="G21" s="11"/>
      <c r="H21" s="11"/>
      <c r="I21" s="11"/>
      <c r="J21" s="11"/>
      <c r="K21" s="11"/>
      <c r="L21" s="11"/>
      <c r="M21" s="11"/>
      <c r="N21" s="11"/>
      <c r="O21" s="11"/>
      <c r="P21" s="11"/>
      <c r="Q21" s="11"/>
      <c r="R21" s="11"/>
    </row>
    <row r="22" spans="2:28" ht="15" x14ac:dyDescent="0.3">
      <c r="B22" s="8" t="str" cm="1">
        <f t="array" ref="B22:H22">B11:H11</f>
        <v>z</v>
      </c>
      <c r="C22" s="283">
        <v>13</v>
      </c>
      <c r="D22" s="279" t="str">
        <v>x1</v>
      </c>
      <c r="E22" s="283">
        <v>41</v>
      </c>
      <c r="F22" s="279" t="str">
        <v>x2</v>
      </c>
      <c r="G22" s="283">
        <v>63</v>
      </c>
      <c r="H22" s="279" t="str">
        <v>x3</v>
      </c>
      <c r="I22" s="297"/>
      <c r="J22" s="298"/>
      <c r="K22" s="299"/>
      <c r="L22" s="298"/>
      <c r="M22" s="299"/>
      <c r="N22" s="298"/>
      <c r="O22" s="299"/>
      <c r="P22" s="298"/>
      <c r="Q22" s="283" t="str" cm="1">
        <f t="array" ref="Q22:R23">I11:J12</f>
        <v>→</v>
      </c>
      <c r="R22" s="279" t="str">
        <v>MAX</v>
      </c>
      <c r="S22" s="283"/>
    </row>
    <row r="23" spans="2:28" ht="15" x14ac:dyDescent="0.3">
      <c r="B23" s="280" t="str" cm="1">
        <f t="array" ref="B23:H23">B12:H12</f>
        <v>PN</v>
      </c>
      <c r="C23" s="280">
        <v>1</v>
      </c>
      <c r="D23" s="281" t="str">
        <v>x1</v>
      </c>
      <c r="E23" s="5">
        <v>1</v>
      </c>
      <c r="F23" s="281" t="str">
        <v>x2</v>
      </c>
      <c r="G23" s="5">
        <v>1</v>
      </c>
      <c r="H23" s="281" t="str">
        <v>x3</v>
      </c>
      <c r="I23" s="280">
        <f>IF($I$17="-1","",$I$17)</f>
        <v>1</v>
      </c>
      <c r="J23" s="281" t="str">
        <f>IF($I$17="-1","",$J$17)</f>
        <v>d1</v>
      </c>
      <c r="K23" s="5">
        <f>IF($K$18="-1","",$K$18)</f>
        <v>1</v>
      </c>
      <c r="L23" s="281" t="str">
        <f>IF($K$18="-1","",$L$18)</f>
        <v>d2</v>
      </c>
      <c r="M23" s="5">
        <f>IF($M$19="-1","",$M$19)</f>
        <v>0</v>
      </c>
      <c r="N23" s="281" t="str">
        <f>IF($M$19="-1","",$N$19)</f>
        <v/>
      </c>
      <c r="O23" s="5">
        <f>IF($O$20="-1","",$O$20)</f>
        <v>-1</v>
      </c>
      <c r="P23" s="281" t="str">
        <f>IF($O$20="-1","",$P$20)</f>
        <v>d4</v>
      </c>
      <c r="Q23" s="280" t="str">
        <v>&gt; =</v>
      </c>
      <c r="R23" s="281">
        <v>0</v>
      </c>
      <c r="S23" s="283"/>
      <c r="T23" s="283"/>
      <c r="U23" s="283"/>
      <c r="V23" s="283"/>
      <c r="W23" s="283"/>
    </row>
    <row r="25" spans="2:28" ht="15" x14ac:dyDescent="0.3">
      <c r="B25" s="283"/>
    </row>
    <row r="26" spans="2:28" ht="15.6" x14ac:dyDescent="0.3">
      <c r="B26" s="351" t="s">
        <v>19</v>
      </c>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3"/>
    </row>
    <row r="27" spans="2:28" ht="15" x14ac:dyDescent="0.3">
      <c r="B27" s="12"/>
      <c r="C27" s="12"/>
      <c r="D27" s="12"/>
      <c r="E27" s="12"/>
      <c r="F27" s="12"/>
      <c r="G27" s="12"/>
      <c r="H27" s="12"/>
      <c r="I27" s="12"/>
      <c r="J27" s="12"/>
      <c r="K27" s="12"/>
      <c r="L27" s="12"/>
      <c r="M27" s="12"/>
      <c r="N27" s="12"/>
      <c r="O27" s="12"/>
      <c r="P27" s="12"/>
      <c r="Q27" s="12"/>
      <c r="R27" s="12"/>
      <c r="S27" s="12"/>
      <c r="T27" s="12"/>
      <c r="U27" s="12"/>
      <c r="V27" s="12"/>
      <c r="W27" s="12"/>
      <c r="X27" s="12"/>
      <c r="Z27" s="12"/>
    </row>
    <row r="28" spans="2:28" ht="15" x14ac:dyDescent="0.3">
      <c r="B28" s="8" t="str" cm="1">
        <f t="array" ref="B28:H31">B6:H9</f>
        <v>op1</v>
      </c>
      <c r="C28" s="283">
        <v>0.7</v>
      </c>
      <c r="D28" s="279" t="str">
        <v>x1</v>
      </c>
      <c r="E28" s="283">
        <v>0.4</v>
      </c>
      <c r="F28" s="279" t="str">
        <v>x2</v>
      </c>
      <c r="G28" s="283">
        <v>0.2</v>
      </c>
      <c r="H28" s="279" t="str">
        <v>x3</v>
      </c>
      <c r="I28" s="283" cm="1">
        <f t="array" ref="I28:J28">I17:J17</f>
        <v>1</v>
      </c>
      <c r="J28" s="279" t="str">
        <v>d1</v>
      </c>
      <c r="K28" s="292"/>
      <c r="L28" s="287"/>
      <c r="M28" s="292"/>
      <c r="N28" s="287"/>
      <c r="O28" s="292"/>
      <c r="P28" s="287"/>
      <c r="Q28" s="283" t="str">
        <f>IF($I$6="&lt;","0",IF($I$6="&gt;",1,1))</f>
        <v>0</v>
      </c>
      <c r="R28" s="169" t="str">
        <f>IF($I$6="&lt;","",IF($I$6="&gt;","p1","p1"))</f>
        <v/>
      </c>
      <c r="S28" s="292"/>
      <c r="T28" s="287"/>
      <c r="U28" s="292"/>
      <c r="V28" s="287"/>
      <c r="W28" s="292"/>
      <c r="X28" s="287"/>
      <c r="Y28" s="278" t="s">
        <v>3</v>
      </c>
      <c r="Z28" s="283" cm="1">
        <f t="array" ref="Z28:Z31">K6:K9</f>
        <v>20</v>
      </c>
      <c r="AA28" s="285"/>
      <c r="AB28" s="242"/>
    </row>
    <row r="29" spans="2:28" ht="15" x14ac:dyDescent="0.3">
      <c r="B29" s="7" t="str">
        <v>op2</v>
      </c>
      <c r="C29" s="283">
        <v>9</v>
      </c>
      <c r="D29" s="169" t="str">
        <v>x1</v>
      </c>
      <c r="E29" s="283">
        <v>6</v>
      </c>
      <c r="F29" s="169" t="str">
        <v>x2</v>
      </c>
      <c r="G29" s="283">
        <v>8</v>
      </c>
      <c r="H29" s="169" t="str">
        <v>x3</v>
      </c>
      <c r="I29" s="292"/>
      <c r="J29" s="289"/>
      <c r="K29" s="283" cm="1">
        <f t="array" ref="K29:L29">K18:L18</f>
        <v>1</v>
      </c>
      <c r="L29" s="169" t="str">
        <v>d2</v>
      </c>
      <c r="M29" s="292"/>
      <c r="N29" s="289"/>
      <c r="O29" s="292"/>
      <c r="P29" s="289"/>
      <c r="Q29" s="292"/>
      <c r="R29" s="289"/>
      <c r="S29" s="283" t="str">
        <f>IF($I$7="&lt;","0",IF($I$7="&gt;",1,1))</f>
        <v>0</v>
      </c>
      <c r="T29" s="169" t="str">
        <f>IF($I$7="&lt;","",IF($I$7="&gt;","p2","p2"))</f>
        <v/>
      </c>
      <c r="U29" s="292"/>
      <c r="V29" s="289"/>
      <c r="W29" s="292"/>
      <c r="X29" s="289"/>
      <c r="Y29" s="282" t="s">
        <v>3</v>
      </c>
      <c r="Z29" s="283">
        <v>555</v>
      </c>
      <c r="AA29" s="285"/>
      <c r="AB29" s="242"/>
    </row>
    <row r="30" spans="2:28" ht="15" x14ac:dyDescent="0.3">
      <c r="B30" s="7" t="str">
        <v>op3</v>
      </c>
      <c r="C30" s="283">
        <v>1</v>
      </c>
      <c r="D30" s="169" t="str">
        <v>x1</v>
      </c>
      <c r="E30" s="283">
        <v>0</v>
      </c>
      <c r="F30" s="169" t="str">
        <v>x2</v>
      </c>
      <c r="G30" s="283">
        <v>0</v>
      </c>
      <c r="H30" s="169" t="str">
        <v>x3</v>
      </c>
      <c r="I30" s="292"/>
      <c r="J30" s="289"/>
      <c r="K30" s="292"/>
      <c r="L30" s="289"/>
      <c r="M30" s="283" cm="1">
        <f t="array" ref="M30:N30">M19:N19</f>
        <v>0</v>
      </c>
      <c r="N30" s="169" t="str">
        <v/>
      </c>
      <c r="O30" s="292"/>
      <c r="P30" s="289"/>
      <c r="Q30" s="292"/>
      <c r="R30" s="289"/>
      <c r="S30" s="292"/>
      <c r="T30" s="289"/>
      <c r="U30" s="283">
        <f>IF($I$8="&lt;","0",IF($I$8="&gt;",1,1))</f>
        <v>1</v>
      </c>
      <c r="V30" s="169" t="str">
        <f>IF($I$8="&lt;","",IF($I$8="&gt;","p3","p3"))</f>
        <v>p3</v>
      </c>
      <c r="W30" s="292"/>
      <c r="X30" s="289"/>
      <c r="Y30" s="282" t="s">
        <v>3</v>
      </c>
      <c r="Z30" s="283">
        <v>10</v>
      </c>
      <c r="AA30" s="285"/>
      <c r="AB30" s="242"/>
    </row>
    <row r="31" spans="2:28" ht="15" x14ac:dyDescent="0.3">
      <c r="B31" s="6" t="str">
        <v>op4</v>
      </c>
      <c r="C31" s="5">
        <v>0</v>
      </c>
      <c r="D31" s="281" t="str">
        <v>x1</v>
      </c>
      <c r="E31" s="5">
        <v>0</v>
      </c>
      <c r="F31" s="281" t="str">
        <v>x2</v>
      </c>
      <c r="G31" s="5">
        <v>1</v>
      </c>
      <c r="H31" s="281" t="str">
        <v>x3</v>
      </c>
      <c r="I31" s="290"/>
      <c r="J31" s="291"/>
      <c r="K31" s="290"/>
      <c r="L31" s="291"/>
      <c r="M31" s="290"/>
      <c r="N31" s="291"/>
      <c r="O31" s="5" cm="1">
        <f t="array" ref="O31:P31">O20:P20</f>
        <v>-1</v>
      </c>
      <c r="P31" s="281" t="str">
        <v>d4</v>
      </c>
      <c r="Q31" s="296"/>
      <c r="R31" s="291"/>
      <c r="S31" s="290"/>
      <c r="T31" s="291"/>
      <c r="U31" s="290"/>
      <c r="V31" s="291"/>
      <c r="W31" s="280">
        <f>IF($I$9="&lt;","0",IF($I$9="&gt;",1,1))</f>
        <v>1</v>
      </c>
      <c r="X31" s="281" t="str">
        <f>IF($I$9="&lt;","",IF($I$9="&gt;","p4","p4"))</f>
        <v>p4</v>
      </c>
      <c r="Y31" s="280" t="s">
        <v>3</v>
      </c>
      <c r="Z31" s="281">
        <v>14</v>
      </c>
      <c r="AA31" s="242"/>
      <c r="AB31" s="242"/>
    </row>
    <row r="32" spans="2:28" ht="15" x14ac:dyDescent="0.3">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2:43" x14ac:dyDescent="0.3">
      <c r="B33" s="8" t="str" cm="1">
        <f t="array" ref="B33:H33">B11:H11</f>
        <v>z</v>
      </c>
      <c r="C33" s="283">
        <v>13</v>
      </c>
      <c r="D33" s="279" t="str">
        <v>x1</v>
      </c>
      <c r="E33" s="283">
        <v>41</v>
      </c>
      <c r="F33" s="279" t="str">
        <v>x2</v>
      </c>
      <c r="G33" s="283">
        <v>63</v>
      </c>
      <c r="H33" s="279" t="str">
        <v>x3</v>
      </c>
      <c r="I33" s="292"/>
      <c r="J33" s="287"/>
      <c r="K33" s="292"/>
      <c r="L33" s="287"/>
      <c r="M33" s="292"/>
      <c r="N33" s="287"/>
      <c r="O33" s="292"/>
      <c r="P33" s="287"/>
      <c r="Q33" s="3" t="str">
        <f>IF(OR($I$6="",$I$6="&gt;"),IF(MAX($C$33,$E$33,$G$33)&lt;=9,"-10",IF(MAX($C$33,$E$33,$G$33)&lt;=99,"-100",IF(MAX($C$33,$E$33,$G$33)&lt;=999,"-1000",""))),"0")</f>
        <v>0</v>
      </c>
      <c r="R33" s="279" t="str">
        <f>$R$28</f>
        <v/>
      </c>
      <c r="S33" s="3" t="str">
        <f>IF(OR($I$7="",$I$7="&gt;"),IF(MAX($C$33,$E$33,$G$33)&lt;=9,"-10",IF(MAX($C$33,$E$33,$G$33)&lt;=99,"-100",IF(MAX($C$33,$E$33,$G$33)&lt;=999,"-1000",""))),"0")</f>
        <v>0</v>
      </c>
      <c r="T33" s="279" t="str">
        <f>$T$29</f>
        <v/>
      </c>
      <c r="U33" s="16" t="str">
        <f>IF(OR($I$8="",$I$8="&gt;"),IF(MAX($C$33,$E$33,$G$33)&lt;=9,"-10",IF(MAX($C$33,$E$33,$G$33)&lt;=99,"-100",IF(MAX($C$33,$E$33,$G$33)&lt;=999,"-1000",""))),"0")</f>
        <v>-100</v>
      </c>
      <c r="V33" s="17" t="str">
        <f>$V$30</f>
        <v>p3</v>
      </c>
      <c r="W33" s="16" t="str">
        <f>IF(OR($I$9="",$I$9="&gt;"),IF(MAX($C$33,$E$33,$G$33)&lt;=9,"-10",IF(MAX($C$33,$E$33,$G$33)&lt;=99,"-100",IF(MAX($C$33,$E$33,$G$33)&lt;=999,"-1000",""))),"0")</f>
        <v>-100</v>
      </c>
      <c r="X33" s="279" t="str">
        <f>$X$31</f>
        <v>p4</v>
      </c>
      <c r="Y33" s="283" t="str" cm="1">
        <f t="array" ref="Y33:Z34">I11:J12</f>
        <v>→</v>
      </c>
      <c r="Z33" s="279" t="str">
        <v>MAX</v>
      </c>
      <c r="AA33" s="283"/>
      <c r="AB33" s="283"/>
    </row>
    <row r="34" spans="2:43" x14ac:dyDescent="0.3">
      <c r="B34" s="6" t="str" cm="1">
        <f t="array" ref="B34:P34">B23:P23</f>
        <v>PN</v>
      </c>
      <c r="C34" s="5">
        <v>1</v>
      </c>
      <c r="D34" s="281" t="str">
        <v>x1</v>
      </c>
      <c r="E34" s="5">
        <v>1</v>
      </c>
      <c r="F34" s="281" t="str">
        <v>x2</v>
      </c>
      <c r="G34" s="5">
        <v>1</v>
      </c>
      <c r="H34" s="281" t="str">
        <v>x3</v>
      </c>
      <c r="I34" s="280">
        <v>1</v>
      </c>
      <c r="J34" s="281" t="str">
        <v>d1</v>
      </c>
      <c r="K34" s="5">
        <v>1</v>
      </c>
      <c r="L34" s="281" t="str">
        <v>d2</v>
      </c>
      <c r="M34" s="5">
        <v>0</v>
      </c>
      <c r="N34" s="281" t="str">
        <v/>
      </c>
      <c r="O34" s="5">
        <v>-1</v>
      </c>
      <c r="P34" s="281" t="str">
        <v>d4</v>
      </c>
      <c r="Q34" s="293"/>
      <c r="R34" s="294"/>
      <c r="S34" s="295"/>
      <c r="T34" s="294"/>
      <c r="U34" s="295"/>
      <c r="V34" s="294"/>
      <c r="W34" s="295"/>
      <c r="X34" s="294"/>
      <c r="Y34" s="280" t="str">
        <v>&gt; =</v>
      </c>
      <c r="Z34" s="281">
        <v>0</v>
      </c>
    </row>
    <row r="38" spans="2:43" ht="18" customHeight="1" x14ac:dyDescent="0.3">
      <c r="B38" s="351" t="s">
        <v>26</v>
      </c>
      <c r="C38" s="352"/>
      <c r="D38" s="352"/>
      <c r="E38" s="352"/>
      <c r="F38" s="352"/>
      <c r="G38" s="352"/>
      <c r="H38" s="352"/>
      <c r="I38" s="352"/>
      <c r="J38" s="352"/>
      <c r="K38" s="352"/>
      <c r="L38" s="352"/>
      <c r="M38" s="352"/>
      <c r="N38" s="352"/>
      <c r="O38" s="352"/>
      <c r="P38" s="352"/>
      <c r="Q38" s="352"/>
      <c r="R38" s="352"/>
      <c r="S38" s="352"/>
      <c r="T38" s="352"/>
      <c r="U38" s="353"/>
      <c r="W38" s="351" t="s">
        <v>27</v>
      </c>
      <c r="X38" s="352"/>
      <c r="Y38" s="352"/>
      <c r="Z38" s="352"/>
      <c r="AA38" s="352"/>
      <c r="AB38" s="352"/>
      <c r="AC38" s="352"/>
      <c r="AD38" s="352"/>
      <c r="AE38" s="352"/>
      <c r="AF38" s="352"/>
      <c r="AG38" s="352"/>
      <c r="AH38" s="352"/>
      <c r="AI38" s="352"/>
      <c r="AJ38" s="352"/>
      <c r="AK38" s="352"/>
      <c r="AL38" s="352"/>
      <c r="AM38" s="352"/>
      <c r="AN38" s="352"/>
      <c r="AO38" s="352"/>
      <c r="AP38" s="352"/>
      <c r="AQ38" s="353"/>
    </row>
    <row r="39" spans="2:43" x14ac:dyDescent="0.3">
      <c r="B39" s="4"/>
      <c r="C39" s="4"/>
      <c r="D39" s="4"/>
      <c r="E39" s="4"/>
      <c r="F39" s="4"/>
      <c r="G39" s="4"/>
      <c r="H39" s="18" t="str">
        <f t="shared" ref="H39:R39" si="0">IF($D$46=H$46,"↓","")</f>
        <v/>
      </c>
      <c r="I39" s="18" t="str">
        <f t="shared" si="0"/>
        <v/>
      </c>
      <c r="J39" s="18" t="str">
        <f t="shared" si="0"/>
        <v>↓</v>
      </c>
      <c r="K39" s="18" t="str">
        <f t="shared" si="0"/>
        <v/>
      </c>
      <c r="L39" s="18" t="str">
        <f t="shared" si="0"/>
        <v/>
      </c>
      <c r="M39" s="18" t="str">
        <f t="shared" si="0"/>
        <v/>
      </c>
      <c r="N39" s="18" t="str">
        <f t="shared" si="0"/>
        <v/>
      </c>
      <c r="O39" s="18" t="str">
        <f t="shared" si="0"/>
        <v/>
      </c>
      <c r="P39" s="18" t="str">
        <f t="shared" si="0"/>
        <v/>
      </c>
      <c r="Q39" s="18" t="str">
        <f t="shared" si="0"/>
        <v/>
      </c>
      <c r="R39" s="18" t="str">
        <f t="shared" si="0"/>
        <v/>
      </c>
      <c r="S39" s="4"/>
      <c r="T39" s="4"/>
      <c r="U39" s="4"/>
      <c r="Z39" s="14" t="str">
        <f>IF($AO$46=Z$46,"↓","")</f>
        <v>↓</v>
      </c>
      <c r="AA39" s="21" t="str">
        <f t="shared" ref="AA39:AJ39" si="1">IF($AO$46=AA$46,"↓","")</f>
        <v/>
      </c>
      <c r="AB39" s="21" t="str">
        <f t="shared" si="1"/>
        <v/>
      </c>
      <c r="AC39" s="21" t="str">
        <f t="shared" si="1"/>
        <v/>
      </c>
      <c r="AD39" s="21" t="str">
        <f t="shared" si="1"/>
        <v/>
      </c>
      <c r="AE39" s="21" t="str">
        <f t="shared" si="1"/>
        <v/>
      </c>
      <c r="AF39" s="21" t="str">
        <f t="shared" si="1"/>
        <v/>
      </c>
      <c r="AG39" s="21" t="str">
        <f t="shared" si="1"/>
        <v/>
      </c>
      <c r="AH39" s="21" t="str">
        <f t="shared" si="1"/>
        <v/>
      </c>
      <c r="AI39" s="21" t="str">
        <f t="shared" si="1"/>
        <v/>
      </c>
      <c r="AJ39" s="21" t="str">
        <f t="shared" si="1"/>
        <v/>
      </c>
    </row>
    <row r="40" spans="2:43" ht="15" thickBot="1" x14ac:dyDescent="0.35">
      <c r="B40" s="4"/>
      <c r="C40" s="4"/>
      <c r="D40" s="4"/>
      <c r="E40" s="4"/>
      <c r="F40" s="18"/>
      <c r="G40" s="27"/>
      <c r="H40" s="18">
        <f>C33</f>
        <v>13</v>
      </c>
      <c r="I40" s="18">
        <f>E33</f>
        <v>41</v>
      </c>
      <c r="J40" s="18">
        <f>G33</f>
        <v>63</v>
      </c>
      <c r="K40" s="18">
        <f>$I$33</f>
        <v>0</v>
      </c>
      <c r="L40" s="18">
        <f>$K$33</f>
        <v>0</v>
      </c>
      <c r="M40" s="18">
        <f>$M$33</f>
        <v>0</v>
      </c>
      <c r="N40" s="18">
        <f>$O$33</f>
        <v>0</v>
      </c>
      <c r="O40" s="18" t="str">
        <f>$Q$33</f>
        <v>0</v>
      </c>
      <c r="P40" s="18" t="str">
        <f>$S$33</f>
        <v>0</v>
      </c>
      <c r="Q40" s="18" t="str">
        <f>$U$33</f>
        <v>-100</v>
      </c>
      <c r="R40" s="18" t="str">
        <f>$W$33</f>
        <v>-100</v>
      </c>
      <c r="S40" s="31"/>
      <c r="T40" s="18"/>
      <c r="U40" s="4"/>
      <c r="X40" s="18"/>
      <c r="Y40" s="27"/>
      <c r="Z40" s="14" cm="1">
        <f t="array" ref="Z40:AJ40">H40:R40</f>
        <v>13</v>
      </c>
      <c r="AA40" s="14">
        <v>41</v>
      </c>
      <c r="AB40" s="14">
        <v>63</v>
      </c>
      <c r="AC40" s="14">
        <v>0</v>
      </c>
      <c r="AD40" s="14">
        <v>0</v>
      </c>
      <c r="AE40" s="14">
        <v>0</v>
      </c>
      <c r="AF40" s="14">
        <v>0</v>
      </c>
      <c r="AG40" s="14" t="str">
        <v>0</v>
      </c>
      <c r="AH40" s="14" t="str">
        <v>0</v>
      </c>
      <c r="AI40" s="14" t="str">
        <v>-100</v>
      </c>
      <c r="AJ40" s="27" t="str">
        <v>-100</v>
      </c>
      <c r="AK40" s="14"/>
      <c r="AL40" s="14"/>
    </row>
    <row r="41" spans="2:43" ht="16.2" thickBot="1" x14ac:dyDescent="0.35">
      <c r="B41" s="40" t="s">
        <v>15</v>
      </c>
      <c r="C41" s="4"/>
      <c r="D41" s="54" t="s">
        <v>24</v>
      </c>
      <c r="E41" s="4"/>
      <c r="F41" s="28" t="s">
        <v>20</v>
      </c>
      <c r="G41" s="29" t="s">
        <v>21</v>
      </c>
      <c r="H41" s="28" t="str">
        <f>D33</f>
        <v>x1</v>
      </c>
      <c r="I41" s="28" t="str">
        <f>F33</f>
        <v>x2</v>
      </c>
      <c r="J41" s="28" t="str">
        <f>H33</f>
        <v>x3</v>
      </c>
      <c r="K41" s="28" t="str">
        <f>J28</f>
        <v>d1</v>
      </c>
      <c r="L41" s="28" t="str">
        <f>L29</f>
        <v>d2</v>
      </c>
      <c r="M41" s="28" t="str">
        <f>N30</f>
        <v/>
      </c>
      <c r="N41" s="28" t="str">
        <f>P31</f>
        <v>d4</v>
      </c>
      <c r="O41" s="28" t="str">
        <f>R28</f>
        <v/>
      </c>
      <c r="P41" s="28" t="str">
        <f>T29</f>
        <v/>
      </c>
      <c r="Q41" s="28" t="str">
        <f>V30</f>
        <v>p3</v>
      </c>
      <c r="R41" s="28" t="str">
        <f>X31</f>
        <v>p4</v>
      </c>
      <c r="S41" s="32" t="s">
        <v>13</v>
      </c>
      <c r="T41" s="30" t="s">
        <v>14</v>
      </c>
      <c r="U41" s="34" t="s">
        <v>16</v>
      </c>
      <c r="X41" s="28" t="s">
        <v>20</v>
      </c>
      <c r="Y41" s="29" t="s">
        <v>21</v>
      </c>
      <c r="Z41" s="18" t="str">
        <f>IF($D$46=H$46,$D$42,H$41)</f>
        <v>x1</v>
      </c>
      <c r="AA41" s="18" t="str">
        <f>IF($D$46=I$46,$D$42,I$41)</f>
        <v>x2</v>
      </c>
      <c r="AB41" s="18" t="str">
        <f>IF($D$46=J$46,$D$42,J$41)</f>
        <v>p4</v>
      </c>
      <c r="AC41" s="18" t="str">
        <f>IF($D$46=K$46,$D$42,K$41)</f>
        <v>d1</v>
      </c>
      <c r="AD41" s="18" t="str">
        <f>IF($D$46=L$46,$D$42,L$41)</f>
        <v>d2</v>
      </c>
      <c r="AE41" s="18"/>
      <c r="AF41" s="18" t="str">
        <f>IF($D$46=N$46,$D$42,N$41)</f>
        <v>d4</v>
      </c>
      <c r="AG41" s="18"/>
      <c r="AH41" s="18"/>
      <c r="AI41" s="18" t="str">
        <f>IF($D$46=Q$46,$D$42,Q$41)</f>
        <v>p3</v>
      </c>
      <c r="AJ41" s="27" t="str">
        <f>IF($D$46=R$46,$D$42,R$41)</f>
        <v>p4</v>
      </c>
      <c r="AK41" s="33" t="s">
        <v>13</v>
      </c>
      <c r="AL41" s="51" t="s">
        <v>14</v>
      </c>
      <c r="AM41" s="52" t="s">
        <v>16</v>
      </c>
      <c r="AO41" s="54" t="s">
        <v>24</v>
      </c>
      <c r="AQ41" s="40" t="s">
        <v>15</v>
      </c>
    </row>
    <row r="42" spans="2:43" ht="15" thickBot="1" x14ac:dyDescent="0.35">
      <c r="B42" s="39">
        <f>IF(AND(E42="→",H39="↓"),H42,IF(AND(E43="→",H39="↓"),H43,IF(AND(E44="→",H39="↓"),H44,IF(AND(E45="→",H39="↓"),H45,IF(AND(E42="→",I39="↓"),I42,IF(AND(E43="→",I39="↓"),I43,IF(AND(E44="→",I39="↓"),I44,IF(AND(E45="→",I39="↓"),I45,IF(AND(E42="→",J39="↓"),J42,IF(AND(E43="→",J39="↓"),J43,IF(AND(E44="→",J39="↓"),J44,IF(AND(E45="→",J39="↓"),J45,IF(AND(E42="→",K39="↓"),K42,IF(AND(E43="→",K39="↓"),K43,IF(AND(E44="→",K39="↓"),K44,IF(AND(E45="→",K39="↓"),K45,IF(AND(E42="→",L39="↓"),L42,IF(AND(E43="→",L39="↓"),L43,IF(AND(E44="→",L39="↓"),L44,IF(AND(E45="→",L39="↓"),L45,IF(AND(E42="→",M39="↓"),M42,IF(AND(E43="→",M39="↓"),M43,IF(AND(E44="→",M39="↓"),M44,IF(AND(E45="→",M39="↓"),M45,IF(AND(E42="→",N39="↓"),N42,IF(AND(E43="→",N39="↓"),N43,IF(AND(E44="→",N39="↓"),N44,IF(AND(E45="→",N39="↓"),N45,IF(AND(E42="→",O39="↓"),O42,IF(AND(E43="→",O39="↓"),O43,IF(AND(E44="→",O39="↓"),O44,IF(AND(E45="→",O39="↓"),O45,IF(AND(E42="→",P39="↓"),P42,IF(AND(E43="→",P39="↓"),P43,IF(AND(E44="→",P39="↓"),P44,IF(AND(E45="→",P39="↓"),P45,IF(AND(E42="→",Q39="↓"),Q42,IF(AND(E43="→",Q39="↓"),Q43,IF(AND(E44="→",Q39="↓"),Q44,IF(AND(E45="→",Q39="↓"),Q45,IF(AND(E42="→",R39="↓"),R42,IF(AND(E43="→",R39="↓"),R43,IF(AND(E44="→",R39="↓"),R44,IF(AND(E45="→",R39="↓"),R45,"není"))))))))))))))))))))))))))))))))))))))))))))</f>
        <v>1</v>
      </c>
      <c r="C42" s="4"/>
      <c r="D42" s="41" t="str">
        <f>IF($D$43=$T$42,$G$42,IF($D$43=$T$43,$G$43,IF($D$43=$T$44,$G$44,IF($D$43=$T$45,$G$45,"--_(O_o)_--"))))</f>
        <v>p4</v>
      </c>
      <c r="E42" s="18" t="str">
        <f>IF($D$43=$T42,"→","")</f>
        <v/>
      </c>
      <c r="F42" s="18">
        <f>IF($G42=$H$41,$H$40,IF($G42=$I$41,$I$40,IF($G42=$J$41,$J$40,IF($G42=$K$41,$K$40,IF($G42=$L$41,$L$40,IF($G42=$M$41,$M$40,IF($G42=$N$41,$N$40,IF($G42=$O$41,$O$40,IF($G42=$P$41,$P$40,IF($G42=$Q$41,$Q$40,IF($G42=$R$41,$R$40,"--__(O_o)__--")))))))))))</f>
        <v>0</v>
      </c>
      <c r="G42" s="27" t="str">
        <f>IF(AND(OR(H42="1",H42=1),H43=0,H44=0,H45=0),H41,IF(AND(OR(I42="1",I42=1),I43=0,I44=0,I45=0),I41,IF(AND(OR(J42="1",J42=1),J43=0,J44=0,J45=0),J41,IF(AND(OR(K42="1",K42=1),K43=0,K44=0,K45=0),K41,IF(AND(OR(L42="1",L42=1),L43=0,L44=0,L45=0),L41,IF(AND(OR(M42="1",M42=1),M43=0,M44=0,M45=0),M41,IF(AND(OR(N42="1",N42=1),N43=0,N44=0,N45=0),N41,IF(AND(OR(O42="1",O42=1),O43=0,O44=0,O45=0),O41,IF(AND(OR(P42="1",P42=1),P43=0,P44=0,P45=0),P41,IF(AND(OR(Q42="1",Q42=1),Q43=0,Q44=0,Q45=0),Q41,IF(AND(OR(R42="1",R42=1),R43=0,R44=0,R45=0),R41,"Chyba jednotkové matice")))))))))))</f>
        <v>d1</v>
      </c>
      <c r="H42" s="18">
        <f>C28</f>
        <v>0.7</v>
      </c>
      <c r="I42" s="18">
        <f>E28</f>
        <v>0.4</v>
      </c>
      <c r="J42" s="18">
        <f>G28</f>
        <v>0.2</v>
      </c>
      <c r="K42" s="18">
        <f>I28</f>
        <v>1</v>
      </c>
      <c r="L42" s="18">
        <f>K28</f>
        <v>0</v>
      </c>
      <c r="M42" s="18">
        <f>M28</f>
        <v>0</v>
      </c>
      <c r="N42" s="18">
        <f>O28</f>
        <v>0</v>
      </c>
      <c r="O42" s="18" t="str">
        <f>Q28</f>
        <v>0</v>
      </c>
      <c r="P42" s="18">
        <f>S28</f>
        <v>0</v>
      </c>
      <c r="Q42" s="18">
        <f>U28</f>
        <v>0</v>
      </c>
      <c r="R42" s="18">
        <f>W28</f>
        <v>0</v>
      </c>
      <c r="S42" s="33" cm="1">
        <f t="array" ref="S42:S45">_xlfn.ANCHORARRAY(Z28)</f>
        <v>20</v>
      </c>
      <c r="T42" s="18">
        <f>IFERROR($S42/IF(H$46=$D$46,IF(H42&gt;0,H42,10^-150),IF(I$46=$D$46,IF(I42&gt;0,I42,10^-150),IF(J$46=$D$46,IF(J42&gt;0,J42,10^-150),IF(K$46=$D$46,IF(K42&gt;0,K42,10^-150),IF(L$46=$D$46,IF(L42&gt;0,L42,10^-150),IF(M$46=$D$46,IF(M42&gt;0,M42,10^-150),IF(N$46=$D$46,IF(N42&gt;0,N42,10^-150),IF(O$46=$D$46,IF(O42&gt;0,O42,10^-150),IF(P$46=$D$46,IF(P42&gt;0,P42,10^-150),IF(Q$46=$D$46,IF(Q42&gt;0,Q42,10^-150),IF(R$46=$D$46,IF(R42&gt;0,R42,10^-150),"Chyba"))))))))))),10^150)</f>
        <v>100</v>
      </c>
      <c r="U42" s="35">
        <f>IF(AND($E42="→",$B$42=1),"",IF(AND($E42="→",$B$42&lt;&gt;1),$B$42,IF(AND($E42&lt;&gt;"→",H$39="↓",$H42&lt;&gt;0),$H42,IF(AND($E42&lt;&gt;"→",I$39="↓",$I42&lt;&gt;0),$I42,IF(AND($E42&lt;&gt;"→",J$39="↓",$J42&lt;&gt;0),$J42,IF(AND($E42&lt;&gt;"→",K$39="↓",$K42&lt;&gt;0),$K42,IF(AND($E42&lt;&gt;"→",L$39="↓",$L42&lt;&gt;0),$L42,IF(AND($E42&lt;&gt;"→",M$39="↓",$M42&lt;&gt;0),$M42,IF(AND($E42&lt;&gt;"→",N$39="↓",$N42&lt;&gt;0),$N42,IF(AND($E42&lt;&gt;"→",O$39="↓",$O42&lt;&gt;0),$O42,IF(AND($E42&lt;&gt;"→",P$39="↓",$P42&lt;&gt;0),$P42,IF(AND($E42&lt;&gt;"→",Q$39="↓",$Q42&lt;&gt;0),$Q42,IF(AND($E42&lt;&gt;"→",R$39="↓",$R42&lt;&gt;0),$R42,"")))))))))))))</f>
        <v>0.2</v>
      </c>
      <c r="W42" s="14" t="str">
        <f>IF($AO$43=$AL42,"→","")</f>
        <v/>
      </c>
      <c r="X42" s="18">
        <f>IF($Y42=$H$41,$H$40,IF($Y42=$I$41,$I$40,IF($Y42=$J$41,$J$40,IF($Y42=$K$41,$K$40,IF($Y42=$L$41,$L$40,IF($Y42=$M$41,$M$40,IF($Y42=$N$41,$N$40,IF($Y42=$O$41,$O$40,IF($Y42=$P$41,$P$40,IF($Y42=$Q$41,$Q$40,IF($Y42=$R$41,$R$40,"--__(O_o)__--")))))))))))</f>
        <v>0</v>
      </c>
      <c r="Y42" s="27" t="str">
        <f>IF($G42=$D$42,$D$45,$G42)</f>
        <v>d1</v>
      </c>
      <c r="Z42" s="45">
        <f t="shared" ref="Z42:AK45" si="2">IF(AND($E42="→",H$39="↓",H42=1),1,IF(AND($E42="→",H$39="↓",H42&lt;&gt;1),H42/H42,IF(AND($E42="→",H$39&lt;&gt;"↓",$B$42=1),H42,IF(AND($E42="→",H$39&lt;&gt;"↓",$B$42&lt;&gt;1),H42/$B$42,IF(AND($E42&lt;&gt;"→",H$39="↓",H42=0),0,IF(AND($E42&lt;&gt;"→",H$39="↓",H42&lt;&gt;0),(-H42)+H42,IF(AND($E42&lt;&gt;"→",H$39&lt;&gt;"↓",$U42&lt;&gt;""),H42-(H$49*$U42),H42)))))))</f>
        <v>0.7</v>
      </c>
      <c r="AA42" s="36">
        <f t="shared" si="2"/>
        <v>0.4</v>
      </c>
      <c r="AB42" s="36">
        <f t="shared" si="2"/>
        <v>0</v>
      </c>
      <c r="AC42" s="36">
        <f t="shared" si="2"/>
        <v>1</v>
      </c>
      <c r="AD42" s="36">
        <f t="shared" si="2"/>
        <v>0</v>
      </c>
      <c r="AE42" s="36">
        <f t="shared" si="2"/>
        <v>0</v>
      </c>
      <c r="AF42" s="36">
        <f t="shared" si="2"/>
        <v>0.2</v>
      </c>
      <c r="AG42" s="36">
        <f t="shared" si="2"/>
        <v>0</v>
      </c>
      <c r="AH42" s="36">
        <f t="shared" si="2"/>
        <v>0</v>
      </c>
      <c r="AI42" s="36">
        <f t="shared" si="2"/>
        <v>0</v>
      </c>
      <c r="AJ42" s="46">
        <f t="shared" si="2"/>
        <v>-0.2</v>
      </c>
      <c r="AK42" s="37">
        <f t="shared" si="2"/>
        <v>17.2</v>
      </c>
      <c r="AL42" s="55">
        <f>IFERROR($AK42/IF(Z$46=$AO$46,IF(Z42&gt;0,Z42,10^-150),IF(AA$46=$AO$46,IF(AA42&gt;0,AA42,10^-150),IF(AB$46=$AO$46,IF(AB42&gt;0,AB42,10^-150),IF(AC$46=$AO$46,IF(AC42&gt;0,AC42,10^-150),IF(AD$46=$AO$46,IF(AD42&gt;0,AD42,10^-150),IF(AE$46=$AO$46,IF(AE42&gt;0,AE42,10^-150),IF(AF$46=$AO$46,IF(AF42&gt;0,AF42,10^-150),IF(AG$46=$AO$46,IF(AG42&gt;0,AG42,10^-150),IF(AH$46=$AO$46,IF(AH42&gt;0,AH42,10^-150),IF(AI$46=$AO$46,IF(AI42&gt;0,AI42,10^-150),IF(AJ$46=$AO$46,IF(AJ42&gt;0,AJ42,10^-150),"Chyba"))))))))))),10^150)</f>
        <v>24.571428571428573</v>
      </c>
      <c r="AM42" s="53">
        <f>IF(AND($W42="→",$AQ$42=1),"",IF(AND($W42="→",$AQ$42&lt;&gt;1),$AQ$42,IF(AND($W42&lt;&gt;"→",Z$39="↓",$Z42&lt;&gt;0),$Z42,IF(AND($W42&lt;&gt;"→",AA$39="↓",$AA42&lt;&gt;0),$AA42,IF(AND($W42&lt;&gt;"→",AB$39="↓",$AB42&lt;&gt;0),$AB42,IF(AND($W42&lt;&gt;"→",AC$39="↓",$AC42&lt;&gt;0),$AC42,IF(AND($W42&lt;&gt;"→",AD$39="↓",$AD42&lt;&gt;0),$AD42,IF(AND($W42&lt;&gt;"→",AE$39="↓",$AE42&lt;&gt;0),$AE42,IF(AND($W42&lt;&gt;"→",AF$39="↓",$AF42&lt;&gt;0),$AF42,IF(AND($W42&lt;&gt;"→",AG$39="↓",$AG42&lt;&gt;0),$AG42,IF(AND($W42&lt;&gt;"→",AH$39="↓",$AH42&lt;&gt;0),$AH42,IF(AND($W42&lt;&gt;"→",AI$39="↓",$AI42&lt;&gt;0),$AI42,IF(AND($W42&lt;&gt;"→",AJ$39="↓",$AJ42&lt;&gt;0),$AJ42,"")))))))))))))</f>
        <v>0.7</v>
      </c>
      <c r="AO42" s="49" t="str">
        <f>IF($AO$43=$AL$42,$Y$42,IF($AO$43=$AL$43,$Y$43,IF($AO$43=$AL$44,$Y$44,IF($AO$43=$AL$45,$Y$45,"--_(O_o)_--"))))</f>
        <v>p3</v>
      </c>
      <c r="AQ42" s="39">
        <f>IF(AND(W42="→",Z39="↓"),Z42,IF(AND(W43="→",Z39="↓"),Z43,IF(AND(W44="→",Z39="↓"),Z44,IF(AND(W45="→",Z39="↓"),Z45,IF(AND(W42="→",AA39="↓"),AA42,IF(AND(W43="→",AA39="↓"),AA43,IF(AND(W44="→",AA39="↓"),AA44,IF(AND(W45="→",AA39="↓"),AA45,IF(AND(W42="→",AB39="↓"),AB42,IF(AND(W43="→",AB39="↓"),AB43,IF(AND(W44="→",AB39="↓"),AB44,IF(AND(W45="→",AB39="↓"),AB45,IF(AND(W42="→",AC39="↓"),AC42,IF(AND(W43="→",AC39="↓"),AC43,IF(AND(W44="→",AC39="↓"),AC44,IF(AND(W45="→",AC39="↓"),AC45,IF(AND(W42="→",AD39="↓"),AD42,IF(AND(W43="→",AD39="↓"),AD43,IF(AND(W44="→",AD39="↓"),AD44,IF(AND(W45="→",AD39="↓"),AD45,IF(AND(W42="→",AE39="↓"),AE42,IF(AND(W43="→",AE39="↓"),AE43,IF(AND(W44="→",AE39="↓"),AE44,IF(AND(W45="→",AE39="↓"),AE45,IF(AND(W42="→",AF39="↓"),AF42,IF(AND(W43="→",AF39="↓"),AF43,IF(AND(W44="→",AF39="↓"),AF44,IF(AND(W45="→",AF39="↓"),AF45,IF(AND(W42="→",AG39="↓"),AG42,IF(AND(W43="→",AG39="↓"),AG43,IF(AND(W44="→",AG39="↓"),AG44,IF(AND(W45="→",AG39="↓"),AG45,IF(AND(W42="→",AH39="↓"),AH42,IF(AND(W43="→",AH39="↓"),AH43,IF(AND(W44="→",AH39="↓"),AH44,IF(AND(W45="→",AH39="↓"),AH45,IF(AND(W42="→",AI39="↓"),AI42,IF(AND(W43="→",AI39="↓"),AI43,IF(AND(W44="→",AI39="↓"),AI44,IF(AND(W45="→",AI39="↓"),AI45,IF(AND(W42="→",AJ39="↓"),AJ42,IF(AND(W43="→",AJ39="↓"),AJ43,IF(AND(W44="→",AJ39="↓"),AJ44,IF(AND(W45="→",AJ39="↓"),AJ45,"není"))))))))))))))))))))))))))))))))))))))))))))</f>
        <v>1</v>
      </c>
    </row>
    <row r="43" spans="2:43" ht="15" thickBot="1" x14ac:dyDescent="0.35">
      <c r="B43" s="4"/>
      <c r="C43" s="4"/>
      <c r="D43" s="42" cm="1">
        <f t="array" ref="D43">MIN(ABS(T42:T45))</f>
        <v>14</v>
      </c>
      <c r="E43" s="18" t="str">
        <f>IF($D$43=$T43,"→","")</f>
        <v/>
      </c>
      <c r="F43" s="18">
        <f>IF($G43=$H$41,$H$40,IF($G43=$I$41,$I$40,IF($G43=$J$41,$J$40,IF($G43=$K$41,$K$40,IF($G43=$L$41,$L$40,IF($G43=$M$41,$M$40,IF($G43=$N$41,$N$40,IF($G43=$O$41,$O$40,IF($G43=$P$41,$P$40,IF($G43=$Q$41,$Q$40,IF($G43=$R$41,$R$40,"--__(O_o)__--")))))))))))</f>
        <v>0</v>
      </c>
      <c r="G43" s="27" t="str">
        <f>IF(AND(H42=0,OR(H43="1",H43=1),H44=0,H45=0),H41,IF(AND(I42=0,OR(I43="1",I43=1),I44=0,I45=0),I41,IF(AND(J42=0,OR(J43="1",J43=1),J44=0,J45=0),J41,IF(AND(K42=0,OR(K43="1",K43=1),K44=0,K45=0),K41,IF(AND(L42=0,OR(L43="1",L43=1),L44=0,L45=0),L41,IF(AND(M42=0,OR(M43="1",M43=1),M44=0,M45=0),M41,IF(AND(N42=0,OR(N43="1",N43=1),N44=0,N45=0),N41,IF(AND(O42=0,OR(O43="1",O43=1),O44=0,O45=0),O41,IF(AND(P42=0,OR(P43="1",P43=1),P44=0,P45=0),P41,IF(AND(Q42=0,OR(Q43="1",Q43=1),Q44=0,Q45=0),Q41,IF(AND(R42=0,OR(R43="1",R43=1),R44=0,R45=0),R41,"Chyba jednotkové matice")))))))))))</f>
        <v>d2</v>
      </c>
      <c r="H43" s="18">
        <f>C29</f>
        <v>9</v>
      </c>
      <c r="I43" s="18">
        <f>E29</f>
        <v>6</v>
      </c>
      <c r="J43" s="18">
        <f>G29</f>
        <v>8</v>
      </c>
      <c r="K43" s="18">
        <f>I29</f>
        <v>0</v>
      </c>
      <c r="L43" s="18">
        <f>K29</f>
        <v>1</v>
      </c>
      <c r="M43" s="18">
        <f>M29</f>
        <v>0</v>
      </c>
      <c r="N43" s="18">
        <f>O29</f>
        <v>0</v>
      </c>
      <c r="O43" s="18">
        <f>Q29</f>
        <v>0</v>
      </c>
      <c r="P43" s="18" t="str">
        <f>S29</f>
        <v>0</v>
      </c>
      <c r="Q43" s="18">
        <f>U29</f>
        <v>0</v>
      </c>
      <c r="R43" s="18">
        <f>W29</f>
        <v>0</v>
      </c>
      <c r="S43" s="33">
        <v>555</v>
      </c>
      <c r="T43" s="18">
        <f>IFERROR($S43/IF(H$46=$D$46,IF(H43&gt;0,H43,10^-150),IF(I$46=$D$46,IF(I43&gt;0,I43,10^-150),IF(J$46=$D$46,IF(J43&gt;0,J43,10^-150),IF(K$46=$D$46,IF(K43&gt;0,K43,10^-150),IF(L$46=$D$46,IF(L43&gt;0,L43,10^-150),IF(M$46=$D$46,IF(M43&gt;0,M43,10^-150),IF(N$46=$D$46,IF(N43&gt;0,N43,10^-150),IF(O$46=$D$46,IF(O43&gt;0,O43,10^-150),IF(P$46=$D$46,IF(P43&gt;0,P43,10^-150),IF(Q$46=$D$46,IF(Q43&gt;0,Q43,10^-150),IF(R$46=$D$46,IF(R43&gt;0,R43,10^-150),"Chyba"))))))))))),10^150)</f>
        <v>69.375</v>
      </c>
      <c r="U43" s="35">
        <f>IF(AND($E43="→",$B$42=1),"",IF(AND($E43="→",$B$42&lt;&gt;1),$B$42,IF(AND($E43&lt;&gt;"→",H$39="↓",$H43&lt;&gt;0),$H43,IF(AND($E43&lt;&gt;"→",I$39="↓",$I43&lt;&gt;0),$I43,IF(AND($E43&lt;&gt;"→",J$39="↓",$J43&lt;&gt;0),$J43,IF(AND($E43&lt;&gt;"→",K$39="↓",$K43&lt;&gt;0),$K43,IF(AND($E43&lt;&gt;"→",L$39="↓",$L43&lt;&gt;0),$L43,IF(AND($E43&lt;&gt;"→",M$39="↓",$M43&lt;&gt;0),$M43,IF(AND($E43&lt;&gt;"→",N$39="↓",$N43&lt;&gt;0),$N43,IF(AND($E43&lt;&gt;"→",O$39="↓",$O43&lt;&gt;0),$O43,IF(AND($E43&lt;&gt;"→",P$39="↓",$P43&lt;&gt;0),$P43,IF(AND($E43&lt;&gt;"→",Q$39="↓",$Q43&lt;&gt;0),$Q43,IF(AND($E43&lt;&gt;"→",R$39="↓",$R43&lt;&gt;0),$R43,"")))))))))))))</f>
        <v>8</v>
      </c>
      <c r="W43" s="14" t="str">
        <f t="shared" ref="W43:W45" si="3">IF($AO$43=$AL43,"→","")</f>
        <v/>
      </c>
      <c r="X43" s="18">
        <f>IF($Y43=$H$41,$H$40,IF($Y43=$I$41,$I$40,IF($Y43=$J$41,$J$40,IF($Y43=$K$41,$K$40,IF($Y43=$L$41,$L$40,IF($Y43=$M$41,$M$40,IF($Y43=$N$41,$N$40,IF($Y43=$O$41,$O$40,IF($Y43=$P$41,$P$40,IF($Y43=$Q$41,$Q$40,IF($Y43=$R$41,$R$40,"--__(O_o)__--")))))))))))</f>
        <v>0</v>
      </c>
      <c r="Y43" s="27" t="str">
        <f>IF($G43=$D$42,$D$45,$G43)</f>
        <v>d2</v>
      </c>
      <c r="Z43" s="31">
        <f t="shared" si="2"/>
        <v>9</v>
      </c>
      <c r="AA43" s="18">
        <f t="shared" si="2"/>
        <v>6</v>
      </c>
      <c r="AB43" s="18">
        <f t="shared" si="2"/>
        <v>0</v>
      </c>
      <c r="AC43" s="18">
        <f t="shared" si="2"/>
        <v>0</v>
      </c>
      <c r="AD43" s="18">
        <f t="shared" si="2"/>
        <v>1</v>
      </c>
      <c r="AE43" s="18">
        <f t="shared" si="2"/>
        <v>0</v>
      </c>
      <c r="AF43" s="18">
        <f t="shared" si="2"/>
        <v>8</v>
      </c>
      <c r="AG43" s="18">
        <f t="shared" si="2"/>
        <v>0</v>
      </c>
      <c r="AH43" s="18">
        <f t="shared" si="2"/>
        <v>0</v>
      </c>
      <c r="AI43" s="18">
        <f t="shared" si="2"/>
        <v>0</v>
      </c>
      <c r="AJ43" s="27">
        <f t="shared" si="2"/>
        <v>-8</v>
      </c>
      <c r="AK43" s="33">
        <f t="shared" si="2"/>
        <v>443</v>
      </c>
      <c r="AL43" s="56">
        <f t="shared" ref="AL43:AL45" si="4">IFERROR($AK43/IF(Z$46=$AO$46,IF(Z43&gt;0,Z43,10^-150),IF(AA$46=$AO$46,IF(AA43&gt;0,AA43,10^-150),IF(AB$46=$AO$46,IF(AB43&gt;0,AB43,10^-150),IF(AC$46=$AO$46,IF(AC43&gt;0,AC43,10^-150),IF(AD$46=$AO$46,IF(AD43&gt;0,AD43,10^-150),IF(AE$46=$AO$46,IF(AE43&gt;0,AE43,10^-150),IF(AF$46=$AO$46,IF(AF43&gt;0,AF43,10^-150),IF(AG$46=$AO$46,IF(AG43&gt;0,AG43,10^-150),IF(AH$46=$AO$46,IF(AH43&gt;0,AH43,10^-150),IF(AI$46=$AO$46,IF(AI43&gt;0,AI43,10^-150),IF(AJ$46=$AO$46,IF(AJ43&gt;0,AJ43,10^-150),"Chyba"))))))))))),10^150)</f>
        <v>49.222222222222221</v>
      </c>
      <c r="AM43" s="47">
        <f t="shared" ref="AM43:AM45" si="5">IF(AND($W43="→",$AQ$42=1),"",IF(AND($W43="→",$AQ$42&lt;&gt;1),$AQ$42,IF(AND($W43&lt;&gt;"→",Z$39="↓",$Z43&lt;&gt;0),$Z43,IF(AND($W43&lt;&gt;"→",AA$39="↓",$AA43&lt;&gt;0),$AA43,IF(AND($W43&lt;&gt;"→",AB$39="↓",$AB43&lt;&gt;0),$AB43,IF(AND($W43&lt;&gt;"→",AC$39="↓",$AC43&lt;&gt;0),$AC43,IF(AND($W43&lt;&gt;"→",AD$39="↓",$AD43&lt;&gt;0),$AD43,IF(AND($W43&lt;&gt;"→",AE$39="↓",$AE43&lt;&gt;0),$AE43,IF(AND($W43&lt;&gt;"→",AF$39="↓",$AF43&lt;&gt;0),$AF43,IF(AND($W43&lt;&gt;"→",AG$39="↓",$AG43&lt;&gt;0),$AG43,IF(AND($W43&lt;&gt;"→",AH$39="↓",$AH43&lt;&gt;0),$AH43,IF(AND($W43&lt;&gt;"→",AI$39="↓",$AI43&lt;&gt;0),$AI43,IF(AND($W43&lt;&gt;"→",AJ$39="↓",$AJ43&lt;&gt;0),$AJ43,"")))))))))))))</f>
        <v>9</v>
      </c>
      <c r="AO43" s="49" cm="1">
        <f t="array" ref="AO43">MIN(ABS(AL42:AL45))</f>
        <v>10</v>
      </c>
    </row>
    <row r="44" spans="2:43" x14ac:dyDescent="0.3">
      <c r="B44" s="4"/>
      <c r="C44" s="4"/>
      <c r="D44" s="54" t="s">
        <v>22</v>
      </c>
      <c r="E44" s="18" t="str">
        <f>IF($D$43=$T44,"→","")</f>
        <v/>
      </c>
      <c r="F44" s="18" t="str">
        <f>IF($G44=$H$41,$H$40,IF($G44=$I$41,$I$40,IF($G44=$J$41,$J$40,IF($G44=$K$41,$K$40,IF($G44=$L$41,$L$40,IF($G44=$M$41,$M$40,IF($G44=$N$41,$N$40,IF($G44=$O$41,$O$40,IF($G44=$P$41,$P$40,IF($G44=$Q$41,$Q$40,IF($G44=$R$41,$R$40,"--__(O_o)__--")))))))))))</f>
        <v>-100</v>
      </c>
      <c r="G44" s="27" t="str">
        <f>IF(AND(H42=0,H43=0,OR(H44="1",H44=1),H45=0),H41,IF(AND(I42=0,I43=0,OR(I44="1",I44=1),I45=0),I41,IF(AND(J42=0,J43=0,OR(J44="1",J44=1),J45=0),J41,IF(AND(K42=0,K43=0,OR(K44="1",K44=1),K45=0),K41,IF(AND(L42=0,L43=0,OR(L44="1",L44=1),L45=0),L41,IF(AND(M42=0,M43=0,OR(M44="1",M44=1),M45=0),M41,IF(AND(N42=0,N43=0,OR(N44="1",N44=1),N45=0),N41,IF(AND(O42=0,O43=0,OR(O44="1",O44=1),O45=0),O41,IF(AND(P42=0,P43=0,OR(P44="1",P44=1),P45=0),P41,IF(AND(Q42=0,Q43=0,OR(Q44="1",Q44=1),Q45=0),Q41,IF(AND(R42=0,R43=0,OR(R44="1",R44=1),R45=0),R41,"Chyba jednotkové matice")))))))))))</f>
        <v>p3</v>
      </c>
      <c r="H44" s="18">
        <f>C30</f>
        <v>1</v>
      </c>
      <c r="I44" s="18">
        <f>E30</f>
        <v>0</v>
      </c>
      <c r="J44" s="18">
        <f>G30</f>
        <v>0</v>
      </c>
      <c r="K44" s="18">
        <f>I30</f>
        <v>0</v>
      </c>
      <c r="L44" s="18">
        <f>K30</f>
        <v>0</v>
      </c>
      <c r="M44" s="18">
        <f>M30</f>
        <v>0</v>
      </c>
      <c r="N44" s="18">
        <f>O30</f>
        <v>0</v>
      </c>
      <c r="O44" s="18">
        <f>Q30</f>
        <v>0</v>
      </c>
      <c r="P44" s="18">
        <f>S30</f>
        <v>0</v>
      </c>
      <c r="Q44" s="18">
        <f>U30</f>
        <v>1</v>
      </c>
      <c r="R44" s="18">
        <f>W30</f>
        <v>0</v>
      </c>
      <c r="S44" s="33">
        <v>10</v>
      </c>
      <c r="T44" s="18">
        <f>IFERROR($S44/IF(H$46=$D$46,IF(H44&gt;0,H44,10^-150),IF(I$46=$D$46,IF(I44&gt;0,I44,10^-150),IF(J$46=$D$46,IF(J44&gt;0,J44,10^-150),IF(K$46=$D$46,IF(K44&gt;0,K44,10^-150),IF(L$46=$D$46,IF(L44&gt;0,L44,10^-150),IF(M$46=$D$46,IF(M44&gt;0,M44,10^-150),IF(N$46=$D$46,IF(N44&gt;0,N44,10^-150),IF(O$46=$D$46,IF(O44&gt;0,O44,10^-150),IF(P$46=$D$46,IF(P44&gt;0,P44,10^-150),IF(Q$46=$D$46,IF(Q44&gt;0,Q44,10^-150),IF(R$46=$D$46,IF(R44&gt;0,R44,10^-150),"Chyba"))))))))))),10^150)</f>
        <v>1E+151</v>
      </c>
      <c r="U44" s="35" t="str">
        <f>IF(AND($E44="→",$B$42=1),"",IF(AND($E44="→",$B$42&lt;&gt;1),$B$42,IF(AND($E44&lt;&gt;"→",H$39="↓",$H44&lt;&gt;0),$H44,IF(AND($E44&lt;&gt;"→",I$39="↓",$I44&lt;&gt;0),$I44,IF(AND($E44&lt;&gt;"→",J$39="↓",$J44&lt;&gt;0),$J44,IF(AND($E44&lt;&gt;"→",K$39="↓",$K44&lt;&gt;0),$K44,IF(AND($E44&lt;&gt;"→",L$39="↓",$L44&lt;&gt;0),$L44,IF(AND($E44&lt;&gt;"→",M$39="↓",$M44&lt;&gt;0),$M44,IF(AND($E44&lt;&gt;"→",N$39="↓",$N44&lt;&gt;0),$N44,IF(AND($E44&lt;&gt;"→",O$39="↓",$O44&lt;&gt;0),$O44,IF(AND($E44&lt;&gt;"→",P$39="↓",$P44&lt;&gt;0),$P44,IF(AND($E44&lt;&gt;"→",Q$39="↓",$Q44&lt;&gt;0),$Q44,IF(AND($E44&lt;&gt;"→",R$39="↓",$R44&lt;&gt;0),$R44,"")))))))))))))</f>
        <v/>
      </c>
      <c r="W44" s="14" t="str">
        <f t="shared" si="3"/>
        <v>→</v>
      </c>
      <c r="X44" s="18" t="str">
        <f>IF($Y44=$H$41,$H$40,IF($Y44=$I$41,$I$40,IF($Y44=$J$41,$J$40,IF($Y44=$K$41,$K$40,IF($Y44=$L$41,$L$40,IF($Y44=$M$41,$M$40,IF($Y44=$N$41,$N$40,IF($Y44=$O$41,$O$40,IF($Y44=$P$41,$P$40,IF($Y44=$Q$41,$Q$40,IF($Y44=$R$41,$R$40,"--__(O_o)__--")))))))))))</f>
        <v>-100</v>
      </c>
      <c r="Y44" s="27" t="str">
        <f>IF($G44=$D$42,$D$45,$G44)</f>
        <v>p3</v>
      </c>
      <c r="Z44" s="31">
        <f t="shared" si="2"/>
        <v>1</v>
      </c>
      <c r="AA44" s="18">
        <f t="shared" si="2"/>
        <v>0</v>
      </c>
      <c r="AB44" s="18">
        <f t="shared" si="2"/>
        <v>0</v>
      </c>
      <c r="AC44" s="18">
        <f t="shared" si="2"/>
        <v>0</v>
      </c>
      <c r="AD44" s="18">
        <f t="shared" si="2"/>
        <v>0</v>
      </c>
      <c r="AE44" s="18">
        <f t="shared" si="2"/>
        <v>0</v>
      </c>
      <c r="AF44" s="18">
        <f t="shared" si="2"/>
        <v>0</v>
      </c>
      <c r="AG44" s="18">
        <f t="shared" si="2"/>
        <v>0</v>
      </c>
      <c r="AH44" s="18">
        <f t="shared" si="2"/>
        <v>0</v>
      </c>
      <c r="AI44" s="18">
        <f t="shared" si="2"/>
        <v>1</v>
      </c>
      <c r="AJ44" s="27">
        <f t="shared" si="2"/>
        <v>0</v>
      </c>
      <c r="AK44" s="33">
        <f t="shared" si="2"/>
        <v>10</v>
      </c>
      <c r="AL44" s="56">
        <f t="shared" si="4"/>
        <v>10</v>
      </c>
      <c r="AM44" s="47" t="str">
        <f t="shared" si="5"/>
        <v/>
      </c>
      <c r="AO44" s="54" t="s">
        <v>22</v>
      </c>
    </row>
    <row r="45" spans="2:43" ht="15" thickBot="1" x14ac:dyDescent="0.35">
      <c r="B45" s="4"/>
      <c r="C45" s="4"/>
      <c r="D45" s="43" t="str">
        <f>IF($D$46=$H$46,$H$41,IF($D$46=$I$46,$I$41,IF($D$46=$J$46,$J$41,IF($D$46=$K$46,$K$41,IF($D$46=$L$46,$L$41,IF($D$46=$M$46,$M$41,IF($D$46=$N$46,$N$41,IF($D$46=$O$46,$O$41,IF($D$46=$P$46,$P$41,IF($D$46=$Q$46,$Q$41,IF($D$46=$R$46,$R$41,"--__(O_o)__--")))))))))))</f>
        <v>x3</v>
      </c>
      <c r="E45" s="18" t="str">
        <f>IF($D$43=$T45,"→","")</f>
        <v>→</v>
      </c>
      <c r="F45" s="18" t="str">
        <f>IF($G45=$H$41,$H$40,IF($G45=$I$41,$I$40,IF($G45=$J$41,$J$40,IF($G45=$K$41,$K$40,IF($G45=$L$41,$L$40,IF($G45=$M$41,$M$40,IF($G45=$N$41,$N$40,IF($G45=$O$41,$O$40,IF($G45=$P$41,$P$40,IF($G45=$Q$41,$Q$40,IF($G45=$R$41,$R$40,"--__(O_o)__--")))))))))))</f>
        <v>-100</v>
      </c>
      <c r="G45" s="27" t="str">
        <f>IF(AND(H42=0,H43=0,H44=0,OR(H45="1",H45=1)),H41,IF(AND(I42=0,I43=0,I44=0,OR(I45="1",I45=1)),I41,IF(AND(J42=0,J43=0,J44=0,OR(J45="1",J45=1)),J41,IF(AND(K42=0,K43=0,K44=0,OR(K45="1",K45=1)),K41,IF(AND(L42=0,L43=0,L44=0,OR(L45="1",L45=1)),L41,IF(AND(M42=0,M43=0,M44=0,OR(M45="1",M45=1)),M41,IF(AND(N42=0,N43=0,N44=0,OR(N45="1",N45=1)),N41,IF(AND(O42=0,O43=0,O44=0,OR(O45="1",O45=1)),O41,IF(AND(P42=0,P43=0,P44=0,OR(P45="1",P45=1)),P41,IF(AND(Q42=0,Q43=0,Q44=0,OR(Q45="1",Q45=1)),Q41,IF(AND(R42=0,R43=0,R44=0,OR(R45="1",R45=1)),R41,"Chyba jednotkové matice")))))))))))</f>
        <v>p4</v>
      </c>
      <c r="H45" s="18">
        <f>C31</f>
        <v>0</v>
      </c>
      <c r="I45" s="18">
        <f>E31</f>
        <v>0</v>
      </c>
      <c r="J45" s="18">
        <f>G31</f>
        <v>1</v>
      </c>
      <c r="K45" s="18">
        <f>I31</f>
        <v>0</v>
      </c>
      <c r="L45" s="18">
        <f>K31</f>
        <v>0</v>
      </c>
      <c r="M45" s="18">
        <f>M31</f>
        <v>0</v>
      </c>
      <c r="N45" s="18">
        <f>O31</f>
        <v>-1</v>
      </c>
      <c r="O45" s="18">
        <f>Q31</f>
        <v>0</v>
      </c>
      <c r="P45" s="18">
        <f>S31</f>
        <v>0</v>
      </c>
      <c r="Q45" s="18">
        <f>U31</f>
        <v>0</v>
      </c>
      <c r="R45" s="18">
        <f>W31</f>
        <v>1</v>
      </c>
      <c r="S45" s="33">
        <v>14</v>
      </c>
      <c r="T45" s="20">
        <f>IFERROR($S45/IF(H$46=$D$46,IF(H45&gt;0,H45,10^-150),IF(I$46=$D$46,IF(I45&gt;0,I45,10^-150),IF(J$46=$D$46,IF(J45&gt;0,J45,10^-150),IF(K$46=$D$46,IF(K45&gt;0,K45,10^-150),IF(L$46=$D$46,IF(L45&gt;0,L45,10^-150),IF(M$46=$D$46,IF(M45&gt;0,M45,10^-150),IF(N$46=$D$46,IF(N45&gt;0,N45,10^-150),IF(O$46=$D$46,IF(O45&gt;0,O45,10^-150),IF(P$46=$D$46,IF(P45&gt;0,P45,10^-150),IF(Q$46=$D$46,IF(Q45&gt;0,Q45,10^-150),IF(R$46=$D$46,IF(R45&gt;0,R45,10^-150),"Chyba"))))))))))),10^150)</f>
        <v>14</v>
      </c>
      <c r="U45" s="35" t="str">
        <f>IF(AND($E45="→",$B$42=1),"",IF(AND($E45="→",$B$42&lt;&gt;1),$B$42,IF(AND($E45&lt;&gt;"→",H$39="↓",$H45&lt;&gt;0),$H45,IF(AND($E45&lt;&gt;"→",I$39="↓",$I45&lt;&gt;0),$I45,IF(AND($E45&lt;&gt;"→",J$39="↓",$J45&lt;&gt;0),$J45,IF(AND($E45&lt;&gt;"→",K$39="↓",$K45&lt;&gt;0),$K45,IF(AND($E45&lt;&gt;"→",L$39="↓",$L45&lt;&gt;0),$L45,IF(AND($E45&lt;&gt;"→",M$39="↓",$M45&lt;&gt;0),$M45,IF(AND($E45&lt;&gt;"→",N$39="↓",$N45&lt;&gt;0),$N45,IF(AND($E45&lt;&gt;"→",O$39="↓",$O45&lt;&gt;0),$O45,IF(AND($E45&lt;&gt;"→",P$39="↓",$P45&lt;&gt;0),$P45,IF(AND($E45&lt;&gt;"→",Q$39="↓",$Q45&lt;&gt;0),$Q45,IF(AND($E45&lt;&gt;"→",R$39="↓",$R45&lt;&gt;0),$R45,"")))))))))))))</f>
        <v/>
      </c>
      <c r="W45" s="14" t="str">
        <f t="shared" si="3"/>
        <v/>
      </c>
      <c r="X45" s="18">
        <f>IF($Y45=$H$41,$H$40,IF($Y45=$I$41,$I$40,IF($Y45=$J$41,$J$40,IF($Y45=$K$41,$K$40,IF($Y45=$L$41,$L$40,IF($Y45=$M$41,$M$40,IF($Y45=$N$41,$N$40,IF($Y45=$O$41,$O$40,IF($Y45=$P$41,$P$40,IF($Y45=$Q$41,$Q$40,IF($Y45=$R$41,$R$40,"--__(O_o)__--")))))))))))</f>
        <v>63</v>
      </c>
      <c r="Y45" s="27" t="str">
        <f>IF($G45=$D$42,$D$45,$G45)</f>
        <v>x3</v>
      </c>
      <c r="Z45" s="31">
        <f t="shared" si="2"/>
        <v>0</v>
      </c>
      <c r="AA45" s="18">
        <f t="shared" si="2"/>
        <v>0</v>
      </c>
      <c r="AB45" s="18">
        <f t="shared" si="2"/>
        <v>1</v>
      </c>
      <c r="AC45" s="18">
        <f t="shared" si="2"/>
        <v>0</v>
      </c>
      <c r="AD45" s="18">
        <f t="shared" si="2"/>
        <v>0</v>
      </c>
      <c r="AE45" s="18">
        <f t="shared" si="2"/>
        <v>0</v>
      </c>
      <c r="AF45" s="18">
        <f t="shared" si="2"/>
        <v>-1</v>
      </c>
      <c r="AG45" s="18">
        <f t="shared" si="2"/>
        <v>0</v>
      </c>
      <c r="AH45" s="18">
        <f t="shared" si="2"/>
        <v>0</v>
      </c>
      <c r="AI45" s="18">
        <f t="shared" si="2"/>
        <v>0</v>
      </c>
      <c r="AJ45" s="27">
        <f t="shared" si="2"/>
        <v>1</v>
      </c>
      <c r="AK45" s="32">
        <f t="shared" si="2"/>
        <v>14</v>
      </c>
      <c r="AL45" s="57">
        <f t="shared" si="4"/>
        <v>1.3999999999999999E+151</v>
      </c>
      <c r="AM45" s="48" t="str">
        <f t="shared" si="5"/>
        <v/>
      </c>
      <c r="AO45" s="50" t="str">
        <f>IF($AO$46=$Z$46,$Z$41,IF($AO$46=$AA$46,$AA$41,IF($AO$46=$AB$46,$AB$41,IF($AO$46=$AC$46,$AC$41,IF($AO$46=$AD$46,$AD$41,IF($AO$46=$AE$46,$AE$41,IF($AO$46=$AF$46,$AF$41,IF($AO$46=$AG$46,$AG$41,IF($AO$46=$AH$46,$AH$41,IF($AO$46=$AI$46,$AI$41,IF($AO$46=$AJ$46,$AJ$41,"--__(O_o)__--")))))))))))</f>
        <v>x1</v>
      </c>
    </row>
    <row r="46" spans="2:43" ht="16.2" thickBot="1" x14ac:dyDescent="0.35">
      <c r="B46" s="4"/>
      <c r="C46" s="4"/>
      <c r="D46" s="44">
        <f>MIN(H46:R46)</f>
        <v>-163</v>
      </c>
      <c r="E46" s="4"/>
      <c r="F46" s="339" t="s">
        <v>25</v>
      </c>
      <c r="G46" s="340"/>
      <c r="H46" s="36">
        <f t="shared" ref="H46:S46" si="6">($F$42*H$42+$F$43*H$43+$F$44*H$44+$F$45*H$45)-H40</f>
        <v>-113</v>
      </c>
      <c r="I46" s="36">
        <f t="shared" si="6"/>
        <v>-41</v>
      </c>
      <c r="J46" s="36">
        <f t="shared" si="6"/>
        <v>-163</v>
      </c>
      <c r="K46" s="36">
        <f t="shared" si="6"/>
        <v>0</v>
      </c>
      <c r="L46" s="36">
        <f t="shared" si="6"/>
        <v>0</v>
      </c>
      <c r="M46" s="36">
        <f t="shared" si="6"/>
        <v>0</v>
      </c>
      <c r="N46" s="36">
        <f t="shared" si="6"/>
        <v>100</v>
      </c>
      <c r="O46" s="36">
        <f t="shared" si="6"/>
        <v>0</v>
      </c>
      <c r="P46" s="36">
        <f t="shared" si="6"/>
        <v>0</v>
      </c>
      <c r="Q46" s="36">
        <f t="shared" si="6"/>
        <v>0</v>
      </c>
      <c r="R46" s="36">
        <f t="shared" si="6"/>
        <v>0</v>
      </c>
      <c r="S46" s="69">
        <f t="shared" si="6"/>
        <v>-2400</v>
      </c>
      <c r="T46" s="36"/>
      <c r="U46" s="38"/>
      <c r="X46" s="339" t="s">
        <v>25</v>
      </c>
      <c r="Y46" s="340"/>
      <c r="Z46" s="45">
        <f>($X$42*Z$42+$X$43*Z$43+$X$44*Z$44+$X$45*Z$45)-Z$40</f>
        <v>-113</v>
      </c>
      <c r="AA46" s="36">
        <f t="shared" ref="AA46:AK46" si="7">($X$42*AA$42+$X$43*AA$43+$X$44*AA$44+$X$45*AA$45)-AA$40</f>
        <v>-41</v>
      </c>
      <c r="AB46" s="36">
        <f t="shared" si="7"/>
        <v>0</v>
      </c>
      <c r="AC46" s="36">
        <f t="shared" si="7"/>
        <v>0</v>
      </c>
      <c r="AD46" s="36">
        <f t="shared" si="7"/>
        <v>0</v>
      </c>
      <c r="AE46" s="36">
        <f t="shared" si="7"/>
        <v>0</v>
      </c>
      <c r="AF46" s="36">
        <f t="shared" si="7"/>
        <v>-63</v>
      </c>
      <c r="AG46" s="36">
        <f t="shared" si="7"/>
        <v>0</v>
      </c>
      <c r="AH46" s="36">
        <f t="shared" si="7"/>
        <v>0</v>
      </c>
      <c r="AI46" s="36">
        <f t="shared" si="7"/>
        <v>0</v>
      </c>
      <c r="AJ46" s="46">
        <f t="shared" si="7"/>
        <v>163</v>
      </c>
      <c r="AK46" s="69">
        <f t="shared" si="7"/>
        <v>-118</v>
      </c>
      <c r="AL46" s="36"/>
      <c r="AM46" s="38"/>
      <c r="AO46" s="39">
        <f>MIN(Z46:AJ46)</f>
        <v>-113</v>
      </c>
    </row>
    <row r="47" spans="2:43" x14ac:dyDescent="0.3">
      <c r="B47" s="4"/>
      <c r="C47" s="4"/>
      <c r="D47" s="4"/>
      <c r="E47" s="4"/>
      <c r="F47" s="4"/>
      <c r="G47" s="4"/>
      <c r="H47" s="4"/>
      <c r="I47" s="4"/>
      <c r="J47" s="4"/>
      <c r="K47" s="4"/>
      <c r="L47" s="4"/>
      <c r="M47" s="4"/>
      <c r="N47" s="4"/>
      <c r="O47" s="4"/>
      <c r="P47" s="4"/>
      <c r="Q47" s="4"/>
      <c r="R47" s="4"/>
      <c r="S47" s="4"/>
      <c r="T47" s="4"/>
      <c r="U47" s="4"/>
    </row>
    <row r="48" spans="2:43" x14ac:dyDescent="0.3">
      <c r="B48" s="4"/>
      <c r="C48" s="4"/>
      <c r="D48" s="4"/>
      <c r="E48" s="4"/>
      <c r="F48" s="335" t="s">
        <v>23</v>
      </c>
      <c r="G48" s="336"/>
      <c r="H48" s="19">
        <f t="shared" ref="H48:S48" si="8">IF($E$42="→",H$42,IF($E$43="→",H$43,IF($E$44="→",H$44,IF($E$45="→",H$45,""))))</f>
        <v>0</v>
      </c>
      <c r="I48" s="19">
        <f t="shared" si="8"/>
        <v>0</v>
      </c>
      <c r="J48" s="19">
        <f t="shared" si="8"/>
        <v>1</v>
      </c>
      <c r="K48" s="19">
        <f t="shared" si="8"/>
        <v>0</v>
      </c>
      <c r="L48" s="19">
        <f t="shared" si="8"/>
        <v>0</v>
      </c>
      <c r="M48" s="19">
        <f t="shared" si="8"/>
        <v>0</v>
      </c>
      <c r="N48" s="19">
        <f t="shared" si="8"/>
        <v>-1</v>
      </c>
      <c r="O48" s="19">
        <f t="shared" si="8"/>
        <v>0</v>
      </c>
      <c r="P48" s="19">
        <f t="shared" si="8"/>
        <v>0</v>
      </c>
      <c r="Q48" s="19">
        <f t="shared" si="8"/>
        <v>0</v>
      </c>
      <c r="R48" s="19">
        <f t="shared" si="8"/>
        <v>1</v>
      </c>
      <c r="S48" s="19">
        <f t="shared" si="8"/>
        <v>14</v>
      </c>
      <c r="T48" s="4"/>
      <c r="U48" s="4"/>
      <c r="X48" s="354" t="s">
        <v>23</v>
      </c>
      <c r="Y48" s="354"/>
      <c r="Z48" s="15">
        <f>IF($W$42="→",Z$42,IF($W$43="→",Z$43,IF($W$44="→",Z$44,IF($W$45="→",Z$45,""))))</f>
        <v>1</v>
      </c>
      <c r="AA48" s="19">
        <f t="shared" ref="AA48:AK48" si="9">IF($W$42="→",AA$42,IF($W$43="→",AA$43,IF($W$44="→",AA$44,IF($W$45="→",AA$45,""))))</f>
        <v>0</v>
      </c>
      <c r="AB48" s="19">
        <f t="shared" si="9"/>
        <v>0</v>
      </c>
      <c r="AC48" s="19">
        <f t="shared" si="9"/>
        <v>0</v>
      </c>
      <c r="AD48" s="19">
        <f t="shared" si="9"/>
        <v>0</v>
      </c>
      <c r="AE48" s="19">
        <f t="shared" si="9"/>
        <v>0</v>
      </c>
      <c r="AF48" s="19">
        <f t="shared" si="9"/>
        <v>0</v>
      </c>
      <c r="AG48" s="19">
        <f t="shared" si="9"/>
        <v>0</v>
      </c>
      <c r="AH48" s="19">
        <f t="shared" si="9"/>
        <v>0</v>
      </c>
      <c r="AI48" s="19">
        <f t="shared" si="9"/>
        <v>1</v>
      </c>
      <c r="AJ48" s="19">
        <f t="shared" si="9"/>
        <v>0</v>
      </c>
      <c r="AK48" s="19">
        <f t="shared" si="9"/>
        <v>10</v>
      </c>
    </row>
    <row r="49" spans="2:43" x14ac:dyDescent="0.3">
      <c r="B49" s="4"/>
      <c r="C49" s="4"/>
      <c r="D49" s="4"/>
      <c r="E49" s="4"/>
      <c r="F49" s="337"/>
      <c r="G49" s="338"/>
      <c r="H49" s="19">
        <f t="shared" ref="H49:S49" si="10">IF($E$42="→",IF($U$42&lt;&gt;"",H$42/$U$42,H$42),IF($E$43="→",IF($U$43&lt;&gt;"",H$43/$U$43,H$43),IF($E$44="→",IF($U$44&lt;&gt;"",H$44/$U$44,H$44),IF($E$45="→",IF($U$45&lt;&gt;"",H$45/$U$45,H$45),""))))</f>
        <v>0</v>
      </c>
      <c r="I49" s="19">
        <f t="shared" si="10"/>
        <v>0</v>
      </c>
      <c r="J49" s="19">
        <f t="shared" si="10"/>
        <v>1</v>
      </c>
      <c r="K49" s="19">
        <f t="shared" si="10"/>
        <v>0</v>
      </c>
      <c r="L49" s="19">
        <f t="shared" si="10"/>
        <v>0</v>
      </c>
      <c r="M49" s="19">
        <f t="shared" si="10"/>
        <v>0</v>
      </c>
      <c r="N49" s="19">
        <f t="shared" si="10"/>
        <v>-1</v>
      </c>
      <c r="O49" s="19">
        <f t="shared" si="10"/>
        <v>0</v>
      </c>
      <c r="P49" s="19">
        <f t="shared" si="10"/>
        <v>0</v>
      </c>
      <c r="Q49" s="19">
        <f t="shared" si="10"/>
        <v>0</v>
      </c>
      <c r="R49" s="19">
        <f t="shared" si="10"/>
        <v>1</v>
      </c>
      <c r="S49" s="19">
        <f t="shared" si="10"/>
        <v>14</v>
      </c>
      <c r="T49" s="4"/>
      <c r="U49" s="4"/>
      <c r="X49" s="354"/>
      <c r="Y49" s="354"/>
      <c r="Z49" s="15">
        <f>IF($W$42="→",IF($AM$42&lt;&gt;"",Z$42/$AM$42,Z$42),IF($W$43="→",IF($AM$43&lt;&gt;"",Z$43/$AM$43,Z$43),IF($W$44="→",IF($AM$44&lt;&gt;"",Z$44/$AM$44,Z$44),IF($W$45="→",IF($AM$45&lt;&gt;"",Z$45/$AM$45,Z$45),""))))</f>
        <v>1</v>
      </c>
      <c r="AA49" s="19">
        <f t="shared" ref="AA49:AK49" si="11">IF($W$42="→",IF($AM$42&lt;&gt;"",AA$42/$AM$42,AA$42),IF($W$43="→",IF($AM$43&lt;&gt;"",AA$43/$AM$43,AA$43),IF($W$44="→",IF($AM$44&lt;&gt;"",AA$44/$AM$44,AA$44),IF($W$45="→",IF($AM$45&lt;&gt;"",AA$45/$AM$45,AA$45),""))))</f>
        <v>0</v>
      </c>
      <c r="AB49" s="19">
        <f t="shared" si="11"/>
        <v>0</v>
      </c>
      <c r="AC49" s="19">
        <f t="shared" si="11"/>
        <v>0</v>
      </c>
      <c r="AD49" s="19">
        <f t="shared" si="11"/>
        <v>0</v>
      </c>
      <c r="AE49" s="19">
        <f t="shared" si="11"/>
        <v>0</v>
      </c>
      <c r="AF49" s="19">
        <f t="shared" si="11"/>
        <v>0</v>
      </c>
      <c r="AG49" s="19">
        <f t="shared" si="11"/>
        <v>0</v>
      </c>
      <c r="AH49" s="19">
        <f t="shared" si="11"/>
        <v>0</v>
      </c>
      <c r="AI49" s="19">
        <f t="shared" si="11"/>
        <v>1</v>
      </c>
      <c r="AJ49" s="19">
        <f t="shared" si="11"/>
        <v>0</v>
      </c>
      <c r="AK49" s="19">
        <f t="shared" si="11"/>
        <v>10</v>
      </c>
    </row>
    <row r="50" spans="2:43" x14ac:dyDescent="0.3">
      <c r="B50" s="4"/>
      <c r="C50" s="4"/>
      <c r="D50" s="4"/>
      <c r="E50" s="4"/>
      <c r="F50" s="4"/>
      <c r="G50" s="4"/>
      <c r="H50" s="4"/>
      <c r="I50" s="4"/>
      <c r="J50" s="4"/>
      <c r="K50" s="4"/>
      <c r="L50" s="4"/>
      <c r="M50" s="4"/>
      <c r="N50" s="4"/>
      <c r="O50" s="4"/>
      <c r="P50" s="4"/>
      <c r="Q50" s="4"/>
      <c r="R50" s="4"/>
      <c r="S50" s="4"/>
      <c r="T50" s="4"/>
      <c r="U50" s="4"/>
    </row>
    <row r="51" spans="2:43" x14ac:dyDescent="0.3">
      <c r="V51" s="4"/>
    </row>
    <row r="52" spans="2:43" ht="18" customHeight="1" x14ac:dyDescent="0.3">
      <c r="B52" s="351" t="s">
        <v>28</v>
      </c>
      <c r="C52" s="352"/>
      <c r="D52" s="352"/>
      <c r="E52" s="352"/>
      <c r="F52" s="352"/>
      <c r="G52" s="352"/>
      <c r="H52" s="352"/>
      <c r="I52" s="352"/>
      <c r="J52" s="352"/>
      <c r="K52" s="352"/>
      <c r="L52" s="352"/>
      <c r="M52" s="352"/>
      <c r="N52" s="352"/>
      <c r="O52" s="352"/>
      <c r="P52" s="352"/>
      <c r="Q52" s="352"/>
      <c r="R52" s="352"/>
      <c r="S52" s="352"/>
      <c r="T52" s="352"/>
      <c r="U52" s="352"/>
      <c r="V52" s="58"/>
      <c r="W52" s="351" t="s">
        <v>29</v>
      </c>
      <c r="X52" s="352"/>
      <c r="Y52" s="352"/>
      <c r="Z52" s="352"/>
      <c r="AA52" s="352"/>
      <c r="AB52" s="352"/>
      <c r="AC52" s="352"/>
      <c r="AD52" s="352"/>
      <c r="AE52" s="352"/>
      <c r="AF52" s="352"/>
      <c r="AG52" s="352"/>
      <c r="AH52" s="352"/>
      <c r="AI52" s="352"/>
      <c r="AJ52" s="352"/>
      <c r="AK52" s="352"/>
      <c r="AL52" s="352"/>
      <c r="AM52" s="352"/>
      <c r="AN52" s="352"/>
      <c r="AO52" s="352"/>
      <c r="AP52" s="352"/>
      <c r="AQ52" s="353"/>
    </row>
    <row r="53" spans="2:43" x14ac:dyDescent="0.3">
      <c r="H53" s="21" t="str">
        <f>IF($D$60=H$60,"↓","")</f>
        <v/>
      </c>
      <c r="I53" s="23" t="str">
        <f t="shared" ref="I53:R53" si="12">IF($D$60=I$60,"↓","")</f>
        <v/>
      </c>
      <c r="J53" s="23" t="str">
        <f t="shared" si="12"/>
        <v/>
      </c>
      <c r="K53" s="23" t="str">
        <f t="shared" si="12"/>
        <v/>
      </c>
      <c r="L53" s="23" t="str">
        <f t="shared" si="12"/>
        <v/>
      </c>
      <c r="M53" s="23" t="str">
        <f t="shared" si="12"/>
        <v/>
      </c>
      <c r="N53" s="23" t="str">
        <f t="shared" si="12"/>
        <v>↓</v>
      </c>
      <c r="O53" s="23" t="str">
        <f t="shared" si="12"/>
        <v/>
      </c>
      <c r="P53" s="23" t="str">
        <f t="shared" si="12"/>
        <v/>
      </c>
      <c r="Q53" s="23" t="str">
        <f t="shared" si="12"/>
        <v/>
      </c>
      <c r="R53" s="23" t="str">
        <f t="shared" si="12"/>
        <v/>
      </c>
      <c r="Z53" s="14" t="str">
        <f>IF($AO$60=Z$60,"↓","")</f>
        <v>↓</v>
      </c>
      <c r="AA53" s="23" t="str">
        <f t="shared" ref="AA53:AJ53" si="13">IF($AO$60=AA$60,"↓","")</f>
        <v/>
      </c>
      <c r="AB53" s="23" t="str">
        <f t="shared" si="13"/>
        <v>↓</v>
      </c>
      <c r="AC53" s="23" t="str">
        <f t="shared" si="13"/>
        <v>↓</v>
      </c>
      <c r="AD53" s="23" t="str">
        <f t="shared" si="13"/>
        <v/>
      </c>
      <c r="AE53" s="23" t="str">
        <f t="shared" si="13"/>
        <v>↓</v>
      </c>
      <c r="AF53" s="23" t="str">
        <f t="shared" si="13"/>
        <v>↓</v>
      </c>
      <c r="AG53" s="23" t="str">
        <f t="shared" si="13"/>
        <v>↓</v>
      </c>
      <c r="AH53" s="23" t="str">
        <f t="shared" si="13"/>
        <v>↓</v>
      </c>
      <c r="AI53" s="23" t="str">
        <f t="shared" si="13"/>
        <v/>
      </c>
      <c r="AJ53" s="23" t="str">
        <f t="shared" si="13"/>
        <v/>
      </c>
    </row>
    <row r="54" spans="2:43" ht="15" thickBot="1" x14ac:dyDescent="0.35">
      <c r="F54" s="24"/>
      <c r="G54" s="27"/>
      <c r="H54" s="21" cm="1">
        <f t="array" ref="H54:R54">H40:R40</f>
        <v>13</v>
      </c>
      <c r="I54" s="21">
        <v>41</v>
      </c>
      <c r="J54" s="21">
        <v>63</v>
      </c>
      <c r="K54" s="21">
        <v>0</v>
      </c>
      <c r="L54" s="21">
        <v>0</v>
      </c>
      <c r="M54" s="21">
        <v>0</v>
      </c>
      <c r="N54" s="21">
        <v>0</v>
      </c>
      <c r="O54" s="21" t="str">
        <v>0</v>
      </c>
      <c r="P54" s="21" t="str">
        <v>0</v>
      </c>
      <c r="Q54" s="21" t="str">
        <v>-100</v>
      </c>
      <c r="R54" s="27" t="str">
        <v>-100</v>
      </c>
      <c r="S54" s="21"/>
      <c r="T54" s="21"/>
      <c r="U54" s="14"/>
      <c r="W54" s="14"/>
      <c r="X54" s="24"/>
      <c r="Y54" s="27"/>
      <c r="Z54" s="14" cm="1">
        <f t="array" ref="Z54:AJ54">H40:R40</f>
        <v>13</v>
      </c>
      <c r="AA54" s="14">
        <v>41</v>
      </c>
      <c r="AB54" s="14">
        <v>63</v>
      </c>
      <c r="AC54" s="14">
        <v>0</v>
      </c>
      <c r="AD54" s="14">
        <v>0</v>
      </c>
      <c r="AE54" s="14">
        <v>0</v>
      </c>
      <c r="AF54" s="14">
        <v>0</v>
      </c>
      <c r="AG54" s="14" t="str">
        <v>0</v>
      </c>
      <c r="AH54" s="14" t="str">
        <v>0</v>
      </c>
      <c r="AI54" s="14" t="str">
        <v>-100</v>
      </c>
      <c r="AJ54" s="24" t="str">
        <v>-100</v>
      </c>
      <c r="AK54" s="62"/>
    </row>
    <row r="55" spans="2:43" ht="16.2" thickBot="1" x14ac:dyDescent="0.35">
      <c r="B55" s="40" t="s">
        <v>15</v>
      </c>
      <c r="D55" s="54" t="s">
        <v>24</v>
      </c>
      <c r="F55" s="28" t="s">
        <v>20</v>
      </c>
      <c r="G55" s="27" t="s">
        <v>21</v>
      </c>
      <c r="H55" s="31" t="str">
        <f>IF($AO$46=Z$46,$AO$42,Z$41)</f>
        <v>p3</v>
      </c>
      <c r="I55" s="24" t="str">
        <f t="shared" ref="I55:R55" si="14">IF($AO$46=AA$46,$AO$42,AA$41)</f>
        <v>x2</v>
      </c>
      <c r="J55" s="24" t="str">
        <f t="shared" si="14"/>
        <v>p4</v>
      </c>
      <c r="K55" s="24" t="str">
        <f t="shared" si="14"/>
        <v>d1</v>
      </c>
      <c r="L55" s="24" t="str">
        <f t="shared" si="14"/>
        <v>d2</v>
      </c>
      <c r="M55" s="24">
        <f t="shared" si="14"/>
        <v>0</v>
      </c>
      <c r="N55" s="24" t="str">
        <f t="shared" si="14"/>
        <v>d4</v>
      </c>
      <c r="O55" s="24">
        <f t="shared" si="14"/>
        <v>0</v>
      </c>
      <c r="P55" s="24">
        <f t="shared" si="14"/>
        <v>0</v>
      </c>
      <c r="Q55" s="24" t="str">
        <f t="shared" si="14"/>
        <v>p3</v>
      </c>
      <c r="R55" s="27" t="str">
        <f t="shared" si="14"/>
        <v>p4</v>
      </c>
      <c r="S55" s="25" t="s">
        <v>13</v>
      </c>
      <c r="T55" s="51" t="s">
        <v>14</v>
      </c>
      <c r="U55" s="52" t="s">
        <v>16</v>
      </c>
      <c r="W55" s="14"/>
      <c r="X55" s="28" t="s">
        <v>20</v>
      </c>
      <c r="Y55" s="27" t="s">
        <v>21</v>
      </c>
      <c r="Z55" s="66" t="str">
        <f>IF($D$60=H$60,$D$56,H$55)</f>
        <v>p3</v>
      </c>
      <c r="AA55" s="28" t="str">
        <f t="shared" ref="AA55:AJ55" si="15">IF($D$60=I$60,$D$56,I$55)</f>
        <v>x2</v>
      </c>
      <c r="AB55" s="28" t="str">
        <f t="shared" si="15"/>
        <v>p4</v>
      </c>
      <c r="AC55" s="28" t="str">
        <f t="shared" si="15"/>
        <v>d1</v>
      </c>
      <c r="AD55" s="28" t="str">
        <f t="shared" si="15"/>
        <v>d2</v>
      </c>
      <c r="AE55" s="28">
        <f t="shared" si="15"/>
        <v>0</v>
      </c>
      <c r="AF55" s="28" t="str">
        <f t="shared" si="15"/>
        <v>d2</v>
      </c>
      <c r="AG55" s="28">
        <f t="shared" si="15"/>
        <v>0</v>
      </c>
      <c r="AH55" s="28">
        <f t="shared" si="15"/>
        <v>0</v>
      </c>
      <c r="AI55" s="28" t="str">
        <f t="shared" si="15"/>
        <v>p3</v>
      </c>
      <c r="AJ55" s="29" t="str">
        <f t="shared" si="15"/>
        <v>p4</v>
      </c>
      <c r="AK55" s="33" t="s">
        <v>13</v>
      </c>
      <c r="AL55" s="67" t="s">
        <v>14</v>
      </c>
      <c r="AM55" s="65" t="s">
        <v>16</v>
      </c>
      <c r="AO55" s="54" t="s">
        <v>24</v>
      </c>
      <c r="AQ55" s="40" t="s">
        <v>15</v>
      </c>
    </row>
    <row r="56" spans="2:43" ht="15" thickBot="1" x14ac:dyDescent="0.35">
      <c r="B56" s="39">
        <f>IF(AND(E56="→",H53="↓"),H56,IF(AND(E57="→",H53="↓"),H57,IF(AND(E58="→",H53="↓"),H58,IF(AND(E59="→",H53="↓"),H59,IF(AND(E56="→",I53="↓"),I56,IF(AND(E57="→",I53="↓"),I57,IF(AND(E58="→",I53="↓"),I58,IF(AND(E59="→",I53="↓"),I59,IF(AND(E56="→",J53="↓"),J56,IF(AND(E57="→",J53="↓"),J57,IF(AND(E58="→",J53="↓"),J58,IF(AND(E59="→",J53="↓"),J59,IF(AND(E56="→",K53="↓"),K56,IF(AND(E57="→",K53="↓"),K57,IF(AND(E58="→",K53="↓"),K58,IF(AND(E59="→",K53="↓"),K59,IF(AND(E56="→",L53="↓"),L56,IF(AND(E57="→",L53="↓"),L57,IF(AND(E58="→",L53="↓"),L58,IF(AND(E59="→",L53="↓"),L59,IF(AND(E56="→",M53="↓"),M56,IF(AND(E57="→",M53="↓"),M57,IF(AND(E58="→",M3="↓"),M58,IF(AND(E59="→",M53="↓"),M59,IF(AND(E56="→",N53="↓"),N56,IF(AND(E57="→",N53="↓"),N57,IF(AND(E58="→",N53="↓"),N58,IF(AND(E59="→",N53="↓"),N59,IF(AND(E56="→",O53="↓"),O56,IF(AND(E57="→",O53="↓"),O57,IF(AND(E58="→",O53="↓"),O58,IF(AND(E59="→",O53="↓"),O59,IF(AND(E56="→",P53="↓"),P56,IF(AND(E57="→",P53="↓"),P57,IF(AND(E58="→",P53="↓"),P58,IF(AND(E59="→",P53="↓"),P59,IF(AND(E56="→",Q53="↓"),Q56,IF(AND(E57="→",Q53="↓"),Q57,IF(AND(E58="→",Q53="↓"),Q58,IF(AND(E59="→",Q53="↓"),Q59,IF(AND(E56="→",R53="↓"),R56,IF(AND(E57="→",R53="↓"),R57,IF(AND(E58="→",R53="↓"),R58,IF(AND(E59="→",R53="↓"),R59,"není"))))))))))))))))))))))))))))))))))))))))))))</f>
        <v>8</v>
      </c>
      <c r="D56" s="49" t="str">
        <f>IF(D57=T56,G56,IF(D57=T57,G57,IF(D57=T58,G58,IF(D57=T59,G59,"--_(O_o)_--"))))</f>
        <v>d2</v>
      </c>
      <c r="E56" s="21" t="str">
        <f>IF($D$57=$T56,"→","")</f>
        <v/>
      </c>
      <c r="F56" s="24">
        <f>IF($G56=$H$41,$H$40,IF($G56=$I$41,$I$40,IF($G56=$J$41,$J$40,IF($G56=$K$41,$K$40,IF($G56=$L$41,$L$40,IF($G56=$M$41,$M$40,IF($G56=$N$41,$N$40,IF($G56=$O$41,$O$40,IF($G56=$P$41,$P$40,IF($G56=$Q$41,$Q$40,IF($G56=$R$41,$R$40,"--__(O_o)__--")))))))))))</f>
        <v>0</v>
      </c>
      <c r="G56" s="46" t="str">
        <f>IF($Y42=$AO$42,$AO$45,$Y42)</f>
        <v>d1</v>
      </c>
      <c r="H56" s="36">
        <f t="shared" ref="H56:H59" si="16">IF(AND($W42="→",Z$39="↓",Z42=1),1,IF(AND($W42="→",Z$39="↓",Z42&lt;&gt;1),Z42/Z42,IF(AND($W42="→",Z$39&lt;&gt;"↓",$AQ$42=1),Z42,IF(AND($W42="→",Z$39&lt;&gt;"↓",$AQ$42&lt;&gt;1),Z42/$AQ$42,IF(AND($W42&lt;&gt;"→",Z$39="↓",Z42=0),0,IF(AND($W42&lt;&gt;"→",Z$39="↓",Z42&lt;&gt;0),(-Z42)+Z42,IF(AND($W42&lt;&gt;"→",Z$39&lt;&gt;"↓",$AM42&lt;&gt;""),Z42-(Z$49*$AM42),Z42)))))))</f>
        <v>0</v>
      </c>
      <c r="I56" s="36">
        <f t="shared" ref="I56:I59" si="17">IF(AND($W42="→",AA$39="↓",AA42=1),1,IF(AND($W42="→",AA$39="↓",AA42&lt;&gt;1),AA42/AA42,IF(AND($W42="→",AA$39&lt;&gt;"↓",$AQ$42=1),AA42,IF(AND($W42="→",AA$39&lt;&gt;"↓",$AQ$42&lt;&gt;1),AA42/$AQ$42,IF(AND($W42&lt;&gt;"→",AA$39="↓",AA42=0),0,IF(AND($W42&lt;&gt;"→",AA$39="↓",AA42&lt;&gt;0),(-AA42)+AA42,IF(AND($W42&lt;&gt;"→",AA$39&lt;&gt;"↓",$AM42&lt;&gt;""),AA42-(AA$49*$AM42),AA42)))))))</f>
        <v>0.4</v>
      </c>
      <c r="J56" s="36">
        <f t="shared" ref="J56:J59" si="18">IF(AND($W42="→",AB$39="↓",AB42=1),1,IF(AND($W42="→",AB$39="↓",AB42&lt;&gt;1),AB42/AB42,IF(AND($W42="→",AB$39&lt;&gt;"↓",$AQ$42=1),AB42,IF(AND($W42="→",AB$39&lt;&gt;"↓",$AQ$42&lt;&gt;1),AB42/$AQ$42,IF(AND($W42&lt;&gt;"→",AB$39="↓",AB42=0),0,IF(AND($W42&lt;&gt;"→",AB$39="↓",AB42&lt;&gt;0),(-AB42)+AB42,IF(AND($W42&lt;&gt;"→",AB$39&lt;&gt;"↓",$AM42&lt;&gt;""),AB42-(AB$49*$AM42),AB42)))))))</f>
        <v>0</v>
      </c>
      <c r="K56" s="36">
        <f t="shared" ref="K56:K59" si="19">IF(AND($W42="→",AC$39="↓",AC42=1),1,IF(AND($W42="→",AC$39="↓",AC42&lt;&gt;1),AC42/AC42,IF(AND($W42="→",AC$39&lt;&gt;"↓",$AQ$42=1),AC42,IF(AND($W42="→",AC$39&lt;&gt;"↓",$AQ$42&lt;&gt;1),AC42/$AQ$42,IF(AND($W42&lt;&gt;"→",AC$39="↓",AC42=0),0,IF(AND($W42&lt;&gt;"→",AC$39="↓",AC42&lt;&gt;0),(-AC42)+AC42,IF(AND($W42&lt;&gt;"→",AC$39&lt;&gt;"↓",$AM42&lt;&gt;""),AC42-(AC$49*$AM42),AC42)))))))</f>
        <v>1</v>
      </c>
      <c r="L56" s="36">
        <f t="shared" ref="L56:L59" si="20">IF(AND($W42="→",AD$39="↓",AD42=1),1,IF(AND($W42="→",AD$39="↓",AD42&lt;&gt;1),AD42/AD42,IF(AND($W42="→",AD$39&lt;&gt;"↓",$AQ$42=1),AD42,IF(AND($W42="→",AD$39&lt;&gt;"↓",$AQ$42&lt;&gt;1),AD42/$AQ$42,IF(AND($W42&lt;&gt;"→",AD$39="↓",AD42=0),0,IF(AND($W42&lt;&gt;"→",AD$39="↓",AD42&lt;&gt;0),(-AD42)+AD42,IF(AND($W42&lt;&gt;"→",AD$39&lt;&gt;"↓",$AM42&lt;&gt;""),AD42-(AD$49*$AM42),AD42)))))))</f>
        <v>0</v>
      </c>
      <c r="M56" s="36">
        <f t="shared" ref="M56:M59" si="21">IF(AND($W42="→",AE$39="↓",AE42=1),1,IF(AND($W42="→",AE$39="↓",AE42&lt;&gt;1),AE42/AE42,IF(AND($W42="→",AE$39&lt;&gt;"↓",$AQ$42=1),AE42,IF(AND($W42="→",AE$39&lt;&gt;"↓",$AQ$42&lt;&gt;1),AE42/$AQ$42,IF(AND($W42&lt;&gt;"→",AE$39="↓",AE42=0),0,IF(AND($W42&lt;&gt;"→",AE$39="↓",AE42&lt;&gt;0),(-AE42)+AE42,IF(AND($W42&lt;&gt;"→",AE$39&lt;&gt;"↓",$AM42&lt;&gt;""),AE42-(AE$49*$AM42),AE42)))))))</f>
        <v>0</v>
      </c>
      <c r="N56" s="36">
        <f t="shared" ref="N56:N59" si="22">IF(AND($W42="→",AF$39="↓",AF42=1),1,IF(AND($W42="→",AF$39="↓",AF42&lt;&gt;1),AF42/AF42,IF(AND($W42="→",AF$39&lt;&gt;"↓",$AQ$42=1),AF42,IF(AND($W42="→",AF$39&lt;&gt;"↓",$AQ$42&lt;&gt;1),AF42/$AQ$42,IF(AND($W42&lt;&gt;"→",AF$39="↓",AF42=0),0,IF(AND($W42&lt;&gt;"→",AF$39="↓",AF42&lt;&gt;0),(-AF42)+AF42,IF(AND($W42&lt;&gt;"→",AF$39&lt;&gt;"↓",$AM42&lt;&gt;""),AF42-(AF$49*$AM42),AF42)))))))</f>
        <v>0.2</v>
      </c>
      <c r="O56" s="36">
        <f t="shared" ref="O56:O59" si="23">IF(AND($W42="→",AG$39="↓",AG42=1),1,IF(AND($W42="→",AG$39="↓",AG42&lt;&gt;1),AG42/AG42,IF(AND($W42="→",AG$39&lt;&gt;"↓",$AQ$42=1),AG42,IF(AND($W42="→",AG$39&lt;&gt;"↓",$AQ$42&lt;&gt;1),AG42/$AQ$42,IF(AND($W42&lt;&gt;"→",AG$39="↓",AG42=0),0,IF(AND($W42&lt;&gt;"→",AG$39="↓",AG42&lt;&gt;0),(-AG42)+AG42,IF(AND($W42&lt;&gt;"→",AG$39&lt;&gt;"↓",$AM42&lt;&gt;""),AG42-(AG$49*$AM42),AG42)))))))</f>
        <v>0</v>
      </c>
      <c r="P56" s="36">
        <f t="shared" ref="P56:P59" si="24">IF(AND($W42="→",AH$39="↓",AH42=1),1,IF(AND($W42="→",AH$39="↓",AH42&lt;&gt;1),AH42/AH42,IF(AND($W42="→",AH$39&lt;&gt;"↓",$AQ$42=1),AH42,IF(AND($W42="→",AH$39&lt;&gt;"↓",$AQ$42&lt;&gt;1),AH42/$AQ$42,IF(AND($W42&lt;&gt;"→",AH$39="↓",AH42=0),0,IF(AND($W42&lt;&gt;"→",AH$39="↓",AH42&lt;&gt;0),(-AH42)+AH42,IF(AND($W42&lt;&gt;"→",AH$39&lt;&gt;"↓",$AM42&lt;&gt;""),AH42-(AH$49*$AM42),AH42)))))))</f>
        <v>0</v>
      </c>
      <c r="Q56" s="36">
        <f t="shared" ref="Q56:Q59" si="25">IF(AND($W42="→",AI$39="↓",AI42=1),1,IF(AND($W42="→",AI$39="↓",AI42&lt;&gt;1),AI42/AI42,IF(AND($W42="→",AI$39&lt;&gt;"↓",$AQ$42=1),AI42,IF(AND($W42="→",AI$39&lt;&gt;"↓",$AQ$42&lt;&gt;1),AI42/$AQ$42,IF(AND($W42&lt;&gt;"→",AI$39="↓",AI42=0),0,IF(AND($W42&lt;&gt;"→",AI$39="↓",AI42&lt;&gt;0),(-AI42)+AI42,IF(AND($W42&lt;&gt;"→",AI$39&lt;&gt;"↓",$AM42&lt;&gt;""),AI42-(AI$49*$AM42),AI42)))))))</f>
        <v>-0.7</v>
      </c>
      <c r="R56" s="46">
        <f t="shared" ref="R56:R59" si="26">IF(AND($W42="→",AJ$39="↓",AJ42=1),1,IF(AND($W42="→",AJ$39="↓",AJ42&lt;&gt;1),AJ42/AJ42,IF(AND($W42="→",AJ$39&lt;&gt;"↓",$AQ$42=1),AJ42,IF(AND($W42="→",AJ$39&lt;&gt;"↓",$AQ$42&lt;&gt;1),AJ42/$AQ$42,IF(AND($W42&lt;&gt;"→",AJ$39="↓",AJ42=0),0,IF(AND($W42&lt;&gt;"→",AJ$39="↓",AJ42&lt;&gt;0),(-AJ42)+AJ42,IF(AND($W42&lt;&gt;"→",AJ$39&lt;&gt;"↓",$AM42&lt;&gt;""),AJ42-(AJ$49*$AM42),AJ42)))))))</f>
        <v>-0.2</v>
      </c>
      <c r="S56" s="36">
        <f t="shared" ref="S56:S59" si="27">IF(AND($W42="→",AK$39="↓",AK42=1),1,IF(AND($W42="→",AK$39="↓",AK42&lt;&gt;1),AK42/AK42,IF(AND($W42="→",AK$39&lt;&gt;"↓",$AQ$42=1),AK42,IF(AND($W42="→",AK$39&lt;&gt;"↓",$AQ$42&lt;&gt;1),AK42/$AQ$42,IF(AND($W42&lt;&gt;"→",AK$39="↓",AK42=0),0,IF(AND($W42&lt;&gt;"→",AK$39="↓",AK42&lt;&gt;0),(-AK42)+AK42,IF(AND($W42&lt;&gt;"→",AK$39&lt;&gt;"↓",$AM42&lt;&gt;""),AK42-(AK$49*$AM42),AK42)))))))</f>
        <v>10.199999999999999</v>
      </c>
      <c r="T56" s="63">
        <f>IFERROR($S56/IF($H$60=$D$60,IF(H56&gt;0,H56,10^-150),IF($I$60=$D$60,IF(I56&gt;0,I56,10^-150),IF($J$60=$D$60,IF(J56&gt;0,J56,10^-150),IF($K$60=$D$60,IF(K56&gt;0,K56,10^-150),IF($L$60=$D$60,IF(L56&gt;0,L56,10^-150),IF($M$60=$D$60,IF(M56&gt;0,M56,10^-150),IF($N$60=$D$60,IF(N56&gt;0,N56,10^-150),IF($O$60=$D$60,IF(O56&gt;0,O56,10^-150),IF($P$60=$D$60,IF(P56&gt;0,P56,10^-150),IF($Q$60=$D$60,IF(Q56&gt;0,Q56,10^-150),IF($R$60=$D$60,IF(R56&gt;0,R56,10^-150),"Chyba"))))))))))),10^150)</f>
        <v>50.999999999999993</v>
      </c>
      <c r="U56" s="64">
        <f>IF(AND($E56="→",$B$56=1),"",IF(AND($E56="→",$B$56&lt;&gt;1),$B$56,IF(AND($E56&lt;&gt;"→",$H$53="↓",$H56&lt;&gt;0),$H56,IF(AND($E56&lt;&gt;"→",$I$53="↓",$I56&lt;&gt;0),$I56,IF(AND($E56&lt;&gt;"→",$J$53="↓",$J56&lt;&gt;0),$J56,IF(AND($E56&lt;&gt;"→",$K$53="↓",$K56&lt;&gt;0),$K56,IF(AND($E56&lt;&gt;"→",$L$53="↓",$L56&lt;&gt;0),$L56,IF(AND($E56&lt;&gt;"→",$M$53="↓",$M56&lt;&gt;0),$M56,IF(AND($E56&lt;&gt;"→",$N$53="↓",$N56&lt;&gt;0),$N56,IF(AND($E56&lt;&gt;"→",$O$53="↓",$O56&lt;&gt;0),$O56,IF(AND($E56&lt;&gt;"→",$P$53="↓",$P56&lt;&gt;0),$P56,IF(AND($E56&lt;&gt;"→",$Q$53="↓",$Q56&lt;&gt;0),$Q56,IF(AND($E56&lt;&gt;"→",$R$53="↓",$R56&lt;&gt;0),$R56,"")))))))))))))</f>
        <v>0.2</v>
      </c>
      <c r="W56" s="14" t="str">
        <f>IF($AO$57=$AL56,"→","")</f>
        <v/>
      </c>
      <c r="X56" s="24">
        <f>IF($Y56=$H$41,$H$40,IF($Y56=$I$41,$I$40,IF($Y56=$J$41,$J$40,IF($Y56=$K$41,$K$40,IF($Y56=$L$41,$L$40,IF($Y56=$M$41,$M$40,IF($Y56=$N$41,$N$40,IF($Y56=$O$41,$O$40,IF($Y56=$P$41,$P$40,IF($Y56=$Q$41,$Q$40,IF($Y56=$R$41,$R$40,"--__(O_o)__--")))))))))))</f>
        <v>0</v>
      </c>
      <c r="Y56" s="46" t="str">
        <f>IF($G56=$D$56,$D$59,$G56)</f>
        <v>d1</v>
      </c>
      <c r="Z56" s="36">
        <f t="shared" ref="Z56:Z59" si="28">IF(AND($E56="→",H$53="↓",H56=1),1,IF(AND($E56="→",H$53="↓",H56&lt;&gt;1),H56/H56,IF(AND($E56="→",H$53&lt;&gt;"↓",$B$56=1),H56,IF(AND($E56="→",H$53&lt;&gt;"↓",$B$56&lt;&gt;1),H56/$B$56,IF(AND($E56&lt;&gt;"→",H$53="↓",H56=0),0,IF(AND($E56&lt;&gt;"→",H$53="↓",H56&lt;&gt;0),(-H56)+H56,IF(AND($E56&lt;&gt;"→",H$53&lt;&gt;"↓",$U56&lt;&gt;""),H56-(H$63*$U56),H56)))))))</f>
        <v>0</v>
      </c>
      <c r="AA56" s="36">
        <f t="shared" ref="AA56:AA59" si="29">IF(AND($E56="→",I$53="↓",I56=1),1,IF(AND($E56="→",I$53="↓",I56&lt;&gt;1),I56/I56,IF(AND($E56="→",I$53&lt;&gt;"↓",$B$56=1),I56,IF(AND($E56="→",I$53&lt;&gt;"↓",$B$56&lt;&gt;1),I56/$B$56,IF(AND($E56&lt;&gt;"→",I$53="↓",I56=0),0,IF(AND($E56&lt;&gt;"→",I$53="↓",I56&lt;&gt;0),(-I56)+I56,IF(AND($E56&lt;&gt;"→",I$53&lt;&gt;"↓",$U56&lt;&gt;""),I56-(I$63*$U56),I56)))))))</f>
        <v>0.25</v>
      </c>
      <c r="AB56" s="36">
        <f t="shared" ref="AB56:AB59" si="30">IF(AND($E56="→",J$53="↓",J56=1),1,IF(AND($E56="→",J$53="↓",J56&lt;&gt;1),J56/J56,IF(AND($E56="→",J$53&lt;&gt;"↓",$B$56=1),J56,IF(AND($E56="→",J$53&lt;&gt;"↓",$B$56&lt;&gt;1),J56/$B$56,IF(AND($E56&lt;&gt;"→",J$53="↓",J56=0),0,IF(AND($E56&lt;&gt;"→",J$53="↓",J56&lt;&gt;0),(-J56)+J56,IF(AND($E56&lt;&gt;"→",J$53&lt;&gt;"↓",$U56&lt;&gt;""),J56-(J$63*$U56),J56)))))))</f>
        <v>0</v>
      </c>
      <c r="AC56" s="36">
        <f t="shared" ref="AC56:AC59" si="31">IF(AND($E56="→",K$53="↓",K56=1),1,IF(AND($E56="→",K$53="↓",K56&lt;&gt;1),K56/K56,IF(AND($E56="→",K$53&lt;&gt;"↓",$B$56=1),K56,IF(AND($E56="→",K$53&lt;&gt;"↓",$B$56&lt;&gt;1),K56/$B$56,IF(AND($E56&lt;&gt;"→",K$53="↓",K56=0),0,IF(AND($E56&lt;&gt;"→",K$53="↓",K56&lt;&gt;0),(-K56)+K56,IF(AND($E56&lt;&gt;"→",K$53&lt;&gt;"↓",$U56&lt;&gt;""),K56-(K$63*$U56),K56)))))))</f>
        <v>1</v>
      </c>
      <c r="AD56" s="36">
        <f t="shared" ref="AD56:AD59" si="32">IF(AND($E56="→",L$53="↓",L56=1),1,IF(AND($E56="→",L$53="↓",L56&lt;&gt;1),L56/L56,IF(AND($E56="→",L$53&lt;&gt;"↓",$B$56=1),L56,IF(AND($E56="→",L$53&lt;&gt;"↓",$B$56&lt;&gt;1),L56/$B$56,IF(AND($E56&lt;&gt;"→",L$53="↓",L56=0),0,IF(AND($E56&lt;&gt;"→",L$53="↓",L56&lt;&gt;0),(-L56)+L56,IF(AND($E56&lt;&gt;"→",L$53&lt;&gt;"↓",$U56&lt;&gt;""),L56-(L$63*$U56),L56)))))))</f>
        <v>-2.5000000000000001E-2</v>
      </c>
      <c r="AE56" s="36">
        <f t="shared" ref="AE56:AE59" si="33">IF(AND($E56="→",M$53="↓",M56=1),1,IF(AND($E56="→",M$53="↓",M56&lt;&gt;1),M56/M56,IF(AND($E56="→",M$53&lt;&gt;"↓",$B$56=1),M56,IF(AND($E56="→",M$53&lt;&gt;"↓",$B$56&lt;&gt;1),M56/$B$56,IF(AND($E56&lt;&gt;"→",M$53="↓",M56=0),0,IF(AND($E56&lt;&gt;"→",M$53="↓",M56&lt;&gt;0),(-M56)+M56,IF(AND($E56&lt;&gt;"→",M$53&lt;&gt;"↓",$U56&lt;&gt;""),M56-(M$63*$U56),M56)))))))</f>
        <v>0</v>
      </c>
      <c r="AF56" s="36">
        <f t="shared" ref="AF56:AF59" si="34">IF(AND($E56="→",N$53="↓",N56=1),1,IF(AND($E56="→",N$53="↓",N56&lt;&gt;1),N56/N56,IF(AND($E56="→",N$53&lt;&gt;"↓",$B$56=1),N56,IF(AND($E56="→",N$53&lt;&gt;"↓",$B$56&lt;&gt;1),N56/$B$56,IF(AND($E56&lt;&gt;"→",N$53="↓",N56=0),0,IF(AND($E56&lt;&gt;"→",N$53="↓",N56&lt;&gt;0),(-N56)+N56,IF(AND($E56&lt;&gt;"→",N$53&lt;&gt;"↓",$U56&lt;&gt;""),N56-(N$63*$U56),N56)))))))</f>
        <v>0</v>
      </c>
      <c r="AG56" s="36">
        <f t="shared" ref="AG56:AG59" si="35">IF(AND($E56="→",O$53="↓",O56=1),1,IF(AND($E56="→",O$53="↓",O56&lt;&gt;1),O56/O56,IF(AND($E56="→",O$53&lt;&gt;"↓",$B$56=1),O56,IF(AND($E56="→",O$53&lt;&gt;"↓",$B$56&lt;&gt;1),O56/$B$56,IF(AND($E56&lt;&gt;"→",O$53="↓",O56=0),0,IF(AND($E56&lt;&gt;"→",O$53="↓",O56&lt;&gt;0),(-O56)+O56,IF(AND($E56&lt;&gt;"→",O$53&lt;&gt;"↓",$U56&lt;&gt;""),O56-(O$63*$U56),O56)))))))</f>
        <v>0</v>
      </c>
      <c r="AH56" s="36">
        <f t="shared" ref="AH56:AH59" si="36">IF(AND($E56="→",P$53="↓",P56=1),1,IF(AND($E56="→",P$53="↓",P56&lt;&gt;1),P56/P56,IF(AND($E56="→",P$53&lt;&gt;"↓",$B$56=1),P56,IF(AND($E56="→",P$53&lt;&gt;"↓",$B$56&lt;&gt;1),P56/$B$56,IF(AND($E56&lt;&gt;"→",P$53="↓",P56=0),0,IF(AND($E56&lt;&gt;"→",P$53="↓",P56&lt;&gt;0),(-P56)+P56,IF(AND($E56&lt;&gt;"→",P$53&lt;&gt;"↓",$U56&lt;&gt;""),P56-(P$63*$U56),P56)))))))</f>
        <v>0</v>
      </c>
      <c r="AI56" s="36">
        <f t="shared" ref="AI56:AI59" si="37">IF(AND($E56="→",Q$53="↓",Q56=1),1,IF(AND($E56="→",Q$53="↓",Q56&lt;&gt;1),Q56/Q56,IF(AND($E56="→",Q$53&lt;&gt;"↓",$B$56=1),Q56,IF(AND($E56="→",Q$53&lt;&gt;"↓",$B$56&lt;&gt;1),Q56/$B$56,IF(AND($E56&lt;&gt;"→",Q$53="↓",Q56=0),0,IF(AND($E56&lt;&gt;"→",Q$53="↓",Q56&lt;&gt;0),(-Q56)+Q56,IF(AND($E56&lt;&gt;"→",Q$53&lt;&gt;"↓",$U56&lt;&gt;""),Q56-(Q$63*$U56),Q56)))))))</f>
        <v>-0.47499999999999998</v>
      </c>
      <c r="AJ56" s="36">
        <f t="shared" ref="AJ56:AJ59" si="38">IF(AND($E56="→",R$53="↓",R56=1),1,IF(AND($E56="→",R$53="↓",R56&lt;&gt;1),R56/R56,IF(AND($E56="→",R$53&lt;&gt;"↓",$B$56=1),R56,IF(AND($E56="→",R$53&lt;&gt;"↓",$B$56&lt;&gt;1),R56/$B$56,IF(AND($E56&lt;&gt;"→",R$53="↓",R56=0),0,IF(AND($E56&lt;&gt;"→",R$53="↓",R56&lt;&gt;0),(-R56)+R56,IF(AND($E56&lt;&gt;"→",R$53&lt;&gt;"↓",$U56&lt;&gt;""),R56-(R$63*$U56),R56)))))))</f>
        <v>0</v>
      </c>
      <c r="AK56" s="37">
        <f t="shared" ref="AK56:AK59" si="39">IF(AND($E56="→",S$53="↓",S56=1),1,IF(AND($E56="→",S$53="↓",S56&lt;&gt;1),S56/S56,IF(AND($E56="→",S$53&lt;&gt;"↓",$B$56=1),S56,IF(AND($E56="→",S$53&lt;&gt;"↓",$B$56&lt;&gt;1),S56/$B$56,IF(AND($E56&lt;&gt;"→",S$53="↓",S56=0),0,IF(AND($E56&lt;&gt;"→",S$53="↓",S56&lt;&gt;0),(-S56)+S56,IF(AND($E56&lt;&gt;"→",S$53&lt;&gt;"↓",$U56&lt;&gt;""),S56-(S$63*$U56),S56)))))))</f>
        <v>1.3749999999999982</v>
      </c>
      <c r="AL56" s="55">
        <f>IFERROR($AK56/IF($Z$60=$AO$60,IF(Z56&gt;0,Z56,10^-150),IF($AA$60=$AO$60,IF(AA56&gt;0,AA56,10^-150),IF($AB$60=$AO$60,IF(AB56&gt;0,AB56,10^-150),IF($AC$60=$AO$60,IF(AC56&gt;0,AC56,10^-150),IF($AD$60=$AO$60,IF(AD56&gt;0,AD56,10^-150),IF($AE$60=$AO$60,IF(AE56&gt;0,AE56,10^-150),IF($AF$60=$AO$60,IF(AF56&gt;0,AF56,10^-150),IF($AG$60=$AO$60,IF(AG56&gt;0,AG56,10^-150),IF($AH$60=$AO$60,IF(AH56&gt;0,AH56,10^-150),IF($AI$60=$AO$60,IF(AI56&gt;0,AI56,10^-150),IF($AJ$60=$AO$60,IF(AJ56&gt;0,AJ56,10^-150),"Chyba"))))))))))),10^150)</f>
        <v>1.3749999999999982E+150</v>
      </c>
      <c r="AM56" s="36">
        <f>IF(AND($W56="→",$AQ$56=1),"",IF(AND($W56="→",$AQ$56&lt;&gt;1),$AQ$56,IF(AND($W56&lt;&gt;"→",Z$53="↓",$Z56&lt;&gt;0),$Z56,IF(AND($W56&lt;&gt;"→",AA$53="↓",$AA56&lt;&gt;0),$AA56,IF(AND($W56&lt;&gt;"→",AB$53="↓",$AB56&lt;&gt;0),$AB56,IF(AND($W56&lt;&gt;"→",AC$53="↓",$AC56&lt;&gt;0),$AC56,IF(AND($W56&lt;&gt;"→",AD$53="↓",$AD56&lt;&gt;0),$AD56,IF(AND($W56&lt;&gt;"→",AE$53="↓",$AE56&lt;&gt;0),$AE56,IF(AND($W56&lt;&gt;"→",AF$53="↓",$AF56&lt;&gt;0),$AF56,IF(AND($W56&lt;&gt;"→",AG$53="↓",$AG56&lt;&gt;0),$AG56,IF(AND($W56&lt;&gt;"→",AH$53="↓",$AH56&lt;&gt;0),$AH56,IF(AND($W56&lt;&gt;"→",AI$53="↓",$AI56&lt;&gt;0),$AI56,IF(AND($W56&lt;&gt;"→",AJ$53="↓",$AJ56&lt;&gt;0),$AJ56,"")))))))))))))</f>
        <v>1</v>
      </c>
      <c r="AO56" s="49" t="str">
        <f>IF(AO57=AL56,Y56,IF(AO57=AL57,Y57,IF(AO57=AL58,Y58,IF(AO57=AL59,Y59,"--_(O_o)_--"))))</f>
        <v>x1</v>
      </c>
      <c r="AQ56" s="39">
        <f>IF(AND(W56="→",Z53="↓"),Z56,IF(AND(W57="→",Z53="↓"),Z57,IF(AND(W58="→",Z53="↓"),Z58,IF(AND(W59="→",Z53="↓"),Z59,IF(AND(W56="→",AA53="↓"),AA56,IF(AND(W57="→",AA53="↓"),AA57,IF(AND(W58="→",AA53="↓"),AA58,IF(AND(W59="→",AA53="↓"),AA59,IF(AND(W56="→",AB53="↓"),AB56,IF(AND(W57="→",AB53="↓"),AB57,IF(AND(W58="→",AB53="↓"),AB58,IF(AND(W59="→",AB53="↓"),AB59,IF(AND(W56="→",AC53="↓"),AC56,IF(AND(W57="→",AC53="↓"),AC57,IF(AND(W58="→",AC53="↓"),AC58,IF(AND(W59="→",AC53="↓"),AC59,IF(AND(W56="→",AD53="↓"),AD56,IF(AND(W57="→",AD53="↓"),AD57,IF(AND(W58="→",AD53="↓"),AD58,IF(AND(W59="→",AD53="↓"),AD59,IF(AND(W56="→",AE53="↓"),AE56,IF(AND(W57="→",AE53="↓"),AE57,IF(AND(W58="→",AE53="↓"),AE58,IF(AND(W59="→",AE53="↓"),AE59,IF(AND(W56="→",AF53="↓"),AF56,IF(AND(W57="→",AF53="↓"),AF57,IF(AND(W58="→",AF53="↓"),AF58,IF(AND(W59="→",AF53="↓"),AF59,IF(AND(W56="→",AG53="↓"),AG56,IF(AND(W57="→",AG53="↓"),AG57,IF(AND(W58="→",AG53="↓"),AG58,IF(AND(W59="→",AG53="↓"),AG59,IF(AND(W56="→",AH53="↓"),AH56,IF(AND(W57="→",AH53="↓"),AH57,IF(AND(W58="→",AH53="↓"),AH58,IF(AND(W59="→",AH53="↓"),AH59,IF(AND(W56="→",AI53="↓"),AI56,IF(AND(W57="→",AI53="↓"),AI57,IF(AND(W58="→",AI53="↓"),AI58,IF(AND(W59="→",AI53="↓"),AI59,IF(AND(W56="→",AJ53="↓"),AJ56,IF(AND(W57="→",AJ53="↓"),AJ57,IF(AND(W58="→",AJ53="↓"),AJ58,IF(AND(W59="→",AJ53="↓"),AJ59,"není"))))))))))))))))))))))))))))))))))))))))))))</f>
        <v>1</v>
      </c>
    </row>
    <row r="57" spans="2:43" x14ac:dyDescent="0.3">
      <c r="D57" s="49" cm="1">
        <f t="array" ref="D57">MIN(ABS(T56:T59))</f>
        <v>44.125</v>
      </c>
      <c r="E57" s="21" t="str">
        <f>IF($D$57=$T57,"→","")</f>
        <v>→</v>
      </c>
      <c r="F57" s="24">
        <f t="shared" ref="F57:F59" si="40">IF($G57=$H$41,$H$40,IF($G57=$I$41,$I$40,IF($G57=$J$41,$J$40,IF($G57=$K$41,$K$40,IF($G57=$L$41,$L$40,IF($G57=$M$41,$M$40,IF($G57=$N$41,$N$40,IF($G57=$O$41,$O$40,IF($G57=$P$41,$P$40,IF($G57=$Q$41,$Q$40,IF($G57=$R$41,$R$40,"--__(O_o)__--")))))))))))</f>
        <v>0</v>
      </c>
      <c r="G57" s="27" t="str">
        <f t="shared" ref="G57:G59" si="41">IF($Y43=$AO$42,$AO$45,$Y43)</f>
        <v>d2</v>
      </c>
      <c r="H57" s="23">
        <f t="shared" si="16"/>
        <v>0</v>
      </c>
      <c r="I57" s="23">
        <f t="shared" si="17"/>
        <v>6</v>
      </c>
      <c r="J57" s="23">
        <f t="shared" si="18"/>
        <v>0</v>
      </c>
      <c r="K57" s="23">
        <f t="shared" si="19"/>
        <v>0</v>
      </c>
      <c r="L57" s="23">
        <f t="shared" si="20"/>
        <v>1</v>
      </c>
      <c r="M57" s="23">
        <f t="shared" si="21"/>
        <v>0</v>
      </c>
      <c r="N57" s="23">
        <f t="shared" si="22"/>
        <v>8</v>
      </c>
      <c r="O57" s="23">
        <f t="shared" si="23"/>
        <v>0</v>
      </c>
      <c r="P57" s="23">
        <f t="shared" si="24"/>
        <v>0</v>
      </c>
      <c r="Q57" s="23">
        <f t="shared" si="25"/>
        <v>-9</v>
      </c>
      <c r="R57" s="27">
        <f t="shared" si="26"/>
        <v>-8</v>
      </c>
      <c r="S57" s="23">
        <f t="shared" si="27"/>
        <v>353</v>
      </c>
      <c r="T57" s="22">
        <f t="shared" ref="T57:T58" si="42">IFERROR($S57/IF($H$60=$D$60,IF(H57&gt;0,H57,10^-150),IF($I$60=$D$60,IF(I57&gt;0,I57,10^-150),IF($J$60=$D$60,IF(J57&gt;0,J57,10^-150),IF($K$60=$D$60,IF(K57&gt;0,K57,10^-150),IF($L$60=$D$60,IF(L57&gt;0,L57,10^-150),IF($M$60=$D$60,IF(M57&gt;0,M57,10^-150),IF($N$60=$D$60,IF(N57&gt;0,N57,10^-150),IF($O$60=$D$60,IF(O57&gt;0,O57,10^-150),IF($P$60=$D$60,IF(P57&gt;0,P57,10^-150),IF($Q$60=$D$60,IF(Q57&gt;0,Q57,10^-150),IF($R$60=$D$60,IF(R57&gt;0,R57,10^-150),"Chyba"))))))))))),10^150)</f>
        <v>44.125</v>
      </c>
      <c r="U57" s="35">
        <f t="shared" ref="U57:U59" si="43">IF(AND($E57="→",$B$56=1),"",IF(AND($E57="→",$B$56&lt;&gt;1),$B$56,IF(AND($E57&lt;&gt;"→",$H$53="↓",$H57&lt;&gt;0),$H57,IF(AND($E57&lt;&gt;"→",$I$53="↓",$I57&lt;&gt;0),$I57,IF(AND($E57&lt;&gt;"→",$J$53="↓",$J57&lt;&gt;0),$J57,IF(AND($E57&lt;&gt;"→",$K$53="↓",$K57&lt;&gt;0),$K57,IF(AND($E57&lt;&gt;"→",$L$53="↓",$L57&lt;&gt;0),$L57,IF(AND($E57&lt;&gt;"→",$M$53="↓",$M57&lt;&gt;0),$M57,IF(AND($E57&lt;&gt;"→",$N$53="↓",$N57&lt;&gt;0),$N57,IF(AND($E57&lt;&gt;"→",$O$53="↓",$O57&lt;&gt;0),$O57,IF(AND($E57&lt;&gt;"→",$P$53="↓",$P57&lt;&gt;0),$P57,IF(AND($E57&lt;&gt;"→",$Q$53="↓",$Q57&lt;&gt;0),$Q57,IF(AND($E57&lt;&gt;"→",$R$53="↓",$R57&lt;&gt;0),$R57,"")))))))))))))</f>
        <v>8</v>
      </c>
      <c r="W57" s="23" t="str">
        <f t="shared" ref="W57:W59" si="44">IF($AO$57=$AL57,"→","")</f>
        <v/>
      </c>
      <c r="X57" s="24">
        <f t="shared" ref="X57:X59" si="45">IF($Y57=$H$41,$H$40,IF($Y57=$I$41,$I$40,IF($Y57=$J$41,$J$40,IF($Y57=$K$41,$K$40,IF($Y57=$L$41,$L$40,IF($Y57=$M$41,$M$40,IF($Y57=$N$41,$N$40,IF($Y57=$O$41,$O$40,IF($Y57=$P$41,$P$40,IF($Y57=$Q$41,$Q$40,IF($Y57=$R$41,$R$40,"--__(O_o)__--")))))))))))</f>
        <v>0</v>
      </c>
      <c r="Y57" s="27" t="str">
        <f t="shared" ref="Y57:Y59" si="46">IF($G57=$D$56,$D$59,$G57)</f>
        <v>d4</v>
      </c>
      <c r="Z57" s="23">
        <f t="shared" si="28"/>
        <v>0</v>
      </c>
      <c r="AA57" s="23">
        <f t="shared" si="29"/>
        <v>0.75</v>
      </c>
      <c r="AB57" s="23">
        <f t="shared" si="30"/>
        <v>0</v>
      </c>
      <c r="AC57" s="23">
        <f t="shared" si="31"/>
        <v>0</v>
      </c>
      <c r="AD57" s="23">
        <f t="shared" si="32"/>
        <v>0.125</v>
      </c>
      <c r="AE57" s="23">
        <f t="shared" si="33"/>
        <v>0</v>
      </c>
      <c r="AF57" s="23">
        <f t="shared" si="34"/>
        <v>1</v>
      </c>
      <c r="AG57" s="23">
        <f t="shared" si="35"/>
        <v>0</v>
      </c>
      <c r="AH57" s="23">
        <f t="shared" si="36"/>
        <v>0</v>
      </c>
      <c r="AI57" s="23">
        <f t="shared" si="37"/>
        <v>-1.125</v>
      </c>
      <c r="AJ57" s="23">
        <f t="shared" si="38"/>
        <v>-1</v>
      </c>
      <c r="AK57" s="33">
        <f t="shared" si="39"/>
        <v>44.125</v>
      </c>
      <c r="AL57" s="56">
        <f t="shared" ref="AL57:AL59" si="47">IFERROR($AK57/IF($Z$60=$AO$60,IF(Z57&gt;0,Z57,10^-150),IF($AA$60=$AO$60,IF(AA57&gt;0,AA57,10^-150),IF($AB$60=$AO$60,IF(AB57&gt;0,AB57,10^-150),IF($AC$60=$AO$60,IF(AC57&gt;0,AC57,10^-150),IF($AD$60=$AO$60,IF(AD57&gt;0,AD57,10^-150),IF($AE$60=$AO$60,IF(AE57&gt;0,AE57,10^-150),IF($AF$60=$AO$60,IF(AF57&gt;0,AF57,10^-150),IF($AG$60=$AO$60,IF(AG57&gt;0,AG57,10^-150),IF($AH$60=$AO$60,IF(AH57&gt;0,AH57,10^-150),IF($AI$60=$AO$60,IF(AI57&gt;0,AI57,10^-150),IF($AJ$60=$AO$60,IF(AJ57&gt;0,AJ57,10^-150),"Chyba"))))))))))),10^150)</f>
        <v>4.4124999999999997E+151</v>
      </c>
      <c r="AM57" s="24">
        <f t="shared" ref="AM57:AM59" si="48">IF(AND($W57="→",$AQ$56=1),"",IF(AND($W57="→",$AQ$56&lt;&gt;1),$AQ$56,IF(AND($W57&lt;&gt;"→",Z$53="↓",$Z57&lt;&gt;0),$Z57,IF(AND($W57&lt;&gt;"→",AA$53="↓",$AA57&lt;&gt;0),$AA57,IF(AND($W57&lt;&gt;"→",AB$53="↓",$AB57&lt;&gt;0),$AB57,IF(AND($W57&lt;&gt;"→",AC$53="↓",$AC57&lt;&gt;0),$AC57,IF(AND($W57&lt;&gt;"→",AD$53="↓",$AD57&lt;&gt;0),$AD57,IF(AND($W57&lt;&gt;"→",AE$53="↓",$AE57&lt;&gt;0),$AE57,IF(AND($W57&lt;&gt;"→",AF$53="↓",$AF57&lt;&gt;0),$AF57,IF(AND($W57&lt;&gt;"→",AG$53="↓",$AG57&lt;&gt;0),$AG57,IF(AND($W57&lt;&gt;"→",AH$53="↓",$AH57&lt;&gt;0),$AH57,IF(AND($W57&lt;&gt;"→",AI$53="↓",$AI57&lt;&gt;0),$AI57,IF(AND($W57&lt;&gt;"→",AJ$53="↓",$AJ57&lt;&gt;0),$AJ57,"")))))))))))))</f>
        <v>1</v>
      </c>
      <c r="AO57" s="49" cm="1">
        <f t="array" ref="AO57">MIN(ABS(AL56:AL59))</f>
        <v>10</v>
      </c>
    </row>
    <row r="58" spans="2:43" x14ac:dyDescent="0.3">
      <c r="D58" s="59" t="s">
        <v>22</v>
      </c>
      <c r="E58" s="21" t="str">
        <f>IF($D$57=$T58,"→","")</f>
        <v/>
      </c>
      <c r="F58" s="24">
        <f t="shared" si="40"/>
        <v>13</v>
      </c>
      <c r="G58" s="27" t="str">
        <f t="shared" si="41"/>
        <v>x1</v>
      </c>
      <c r="H58" s="23">
        <f t="shared" si="16"/>
        <v>1</v>
      </c>
      <c r="I58" s="23">
        <f t="shared" si="17"/>
        <v>0</v>
      </c>
      <c r="J58" s="23">
        <f t="shared" si="18"/>
        <v>0</v>
      </c>
      <c r="K58" s="23">
        <f t="shared" si="19"/>
        <v>0</v>
      </c>
      <c r="L58" s="23">
        <f t="shared" si="20"/>
        <v>0</v>
      </c>
      <c r="M58" s="23">
        <f t="shared" si="21"/>
        <v>0</v>
      </c>
      <c r="N58" s="23">
        <f t="shared" si="22"/>
        <v>0</v>
      </c>
      <c r="O58" s="23">
        <f t="shared" si="23"/>
        <v>0</v>
      </c>
      <c r="P58" s="23">
        <f t="shared" si="24"/>
        <v>0</v>
      </c>
      <c r="Q58" s="23">
        <f t="shared" si="25"/>
        <v>1</v>
      </c>
      <c r="R58" s="27">
        <f t="shared" si="26"/>
        <v>0</v>
      </c>
      <c r="S58" s="23">
        <f t="shared" si="27"/>
        <v>10</v>
      </c>
      <c r="T58" s="22">
        <f t="shared" si="42"/>
        <v>1E+151</v>
      </c>
      <c r="U58" s="35" t="str">
        <f t="shared" si="43"/>
        <v/>
      </c>
      <c r="W58" s="23" t="str">
        <f t="shared" si="44"/>
        <v>→</v>
      </c>
      <c r="X58" s="24">
        <f t="shared" si="45"/>
        <v>13</v>
      </c>
      <c r="Y58" s="27" t="str">
        <f t="shared" si="46"/>
        <v>x1</v>
      </c>
      <c r="Z58" s="23">
        <f t="shared" si="28"/>
        <v>1</v>
      </c>
      <c r="AA58" s="23">
        <f t="shared" si="29"/>
        <v>0</v>
      </c>
      <c r="AB58" s="23">
        <f t="shared" si="30"/>
        <v>0</v>
      </c>
      <c r="AC58" s="23">
        <f t="shared" si="31"/>
        <v>0</v>
      </c>
      <c r="AD58" s="23">
        <f t="shared" si="32"/>
        <v>0</v>
      </c>
      <c r="AE58" s="23">
        <f t="shared" si="33"/>
        <v>0</v>
      </c>
      <c r="AF58" s="23">
        <f t="shared" si="34"/>
        <v>0</v>
      </c>
      <c r="AG58" s="23">
        <f t="shared" si="35"/>
        <v>0</v>
      </c>
      <c r="AH58" s="23">
        <f t="shared" si="36"/>
        <v>0</v>
      </c>
      <c r="AI58" s="23">
        <f t="shared" si="37"/>
        <v>1</v>
      </c>
      <c r="AJ58" s="23">
        <f t="shared" si="38"/>
        <v>0</v>
      </c>
      <c r="AK58" s="33">
        <f t="shared" si="39"/>
        <v>10</v>
      </c>
      <c r="AL58" s="56">
        <f t="shared" si="47"/>
        <v>10</v>
      </c>
      <c r="AM58" s="24" t="str">
        <f t="shared" si="48"/>
        <v/>
      </c>
      <c r="AO58" s="59" t="s">
        <v>22</v>
      </c>
    </row>
    <row r="59" spans="2:43" ht="15" thickBot="1" x14ac:dyDescent="0.35">
      <c r="D59" s="50" t="str">
        <f>IF(D60=H60,H55,IF(D60=I60,I55,IF(D60=J60,J55,IF(D60=K60,K55,IF(D60=L60,L55,IF(D60=M60,M55,IF(D60=N60,N55,IF(D60=O60,O55,IF(D60=P60,P55,IF(D60=Q60,Q55,IF(D60=R60,R55,"--__(O_o)__--")))))))))))</f>
        <v>d4</v>
      </c>
      <c r="E59" s="21" t="str">
        <f>IF($D$57=$T59,"→","")</f>
        <v/>
      </c>
      <c r="F59" s="24">
        <f t="shared" si="40"/>
        <v>63</v>
      </c>
      <c r="G59" s="27" t="str">
        <f t="shared" si="41"/>
        <v>x3</v>
      </c>
      <c r="H59" s="23">
        <f t="shared" si="16"/>
        <v>0</v>
      </c>
      <c r="I59" s="23">
        <f t="shared" si="17"/>
        <v>0</v>
      </c>
      <c r="J59" s="23">
        <f t="shared" si="18"/>
        <v>1</v>
      </c>
      <c r="K59" s="23">
        <f t="shared" si="19"/>
        <v>0</v>
      </c>
      <c r="L59" s="23">
        <f t="shared" si="20"/>
        <v>0</v>
      </c>
      <c r="M59" s="23">
        <f t="shared" si="21"/>
        <v>0</v>
      </c>
      <c r="N59" s="23">
        <f t="shared" si="22"/>
        <v>-1</v>
      </c>
      <c r="O59" s="23">
        <f t="shared" si="23"/>
        <v>0</v>
      </c>
      <c r="P59" s="23">
        <f t="shared" si="24"/>
        <v>0</v>
      </c>
      <c r="Q59" s="23">
        <f t="shared" si="25"/>
        <v>0</v>
      </c>
      <c r="R59" s="27">
        <f t="shared" si="26"/>
        <v>1</v>
      </c>
      <c r="S59" s="23">
        <f t="shared" si="27"/>
        <v>14</v>
      </c>
      <c r="T59" s="60">
        <f>IFERROR($S59/IF($H$60=$D$60,IF(H59&gt;0,H59,10^-150),IF($I$60=$D$60,IF(I59&gt;0,I59,10^-150),IF($J$60=$D$60,IF(J59&gt;0,J59,10^-150),IF($K$60=$D$60,IF(K59&gt;0,K59,10^-150),IF($L$60=$D$60,IF(L59&gt;0,L59,10^-150),IF($M$60=$D$60,IF(M59&gt;0,M59,10^-150),IF($N$60=$D$60,IF(N59&gt;0,N59,10^-150),IF($O$60=$D$60,IF(O59&gt;0,O59,10^-150),IF($P$60=$D$60,IF(P59&gt;0,P59,10^-150),IF($Q$60=$D$60,IF(Q59&gt;0,Q59,10^-150),IF($R$60=$D$60,IF(R59&gt;0,R59,10^-150),"Chyba"))))))))))),10^150)</f>
        <v>1.3999999999999999E+151</v>
      </c>
      <c r="U59" s="61">
        <f t="shared" si="43"/>
        <v>-1</v>
      </c>
      <c r="W59" s="23" t="str">
        <f t="shared" si="44"/>
        <v/>
      </c>
      <c r="X59" s="24">
        <f t="shared" si="45"/>
        <v>63</v>
      </c>
      <c r="Y59" s="27" t="str">
        <f t="shared" si="46"/>
        <v>x3</v>
      </c>
      <c r="Z59" s="23">
        <f t="shared" si="28"/>
        <v>0</v>
      </c>
      <c r="AA59" s="23">
        <f t="shared" si="29"/>
        <v>0.75</v>
      </c>
      <c r="AB59" s="23">
        <f t="shared" si="30"/>
        <v>1</v>
      </c>
      <c r="AC59" s="23">
        <f t="shared" si="31"/>
        <v>0</v>
      </c>
      <c r="AD59" s="23">
        <f t="shared" si="32"/>
        <v>0.125</v>
      </c>
      <c r="AE59" s="23">
        <f t="shared" si="33"/>
        <v>0</v>
      </c>
      <c r="AF59" s="23">
        <f t="shared" si="34"/>
        <v>0</v>
      </c>
      <c r="AG59" s="23">
        <f t="shared" si="35"/>
        <v>0</v>
      </c>
      <c r="AH59" s="23">
        <f t="shared" si="36"/>
        <v>0</v>
      </c>
      <c r="AI59" s="23">
        <f t="shared" si="37"/>
        <v>-1.125</v>
      </c>
      <c r="AJ59" s="23">
        <f t="shared" si="38"/>
        <v>0</v>
      </c>
      <c r="AK59" s="33">
        <f t="shared" si="39"/>
        <v>58.125</v>
      </c>
      <c r="AL59" s="57">
        <f t="shared" si="47"/>
        <v>5.8125E+151</v>
      </c>
      <c r="AM59" s="28">
        <f t="shared" si="48"/>
        <v>1</v>
      </c>
      <c r="AO59" s="50" t="str">
        <f>IF(AO60=Z60,Z55,IF(AO60=AA60,AA55,IF(AO60=AB60,AB55,IF(AO60=AC60,AC55,IF(AO60=AD60,AD55,IF(AO60=AE60,AE55,IF(AO60=AF60,AF55,IF(AO60=AG60,AG55,IF(AO60=AH60,AH55,IF(AO60=AI60,AI55,IF(AO60=AJ60,AJ55,"--__(O_o)__--")))))))))))</f>
        <v>p3</v>
      </c>
    </row>
    <row r="60" spans="2:43" ht="16.2" thickBot="1" x14ac:dyDescent="0.35">
      <c r="D60" s="39">
        <f>MIN(H60:R60)</f>
        <v>-63</v>
      </c>
      <c r="F60" s="339" t="s">
        <v>25</v>
      </c>
      <c r="G60" s="340"/>
      <c r="H60" s="36">
        <f>($F$56*H$56+$F$57*H$57+$F$58*H$58+$F$59*H$59)-H$54</f>
        <v>0</v>
      </c>
      <c r="I60" s="36">
        <f t="shared" ref="I60:S60" si="49">($F$56*I$56+$F$57*I$57+$F$58*I$58+$F$59*I$59)-I$54</f>
        <v>-41</v>
      </c>
      <c r="J60" s="36">
        <f t="shared" si="49"/>
        <v>0</v>
      </c>
      <c r="K60" s="36">
        <f t="shared" si="49"/>
        <v>0</v>
      </c>
      <c r="L60" s="36">
        <f t="shared" si="49"/>
        <v>0</v>
      </c>
      <c r="M60" s="36">
        <f t="shared" si="49"/>
        <v>0</v>
      </c>
      <c r="N60" s="36">
        <f t="shared" si="49"/>
        <v>-63</v>
      </c>
      <c r="O60" s="36">
        <f t="shared" si="49"/>
        <v>0</v>
      </c>
      <c r="P60" s="36">
        <f t="shared" si="49"/>
        <v>0</v>
      </c>
      <c r="Q60" s="36">
        <f t="shared" si="49"/>
        <v>113</v>
      </c>
      <c r="R60" s="46">
        <f t="shared" si="49"/>
        <v>163</v>
      </c>
      <c r="S60" s="69">
        <f t="shared" si="49"/>
        <v>1012</v>
      </c>
      <c r="T60" s="36"/>
      <c r="U60" s="38"/>
      <c r="W60" s="14"/>
      <c r="X60" s="339" t="s">
        <v>25</v>
      </c>
      <c r="Y60" s="340"/>
      <c r="Z60" s="36">
        <f>($X$56*Z$56+$X$57*Z$57+$X$58*Z$58+$X$59*Z$59)-Z$54</f>
        <v>0</v>
      </c>
      <c r="AA60" s="36">
        <f t="shared" ref="AA60:AK60" si="50">($X$56*AA$56+$X$57*AA$57+$X$58*AA$58+$X$59*AA$59)-AA$54</f>
        <v>6.25</v>
      </c>
      <c r="AB60" s="36">
        <f t="shared" si="50"/>
        <v>0</v>
      </c>
      <c r="AC60" s="36">
        <f t="shared" si="50"/>
        <v>0</v>
      </c>
      <c r="AD60" s="36">
        <f t="shared" si="50"/>
        <v>7.875</v>
      </c>
      <c r="AE60" s="36">
        <f t="shared" si="50"/>
        <v>0</v>
      </c>
      <c r="AF60" s="36">
        <f t="shared" si="50"/>
        <v>0</v>
      </c>
      <c r="AG60" s="36">
        <f t="shared" si="50"/>
        <v>0</v>
      </c>
      <c r="AH60" s="36">
        <f t="shared" si="50"/>
        <v>0</v>
      </c>
      <c r="AI60" s="36">
        <f t="shared" si="50"/>
        <v>42.125</v>
      </c>
      <c r="AJ60" s="36">
        <f t="shared" si="50"/>
        <v>100</v>
      </c>
      <c r="AK60" s="69">
        <f t="shared" si="50"/>
        <v>3791.875</v>
      </c>
      <c r="AL60" s="36"/>
      <c r="AM60" s="38"/>
      <c r="AO60" s="39">
        <f>MIN(Z60:AJ60)</f>
        <v>0</v>
      </c>
    </row>
    <row r="62" spans="2:43" x14ac:dyDescent="0.3">
      <c r="F62" s="335" t="s">
        <v>23</v>
      </c>
      <c r="G62" s="336"/>
      <c r="H62" s="19">
        <f>IF($E$56="→",H$56,IF($E$57="→",H$57,IF($E$58="→",H$58,IF($E$59="→",H$59,""))))</f>
        <v>0</v>
      </c>
      <c r="I62" s="26">
        <f t="shared" ref="I62:S62" si="51">IF($E$56="→",I$56,IF($E$57="→",I$57,IF($E$58="→",I$58,IF($E$59="→",I$59,""))))</f>
        <v>6</v>
      </c>
      <c r="J62" s="26">
        <f t="shared" si="51"/>
        <v>0</v>
      </c>
      <c r="K62" s="26">
        <f t="shared" si="51"/>
        <v>0</v>
      </c>
      <c r="L62" s="26">
        <f t="shared" si="51"/>
        <v>1</v>
      </c>
      <c r="M62" s="26">
        <f t="shared" si="51"/>
        <v>0</v>
      </c>
      <c r="N62" s="26">
        <f t="shared" si="51"/>
        <v>8</v>
      </c>
      <c r="O62" s="26">
        <f t="shared" si="51"/>
        <v>0</v>
      </c>
      <c r="P62" s="26">
        <f t="shared" si="51"/>
        <v>0</v>
      </c>
      <c r="Q62" s="26">
        <f t="shared" si="51"/>
        <v>-9</v>
      </c>
      <c r="R62" s="26">
        <f t="shared" si="51"/>
        <v>-8</v>
      </c>
      <c r="S62" s="26">
        <f t="shared" si="51"/>
        <v>353</v>
      </c>
      <c r="T62" s="21"/>
      <c r="U62" s="14"/>
      <c r="W62" s="14"/>
      <c r="X62" s="9"/>
      <c r="Z62" s="15" t="str" cm="1">
        <f t="array" ref="Z62:AJ62">H41:R41</f>
        <v>x1</v>
      </c>
      <c r="AA62" s="15" t="str">
        <v>x2</v>
      </c>
      <c r="AB62" s="15" t="str">
        <v>x3</v>
      </c>
      <c r="AC62" s="15" t="str">
        <v>d1</v>
      </c>
      <c r="AD62" s="15" t="str">
        <v>d2</v>
      </c>
      <c r="AE62" s="15" t="str">
        <v/>
      </c>
      <c r="AF62" s="15" t="str">
        <v>d4</v>
      </c>
      <c r="AG62" s="15" t="str">
        <v/>
      </c>
      <c r="AH62" s="15" t="str">
        <v/>
      </c>
      <c r="AI62" s="15" t="str">
        <v>p3</v>
      </c>
      <c r="AJ62" s="15" t="str">
        <v>p4</v>
      </c>
    </row>
    <row r="63" spans="2:43" ht="15.6" x14ac:dyDescent="0.3">
      <c r="F63" s="337"/>
      <c r="G63" s="338"/>
      <c r="H63" s="19">
        <f>IF($E$56="→",IF($U$56&lt;&gt;"",H$56/$U$56,H$56),IF($E$57="→",IF($U$57&lt;&gt;"",H$57/$U$57,H$57),IF($E$58="→",IF($U$58&lt;&gt;"",H$58/$U$58,H$58),IF($E$59="→",IF($U$59&lt;&gt;"",H$59/$U$59,H$59),""))))</f>
        <v>0</v>
      </c>
      <c r="I63" s="26">
        <f t="shared" ref="I63:S63" si="52">IF($E$56="→",IF($U$56&lt;&gt;"",I$56/$U$56,I$56),IF($E$57="→",IF($U$57&lt;&gt;"",I$57/$U$57,I$57),IF($E$58="→",IF($U$58&lt;&gt;"",I$58/$U$58,I$58),IF($E$59="→",IF($U$59&lt;&gt;"",I$59/$U$59,I$59),""))))</f>
        <v>0.75</v>
      </c>
      <c r="J63" s="26">
        <f t="shared" si="52"/>
        <v>0</v>
      </c>
      <c r="K63" s="26">
        <f t="shared" si="52"/>
        <v>0</v>
      </c>
      <c r="L63" s="26">
        <f t="shared" si="52"/>
        <v>0.125</v>
      </c>
      <c r="M63" s="26">
        <f t="shared" si="52"/>
        <v>0</v>
      </c>
      <c r="N63" s="26">
        <f t="shared" si="52"/>
        <v>1</v>
      </c>
      <c r="O63" s="26">
        <f t="shared" si="52"/>
        <v>0</v>
      </c>
      <c r="P63" s="26">
        <f t="shared" si="52"/>
        <v>0</v>
      </c>
      <c r="Q63" s="26">
        <f t="shared" si="52"/>
        <v>-1.125</v>
      </c>
      <c r="R63" s="26">
        <f t="shared" si="52"/>
        <v>-1</v>
      </c>
      <c r="S63" s="26">
        <f t="shared" si="52"/>
        <v>44.125</v>
      </c>
      <c r="Y63" s="15" t="s">
        <v>21</v>
      </c>
      <c r="Z63" s="10">
        <f>IF($Y56=H$41,$AK56,IF($Y57=H$41,$AK57,IF($Y58=H$41,$AK58,IF($Y59=H$41,$AK59,0))))</f>
        <v>10</v>
      </c>
      <c r="AA63" s="10">
        <f t="shared" ref="AA63:AJ63" si="53">IF($Y56=I$41,$AK56,IF($Y57=I$41,$AK57,IF($Y58=I$41,$AK58,IF($Y59=I$41,$AK59,0))))</f>
        <v>0</v>
      </c>
      <c r="AB63" s="10">
        <f t="shared" si="53"/>
        <v>58.125</v>
      </c>
      <c r="AC63" s="10">
        <f t="shared" si="53"/>
        <v>1.3749999999999982</v>
      </c>
      <c r="AD63" s="10">
        <f t="shared" si="53"/>
        <v>0</v>
      </c>
      <c r="AE63" s="10">
        <f t="shared" si="53"/>
        <v>0</v>
      </c>
      <c r="AF63" s="10">
        <f t="shared" si="53"/>
        <v>44.125</v>
      </c>
      <c r="AG63" s="10">
        <f t="shared" si="53"/>
        <v>0</v>
      </c>
      <c r="AH63" s="10">
        <f t="shared" si="53"/>
        <v>0</v>
      </c>
      <c r="AI63" s="10">
        <f t="shared" si="53"/>
        <v>0</v>
      </c>
      <c r="AJ63" s="10">
        <f t="shared" si="53"/>
        <v>0</v>
      </c>
    </row>
    <row r="65" spans="25:26" x14ac:dyDescent="0.3">
      <c r="Y65" s="15" t="s">
        <v>8</v>
      </c>
      <c r="Z65" s="10">
        <f>$AK$60</f>
        <v>3791.875</v>
      </c>
    </row>
  </sheetData>
  <dataConsolidate/>
  <mergeCells count="14">
    <mergeCell ref="F48:G49"/>
    <mergeCell ref="F46:G46"/>
    <mergeCell ref="F62:G63"/>
    <mergeCell ref="F60:G60"/>
    <mergeCell ref="W52:AQ52"/>
    <mergeCell ref="X60:Y60"/>
    <mergeCell ref="X46:Y46"/>
    <mergeCell ref="X48:Y49"/>
    <mergeCell ref="B52:U52"/>
    <mergeCell ref="B4:M4"/>
    <mergeCell ref="B15:T15"/>
    <mergeCell ref="B26:AB26"/>
    <mergeCell ref="W38:AQ38"/>
    <mergeCell ref="B38:U38"/>
  </mergeCells>
  <phoneticPr fontId="6" type="noConversion"/>
  <conditionalFormatting sqref="Z42:AL45">
    <cfRule type="expression" dxfId="13" priority="12">
      <formula>$AO$43=MIN(ABS($AL42))</formula>
    </cfRule>
  </conditionalFormatting>
  <conditionalFormatting sqref="Z42:AJ46">
    <cfRule type="expression" dxfId="12" priority="11">
      <formula>$AO$46=MIN(Z$46)</formula>
    </cfRule>
  </conditionalFormatting>
  <conditionalFormatting sqref="H46:R46">
    <cfRule type="cellIs" dxfId="11" priority="7" operator="greaterThanOrEqual">
      <formula>0</formula>
    </cfRule>
  </conditionalFormatting>
  <conditionalFormatting sqref="Z46:AK46">
    <cfRule type="cellIs" dxfId="10" priority="6" operator="greaterThanOrEqual">
      <formula>0</formula>
    </cfRule>
  </conditionalFormatting>
  <conditionalFormatting sqref="H60:S60">
    <cfRule type="cellIs" dxfId="9" priority="5" operator="greaterThanOrEqual">
      <formula>0</formula>
    </cfRule>
  </conditionalFormatting>
  <conditionalFormatting sqref="H46:S46">
    <cfRule type="cellIs" dxfId="8" priority="4" operator="lessThan">
      <formula>0</formula>
    </cfRule>
  </conditionalFormatting>
  <conditionalFormatting sqref="Z46:AK46">
    <cfRule type="cellIs" dxfId="7" priority="3" operator="lessThan">
      <formula>0</formula>
    </cfRule>
  </conditionalFormatting>
  <conditionalFormatting sqref="H60:S60">
    <cfRule type="cellIs" dxfId="6" priority="2" operator="lessThan">
      <formula>0</formula>
    </cfRule>
  </conditionalFormatting>
  <conditionalFormatting sqref="Z60:AK60">
    <cfRule type="cellIs" dxfId="5" priority="1" operator="lessThan">
      <formula>0</formula>
    </cfRule>
    <cfRule type="cellIs" dxfId="4" priority="8" operator="greaterThanOrEqual">
      <formula>0</formula>
    </cfRule>
  </conditionalFormatting>
  <conditionalFormatting sqref="H42:R46">
    <cfRule type="expression" dxfId="3" priority="20">
      <formula>$D$46=MIN(H$46)</formula>
    </cfRule>
  </conditionalFormatting>
  <conditionalFormatting sqref="H42:T45">
    <cfRule type="expression" dxfId="2" priority="21">
      <formula>$D$43=MIN(ABS($T42))</formula>
    </cfRule>
  </conditionalFormatting>
  <conditionalFormatting sqref="H56:R60">
    <cfRule type="expression" dxfId="1" priority="22">
      <formula>$D$60=MIN(H$60)</formula>
    </cfRule>
  </conditionalFormatting>
  <conditionalFormatting sqref="H56:T59">
    <cfRule type="expression" dxfId="0" priority="23">
      <formula>$D$57=MIN(ABS($T56))</formula>
    </cfRule>
  </conditionalFormatting>
  <pageMargins left="0.7" right="0.7" top="0.78740157499999996" bottom="0.78740157499999996"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Zmrzlina_MAX</vt:lpstr>
      <vt:lpstr>Klic_Zmrzlina_MAX</vt:lpstr>
      <vt:lpstr>Zmrzlina_MIN</vt:lpstr>
      <vt:lpstr>Klic_Zmrzlina_MIN</vt:lpstr>
      <vt:lpstr>Univerzální kalkulačka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Ryjant Daniel (S-PEF)</dc:creator>
  <cp:lastModifiedBy>Daniel R.</cp:lastModifiedBy>
  <dcterms:created xsi:type="dcterms:W3CDTF">2021-05-28T09:09:40Z</dcterms:created>
  <dcterms:modified xsi:type="dcterms:W3CDTF">2022-03-07T10:13:44Z</dcterms:modified>
</cp:coreProperties>
</file>