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9203f46bff971a20/Рабочий стол/Illia/"/>
    </mc:Choice>
  </mc:AlternateContent>
  <xr:revisionPtr revIDLastSave="13879" documentId="8_{2A16BA62-E912-43E8-A622-9EE33CF66F9F}" xr6:coauthVersionLast="47" xr6:coauthVersionMax="47" xr10:uidLastSave="{52E687B2-9B77-4DB2-B139-D3BC5CDA5170}"/>
  <bookViews>
    <workbookView xWindow="-108" yWindow="-108" windowWidth="23256" windowHeight="12456" firstSheet="38" activeTab="44" xr2:uid="{00000000-000D-0000-FFFF-FFFF00000000}"/>
  </bookViews>
  <sheets>
    <sheet name="Data" sheetId="1" r:id="rId1"/>
    <sheet name="Statistiky" sheetId="2" r:id="rId2"/>
    <sheet name="CS 1" sheetId="8" r:id="rId3"/>
    <sheet name="CS 2" sheetId="9" r:id="rId4"/>
    <sheet name="CS 3" sheetId="10" r:id="rId5"/>
    <sheet name="CS 4" sheetId="11" r:id="rId6"/>
    <sheet name="CS 5" sheetId="12" r:id="rId7"/>
    <sheet name="CS 6" sheetId="13" r:id="rId8"/>
    <sheet name="CS 7" sheetId="14" r:id="rId9"/>
    <sheet name="CS 8" sheetId="15" r:id="rId10"/>
    <sheet name="CS 9" sheetId="16" r:id="rId11"/>
    <sheet name="CS 10" sheetId="17" r:id="rId12"/>
    <sheet name="CS 11" sheetId="18" r:id="rId13"/>
    <sheet name="CS 12" sheetId="19" r:id="rId14"/>
    <sheet name="CS 13" sheetId="20" r:id="rId15"/>
    <sheet name="CS 14" sheetId="21" r:id="rId16"/>
    <sheet name="CS 15" sheetId="22" r:id="rId17"/>
    <sheet name="CS 16" sheetId="23" r:id="rId18"/>
    <sheet name="CS 17" sheetId="24" r:id="rId19"/>
    <sheet name="CS 18" sheetId="25" r:id="rId20"/>
    <sheet name="Výpočty CCR" sheetId="3" r:id="rId21"/>
    <sheet name="Interpretace CCR" sheetId="26" r:id="rId22"/>
    <sheet name="Zlepšení CCR" sheetId="28" r:id="rId23"/>
    <sheet name="CS 1 BCC" sheetId="53" r:id="rId24"/>
    <sheet name="CS 2 BCC" sheetId="54" r:id="rId25"/>
    <sheet name="CS 3 BCC" sheetId="55" r:id="rId26"/>
    <sheet name="CS 4 BCC" sheetId="56" r:id="rId27"/>
    <sheet name="CS 5 BCC" sheetId="57" r:id="rId28"/>
    <sheet name="CS 6 BCC" sheetId="58" r:id="rId29"/>
    <sheet name="CS 7 BCC" sheetId="59" r:id="rId30"/>
    <sheet name="CS 8 BCC" sheetId="60" r:id="rId31"/>
    <sheet name="CS 9 BCC" sheetId="61" r:id="rId32"/>
    <sheet name="CS 10 BCC" sheetId="62" r:id="rId33"/>
    <sheet name="CS 11 BCC" sheetId="63" r:id="rId34"/>
    <sheet name="CS 12 BCC" sheetId="64" r:id="rId35"/>
    <sheet name="CS 13 BCC" sheetId="65" r:id="rId36"/>
    <sheet name="CS 14 BCC" sheetId="66" r:id="rId37"/>
    <sheet name="CS 15 BCC" sheetId="67" r:id="rId38"/>
    <sheet name="CS 16 BCC" sheetId="68" r:id="rId39"/>
    <sheet name="CS 17 BCC" sheetId="69" r:id="rId40"/>
    <sheet name="CS 18 BCC" sheetId="70" r:id="rId41"/>
    <sheet name="Výpočty BCC" sheetId="27" r:id="rId42"/>
    <sheet name="Interpretace BCC" sheetId="50" r:id="rId43"/>
    <sheet name="Zlepšení BCC" sheetId="51" r:id="rId44"/>
    <sheet name="Výsledky" sheetId="71" r:id="rId45"/>
  </sheets>
  <definedNames>
    <definedName name="solver_adj" localSheetId="41" hidden="1">'Výpočty BCC'!$D$27:$H$27</definedName>
    <definedName name="solver_adj" localSheetId="20" hidden="1">'Výpočty CCR'!$L$29:$O$29</definedName>
    <definedName name="solver_cvg" localSheetId="41" hidden="1">0.0001</definedName>
    <definedName name="solver_cvg" localSheetId="20" hidden="1">0.0001</definedName>
    <definedName name="solver_drv" localSheetId="41" hidden="1">1</definedName>
    <definedName name="solver_drv" localSheetId="20" hidden="1">2</definedName>
    <definedName name="solver_eng" localSheetId="41" hidden="1">2</definedName>
    <definedName name="solver_eng" localSheetId="20" hidden="1">2</definedName>
    <definedName name="solver_est" localSheetId="41" hidden="1">1</definedName>
    <definedName name="solver_est" localSheetId="20" hidden="1">1</definedName>
    <definedName name="solver_itr" localSheetId="41" hidden="1">2147483647</definedName>
    <definedName name="solver_itr" localSheetId="20" hidden="1">2147483647</definedName>
    <definedName name="solver_lhs1" localSheetId="41" hidden="1">'Výpočty BCC'!$M$43</definedName>
    <definedName name="solver_lhs1" localSheetId="20" hidden="1">'Výpočty CCR'!$S$44</definedName>
    <definedName name="solver_lhs2" localSheetId="41" hidden="1">'Výpočty BCC'!$M$5:$M$22</definedName>
    <definedName name="solver_lhs2" localSheetId="20" hidden="1">'Výpočty CCR'!$S$7:$S$24</definedName>
    <definedName name="solver_mip" localSheetId="41" hidden="1">2147483647</definedName>
    <definedName name="solver_mip" localSheetId="20" hidden="1">2147483647</definedName>
    <definedName name="solver_mni" localSheetId="41" hidden="1">30</definedName>
    <definedName name="solver_mni" localSheetId="20" hidden="1">30</definedName>
    <definedName name="solver_mrt" localSheetId="41" hidden="1">0.075</definedName>
    <definedName name="solver_mrt" localSheetId="20" hidden="1">0.075</definedName>
    <definedName name="solver_msl" localSheetId="41" hidden="1">2</definedName>
    <definedName name="solver_msl" localSheetId="20" hidden="1">2</definedName>
    <definedName name="solver_neg" localSheetId="41" hidden="1">1</definedName>
    <definedName name="solver_neg" localSheetId="20" hidden="1">1</definedName>
    <definedName name="solver_nod" localSheetId="41" hidden="1">2147483647</definedName>
    <definedName name="solver_nod" localSheetId="20" hidden="1">2147483647</definedName>
    <definedName name="solver_num" localSheetId="41" hidden="1">2</definedName>
    <definedName name="solver_num" localSheetId="20" hidden="1">2</definedName>
    <definedName name="solver_nwt" localSheetId="41" hidden="1">1</definedName>
    <definedName name="solver_nwt" localSheetId="20" hidden="1">1</definedName>
    <definedName name="solver_opt" localSheetId="41" hidden="1">'Výpočty BCC'!$H$22</definedName>
    <definedName name="solver_opt" localSheetId="20" hidden="1">'Výpočty CCR'!$P$24</definedName>
    <definedName name="solver_pre" localSheetId="41" hidden="1">0.000001</definedName>
    <definedName name="solver_pre" localSheetId="20" hidden="1">0.000001</definedName>
    <definedName name="solver_rbv" localSheetId="41" hidden="1">1</definedName>
    <definedName name="solver_rbv" localSheetId="20" hidden="1">2</definedName>
    <definedName name="solver_rel1" localSheetId="41" hidden="1">2</definedName>
    <definedName name="solver_rel1" localSheetId="20" hidden="1">2</definedName>
    <definedName name="solver_rel2" localSheetId="41" hidden="1">1</definedName>
    <definedName name="solver_rel2" localSheetId="20" hidden="1">1</definedName>
    <definedName name="solver_rhs1" localSheetId="41" hidden="1">1</definedName>
    <definedName name="solver_rhs1" localSheetId="20" hidden="1">1</definedName>
    <definedName name="solver_rhs2" localSheetId="41" hidden="1">0</definedName>
    <definedName name="solver_rhs2" localSheetId="20" hidden="1">0</definedName>
    <definedName name="solver_rlx" localSheetId="41" hidden="1">2</definedName>
    <definedName name="solver_rlx" localSheetId="20" hidden="1">2</definedName>
    <definedName name="solver_rsd" localSheetId="41" hidden="1">0</definedName>
    <definedName name="solver_rsd" localSheetId="20" hidden="1">0</definedName>
    <definedName name="solver_scl" localSheetId="41" hidden="1">1</definedName>
    <definedName name="solver_scl" localSheetId="20" hidden="1">2</definedName>
    <definedName name="solver_sho" localSheetId="41" hidden="1">2</definedName>
    <definedName name="solver_sho" localSheetId="20" hidden="1">2</definedName>
    <definedName name="solver_ssz" localSheetId="41" hidden="1">100</definedName>
    <definedName name="solver_ssz" localSheetId="20" hidden="1">100</definedName>
    <definedName name="solver_tim" localSheetId="41" hidden="1">2147483647</definedName>
    <definedName name="solver_tim" localSheetId="20" hidden="1">2147483647</definedName>
    <definedName name="solver_tol" localSheetId="41" hidden="1">0.01</definedName>
    <definedName name="solver_tol" localSheetId="20" hidden="1">0.01</definedName>
    <definedName name="solver_typ" localSheetId="41" hidden="1">1</definedName>
    <definedName name="solver_typ" localSheetId="20" hidden="1">1</definedName>
    <definedName name="solver_val" localSheetId="41" hidden="1">0</definedName>
    <definedName name="solver_val" localSheetId="20" hidden="1">0</definedName>
    <definedName name="solver_ver" localSheetId="41" hidden="1">3</definedName>
    <definedName name="solver_ver" localSheetId="2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71" l="1"/>
  <c r="D6" i="71"/>
  <c r="D7" i="71"/>
  <c r="D8" i="71"/>
  <c r="D9" i="71"/>
  <c r="D10" i="71"/>
  <c r="D11" i="71"/>
  <c r="D12" i="71"/>
  <c r="D13" i="71"/>
  <c r="D14" i="71"/>
  <c r="D15" i="71"/>
  <c r="D16" i="71"/>
  <c r="D17" i="71"/>
  <c r="D18" i="71"/>
  <c r="D19" i="71"/>
  <c r="D20" i="71"/>
  <c r="D21" i="71"/>
  <c r="D4" i="71"/>
  <c r="K37" i="51"/>
  <c r="K39" i="51" s="1"/>
  <c r="K36" i="51"/>
  <c r="K38" i="51" s="1"/>
  <c r="J37" i="51"/>
  <c r="J39" i="51" s="1"/>
  <c r="J36" i="51"/>
  <c r="J38" i="51" s="1"/>
  <c r="I37" i="51"/>
  <c r="I39" i="51" s="1"/>
  <c r="I36" i="51"/>
  <c r="I38" i="51" s="1"/>
  <c r="L37" i="51"/>
  <c r="L39" i="51" s="1"/>
  <c r="L36" i="51"/>
  <c r="L38" i="51" s="1"/>
  <c r="H37" i="51"/>
  <c r="H39" i="51" s="1"/>
  <c r="H36" i="51"/>
  <c r="H38" i="51" s="1"/>
  <c r="G37" i="51"/>
  <c r="G39" i="51" s="1"/>
  <c r="G36" i="51"/>
  <c r="G38" i="51" s="1"/>
  <c r="F37" i="51"/>
  <c r="F39" i="51" s="1"/>
  <c r="F36" i="51"/>
  <c r="F38" i="51" s="1"/>
  <c r="E37" i="51"/>
  <c r="E39" i="51" s="1"/>
  <c r="E36" i="51"/>
  <c r="E38" i="51" s="1"/>
  <c r="D38" i="51"/>
  <c r="D37" i="51"/>
  <c r="D39" i="51" s="1"/>
  <c r="D36" i="51"/>
  <c r="C37" i="51"/>
  <c r="C39" i="51" s="1"/>
  <c r="C36" i="51"/>
  <c r="C38" i="51" s="1"/>
  <c r="E49" i="50"/>
  <c r="E50" i="50"/>
  <c r="E51" i="50"/>
  <c r="E52" i="50"/>
  <c r="E53" i="50"/>
  <c r="E54" i="50"/>
  <c r="E55" i="50"/>
  <c r="E56" i="50"/>
  <c r="E57" i="50"/>
  <c r="E58" i="50"/>
  <c r="E59" i="50"/>
  <c r="E60" i="50"/>
  <c r="E61" i="50"/>
  <c r="E62" i="50"/>
  <c r="E63" i="50"/>
  <c r="E64" i="50"/>
  <c r="E65" i="50"/>
  <c r="E48" i="50"/>
  <c r="D49" i="50"/>
  <c r="D50" i="50"/>
  <c r="D51" i="50"/>
  <c r="D52" i="50"/>
  <c r="D53" i="50"/>
  <c r="D54" i="50"/>
  <c r="D55" i="50"/>
  <c r="D56" i="50"/>
  <c r="D57" i="50"/>
  <c r="D58" i="50"/>
  <c r="D59" i="50"/>
  <c r="D60" i="50"/>
  <c r="D61" i="50"/>
  <c r="D62" i="50"/>
  <c r="D63" i="50"/>
  <c r="D64" i="50"/>
  <c r="D65" i="50"/>
  <c r="D48" i="50"/>
  <c r="F28" i="50"/>
  <c r="F29" i="50"/>
  <c r="F30" i="50"/>
  <c r="F31" i="50"/>
  <c r="F32" i="50"/>
  <c r="F33" i="50"/>
  <c r="F34" i="50"/>
  <c r="F35" i="50"/>
  <c r="F36" i="50"/>
  <c r="F37" i="50"/>
  <c r="F38" i="50"/>
  <c r="F39" i="50"/>
  <c r="F40" i="50"/>
  <c r="F41" i="50"/>
  <c r="F42" i="50"/>
  <c r="F43" i="50"/>
  <c r="F44" i="50"/>
  <c r="F27" i="50"/>
  <c r="E28" i="50"/>
  <c r="E29" i="50"/>
  <c r="E30" i="50"/>
  <c r="E31" i="50"/>
  <c r="E32" i="50"/>
  <c r="E33" i="50"/>
  <c r="E34" i="50"/>
  <c r="E35" i="50"/>
  <c r="E36" i="50"/>
  <c r="E37" i="50"/>
  <c r="E38" i="50"/>
  <c r="E39" i="50"/>
  <c r="E40" i="50"/>
  <c r="E41" i="50"/>
  <c r="E42" i="50"/>
  <c r="E43" i="50"/>
  <c r="E44" i="50"/>
  <c r="E27" i="50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41" i="27"/>
  <c r="M42" i="27"/>
  <c r="M43" i="27"/>
  <c r="M26" i="27"/>
  <c r="M6" i="27"/>
  <c r="M7" i="27"/>
  <c r="M8" i="27"/>
  <c r="M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2" i="27"/>
  <c r="M5" i="27"/>
  <c r="H6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5" i="27"/>
  <c r="E6" i="50"/>
  <c r="E7" i="50"/>
  <c r="E8" i="50"/>
  <c r="E9" i="50"/>
  <c r="E10" i="50"/>
  <c r="E11" i="50"/>
  <c r="E12" i="50"/>
  <c r="E13" i="50"/>
  <c r="E14" i="50"/>
  <c r="E15" i="50"/>
  <c r="E16" i="50"/>
  <c r="E17" i="50"/>
  <c r="E18" i="50"/>
  <c r="E19" i="50"/>
  <c r="E20" i="50"/>
  <c r="E21" i="50"/>
  <c r="E22" i="50"/>
  <c r="E5" i="50"/>
  <c r="F6" i="50"/>
  <c r="F7" i="50"/>
  <c r="F8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5" i="50"/>
  <c r="E13" i="26"/>
  <c r="K37" i="28"/>
  <c r="K39" i="28" s="1"/>
  <c r="K36" i="28"/>
  <c r="K38" i="28" s="1"/>
  <c r="L37" i="28"/>
  <c r="L39" i="28" s="1"/>
  <c r="L36" i="28"/>
  <c r="L38" i="28" s="1"/>
  <c r="J37" i="28"/>
  <c r="J39" i="28" s="1"/>
  <c r="J36" i="28"/>
  <c r="J38" i="28" s="1"/>
  <c r="I37" i="28"/>
  <c r="I39" i="28" s="1"/>
  <c r="I36" i="28"/>
  <c r="I38" i="28" s="1"/>
  <c r="H37" i="28"/>
  <c r="H39" i="28" s="1"/>
  <c r="H36" i="28"/>
  <c r="H38" i="28" s="1"/>
  <c r="G37" i="28"/>
  <c r="G39" i="28" s="1"/>
  <c r="G36" i="28"/>
  <c r="G38" i="28" s="1"/>
  <c r="F37" i="28"/>
  <c r="F39" i="28" s="1"/>
  <c r="F36" i="28"/>
  <c r="F38" i="28" s="1"/>
  <c r="E37" i="28"/>
  <c r="E39" i="28" s="1"/>
  <c r="E36" i="28"/>
  <c r="E38" i="28" s="1"/>
  <c r="D37" i="28"/>
  <c r="D39" i="28" s="1"/>
  <c r="D36" i="28"/>
  <c r="D38" i="28" s="1"/>
  <c r="C37" i="28"/>
  <c r="C39" i="28" s="1"/>
  <c r="C36" i="28"/>
  <c r="C38" i="28" s="1"/>
  <c r="J11" i="26"/>
  <c r="J20" i="26"/>
  <c r="J24" i="26"/>
  <c r="J12" i="26"/>
  <c r="J22" i="26"/>
  <c r="J28" i="26"/>
  <c r="J27" i="26"/>
  <c r="J13" i="26"/>
  <c r="J23" i="26"/>
  <c r="J14" i="26"/>
  <c r="J26" i="26"/>
  <c r="J15" i="26"/>
  <c r="J19" i="26"/>
  <c r="J16" i="26"/>
  <c r="J17" i="26"/>
  <c r="J25" i="26"/>
  <c r="J18" i="26"/>
  <c r="J21" i="26"/>
  <c r="S27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U90" i="3"/>
  <c r="U89" i="3"/>
  <c r="U88" i="3"/>
  <c r="U87" i="3"/>
  <c r="U86" i="3"/>
  <c r="U85" i="3"/>
  <c r="U84" i="3"/>
  <c r="U83" i="3"/>
  <c r="U82" i="3"/>
  <c r="U81" i="3"/>
  <c r="U80" i="3"/>
  <c r="U79" i="3"/>
  <c r="U78" i="3"/>
  <c r="U77" i="3"/>
  <c r="U76" i="3"/>
  <c r="U75" i="3"/>
  <c r="U74" i="3"/>
  <c r="U73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S69" i="3"/>
  <c r="R69" i="3"/>
  <c r="P69" i="3"/>
  <c r="O69" i="3"/>
  <c r="S68" i="3"/>
  <c r="R68" i="3"/>
  <c r="P68" i="3"/>
  <c r="O68" i="3"/>
  <c r="S67" i="3"/>
  <c r="R67" i="3"/>
  <c r="P67" i="3"/>
  <c r="O67" i="3"/>
  <c r="S66" i="3"/>
  <c r="R66" i="3"/>
  <c r="P66" i="3"/>
  <c r="O66" i="3"/>
  <c r="S65" i="3"/>
  <c r="R65" i="3"/>
  <c r="P65" i="3"/>
  <c r="O65" i="3"/>
  <c r="S64" i="3"/>
  <c r="R64" i="3"/>
  <c r="P64" i="3"/>
  <c r="O64" i="3"/>
  <c r="S63" i="3"/>
  <c r="R63" i="3"/>
  <c r="P63" i="3"/>
  <c r="O63" i="3"/>
  <c r="S62" i="3"/>
  <c r="R62" i="3"/>
  <c r="P62" i="3"/>
  <c r="O62" i="3"/>
  <c r="S61" i="3"/>
  <c r="R61" i="3"/>
  <c r="P61" i="3"/>
  <c r="O61" i="3"/>
  <c r="S60" i="3"/>
  <c r="R60" i="3"/>
  <c r="P60" i="3"/>
  <c r="O60" i="3"/>
  <c r="S59" i="3"/>
  <c r="R59" i="3"/>
  <c r="P59" i="3"/>
  <c r="O59" i="3"/>
  <c r="S58" i="3"/>
  <c r="R58" i="3"/>
  <c r="P58" i="3"/>
  <c r="O58" i="3"/>
  <c r="S57" i="3"/>
  <c r="R57" i="3"/>
  <c r="P57" i="3"/>
  <c r="O57" i="3"/>
  <c r="S56" i="3"/>
  <c r="R56" i="3"/>
  <c r="P56" i="3"/>
  <c r="O56" i="3"/>
  <c r="S55" i="3"/>
  <c r="R55" i="3"/>
  <c r="P55" i="3"/>
  <c r="O55" i="3"/>
  <c r="S54" i="3"/>
  <c r="R54" i="3"/>
  <c r="P54" i="3"/>
  <c r="O54" i="3"/>
  <c r="S53" i="3"/>
  <c r="R53" i="3"/>
  <c r="P53" i="3"/>
  <c r="O53" i="3"/>
  <c r="S52" i="3"/>
  <c r="R52" i="3"/>
  <c r="P52" i="3"/>
  <c r="O52" i="3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E12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11" i="26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F21" i="3"/>
  <c r="O24" i="3" s="1"/>
  <c r="E21" i="3"/>
  <c r="C21" i="3"/>
  <c r="B21" i="3"/>
  <c r="L24" i="3" s="1"/>
  <c r="S44" i="3" s="1"/>
  <c r="F20" i="3"/>
  <c r="O23" i="3" s="1"/>
  <c r="E20" i="3"/>
  <c r="C20" i="3"/>
  <c r="B20" i="3"/>
  <c r="L23" i="3" s="1"/>
  <c r="F19" i="3"/>
  <c r="O22" i="3" s="1"/>
  <c r="E19" i="3"/>
  <c r="C19" i="3"/>
  <c r="B19" i="3"/>
  <c r="L22" i="3" s="1"/>
  <c r="F18" i="3"/>
  <c r="O21" i="3" s="1"/>
  <c r="E18" i="3"/>
  <c r="C18" i="3"/>
  <c r="B18" i="3"/>
  <c r="L21" i="3" s="1"/>
  <c r="F17" i="3"/>
  <c r="O20" i="3" s="1"/>
  <c r="E17" i="3"/>
  <c r="C17" i="3"/>
  <c r="B17" i="3"/>
  <c r="L20" i="3" s="1"/>
  <c r="F16" i="3"/>
  <c r="O19" i="3" s="1"/>
  <c r="E16" i="3"/>
  <c r="C16" i="3"/>
  <c r="B16" i="3"/>
  <c r="L19" i="3" s="1"/>
  <c r="S39" i="3" s="1"/>
  <c r="F15" i="3"/>
  <c r="O18" i="3" s="1"/>
  <c r="P18" i="3" s="1"/>
  <c r="E15" i="3"/>
  <c r="C15" i="3"/>
  <c r="B15" i="3"/>
  <c r="L18" i="3" s="1"/>
  <c r="S38" i="3" s="1"/>
  <c r="F14" i="3"/>
  <c r="O17" i="3" s="1"/>
  <c r="P17" i="3" s="1"/>
  <c r="E14" i="3"/>
  <c r="C14" i="3"/>
  <c r="B14" i="3"/>
  <c r="L17" i="3" s="1"/>
  <c r="F13" i="3"/>
  <c r="O16" i="3" s="1"/>
  <c r="E13" i="3"/>
  <c r="C13" i="3"/>
  <c r="B13" i="3"/>
  <c r="L16" i="3" s="1"/>
  <c r="F12" i="3"/>
  <c r="O15" i="3" s="1"/>
  <c r="E12" i="3"/>
  <c r="C12" i="3"/>
  <c r="B12" i="3"/>
  <c r="L15" i="3" s="1"/>
  <c r="F11" i="3"/>
  <c r="O14" i="3" s="1"/>
  <c r="E11" i="3"/>
  <c r="C11" i="3"/>
  <c r="B11" i="3"/>
  <c r="L14" i="3" s="1"/>
  <c r="F10" i="3"/>
  <c r="O13" i="3" s="1"/>
  <c r="E10" i="3"/>
  <c r="C10" i="3"/>
  <c r="B10" i="3"/>
  <c r="L13" i="3" s="1"/>
  <c r="S33" i="3" s="1"/>
  <c r="F9" i="3"/>
  <c r="O12" i="3" s="1"/>
  <c r="E9" i="3"/>
  <c r="C9" i="3"/>
  <c r="B9" i="3"/>
  <c r="L12" i="3" s="1"/>
  <c r="S32" i="3" s="1"/>
  <c r="F8" i="3"/>
  <c r="O11" i="3" s="1"/>
  <c r="E8" i="3"/>
  <c r="C8" i="3"/>
  <c r="B8" i="3"/>
  <c r="L11" i="3" s="1"/>
  <c r="F7" i="3"/>
  <c r="O10" i="3" s="1"/>
  <c r="E7" i="3"/>
  <c r="C7" i="3"/>
  <c r="B7" i="3"/>
  <c r="L10" i="3" s="1"/>
  <c r="F6" i="3"/>
  <c r="O9" i="3" s="1"/>
  <c r="E6" i="3"/>
  <c r="C6" i="3"/>
  <c r="B6" i="3"/>
  <c r="L9" i="3" s="1"/>
  <c r="F5" i="3"/>
  <c r="O8" i="3" s="1"/>
  <c r="E5" i="3"/>
  <c r="C5" i="3"/>
  <c r="B5" i="3"/>
  <c r="L8" i="3" s="1"/>
  <c r="F4" i="3"/>
  <c r="O7" i="3" s="1"/>
  <c r="E4" i="3"/>
  <c r="C4" i="3"/>
  <c r="B4" i="3"/>
  <c r="L7" i="3" s="1"/>
  <c r="F6" i="2"/>
  <c r="I6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H6" i="2"/>
  <c r="I5" i="2"/>
  <c r="H5" i="2"/>
  <c r="E21" i="2"/>
  <c r="F22" i="2"/>
  <c r="E22" i="2"/>
  <c r="F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E6" i="2"/>
  <c r="F5" i="2"/>
  <c r="E5" i="2"/>
  <c r="V20" i="1"/>
  <c r="V19" i="1"/>
  <c r="V18" i="1"/>
  <c r="V17" i="1"/>
  <c r="S20" i="1"/>
  <c r="S19" i="1"/>
  <c r="S18" i="1"/>
  <c r="S17" i="1"/>
  <c r="P20" i="1"/>
  <c r="P19" i="1"/>
  <c r="P18" i="1"/>
  <c r="P17" i="1"/>
  <c r="M20" i="1"/>
  <c r="M19" i="1"/>
  <c r="M18" i="1"/>
  <c r="M17" i="1"/>
  <c r="J20" i="1"/>
  <c r="J19" i="1"/>
  <c r="J18" i="1"/>
  <c r="J17" i="1"/>
  <c r="G20" i="1"/>
  <c r="G19" i="1"/>
  <c r="G18" i="1"/>
  <c r="G17" i="1"/>
  <c r="V14" i="1"/>
  <c r="V13" i="1"/>
  <c r="V12" i="1"/>
  <c r="V11" i="1"/>
  <c r="S14" i="1"/>
  <c r="S13" i="1"/>
  <c r="S12" i="1"/>
  <c r="S11" i="1"/>
  <c r="P14" i="1"/>
  <c r="P13" i="1"/>
  <c r="P12" i="1"/>
  <c r="P11" i="1"/>
  <c r="M14" i="1"/>
  <c r="M13" i="1"/>
  <c r="M12" i="1"/>
  <c r="M11" i="1"/>
  <c r="J14" i="1"/>
  <c r="J13" i="1"/>
  <c r="J12" i="1"/>
  <c r="J11" i="1"/>
  <c r="G14" i="1"/>
  <c r="G13" i="1"/>
  <c r="G12" i="1"/>
  <c r="G11" i="1"/>
  <c r="V8" i="1"/>
  <c r="V7" i="1"/>
  <c r="V6" i="1"/>
  <c r="V5" i="1"/>
  <c r="S8" i="1"/>
  <c r="S7" i="1"/>
  <c r="S6" i="1"/>
  <c r="S5" i="1"/>
  <c r="P8" i="1"/>
  <c r="P7" i="1"/>
  <c r="P6" i="1"/>
  <c r="P5" i="1"/>
  <c r="M8" i="1"/>
  <c r="M7" i="1"/>
  <c r="M6" i="1"/>
  <c r="M5" i="1"/>
  <c r="J8" i="1"/>
  <c r="J7" i="1"/>
  <c r="J5" i="1"/>
  <c r="J6" i="1"/>
  <c r="G7" i="1"/>
  <c r="G6" i="1"/>
  <c r="G5" i="1"/>
  <c r="S7" i="3" l="1"/>
  <c r="P7" i="3"/>
  <c r="S40" i="3"/>
  <c r="S30" i="3"/>
  <c r="S42" i="3"/>
  <c r="S28" i="3"/>
  <c r="S31" i="3"/>
  <c r="S43" i="3"/>
  <c r="S36" i="3"/>
  <c r="S37" i="3"/>
  <c r="S19" i="3"/>
  <c r="S8" i="3"/>
  <c r="S14" i="3"/>
  <c r="S20" i="3"/>
  <c r="S34" i="3"/>
  <c r="P8" i="3"/>
  <c r="S11" i="3"/>
  <c r="P20" i="3"/>
  <c r="S23" i="3"/>
  <c r="S16" i="3"/>
  <c r="S29" i="3"/>
  <c r="S35" i="3"/>
  <c r="S41" i="3"/>
  <c r="S17" i="3"/>
  <c r="S15" i="3"/>
  <c r="S18" i="3"/>
  <c r="S12" i="3"/>
  <c r="S22" i="3"/>
  <c r="S24" i="3"/>
  <c r="P10" i="3"/>
  <c r="P9" i="3"/>
  <c r="P13" i="3"/>
  <c r="P21" i="3"/>
  <c r="S21" i="3"/>
  <c r="S13" i="3"/>
  <c r="S9" i="3"/>
  <c r="P12" i="3"/>
  <c r="P24" i="3"/>
  <c r="S10" i="3"/>
  <c r="H33" i="2"/>
  <c r="G33" i="2"/>
  <c r="H34" i="2"/>
  <c r="G34" i="2"/>
  <c r="H32" i="2"/>
  <c r="H35" i="2"/>
  <c r="G35" i="2"/>
  <c r="E32" i="2"/>
  <c r="G32" i="2"/>
  <c r="P16" i="3"/>
  <c r="P14" i="3"/>
  <c r="P23" i="3"/>
  <c r="P19" i="3"/>
  <c r="P15" i="3"/>
  <c r="P11" i="3"/>
  <c r="P22" i="3"/>
  <c r="D33" i="2"/>
  <c r="D34" i="2"/>
  <c r="C35" i="2"/>
  <c r="Q14" i="2" s="1"/>
  <c r="R14" i="2" s="1"/>
  <c r="D32" i="2"/>
  <c r="C33" i="2"/>
  <c r="D35" i="2"/>
  <c r="C32" i="2"/>
  <c r="C34" i="2"/>
  <c r="M9" i="2" l="1"/>
  <c r="N9" i="2" s="1"/>
  <c r="M13" i="2"/>
  <c r="N13" i="2" s="1"/>
  <c r="M17" i="2"/>
  <c r="N17" i="2" s="1"/>
  <c r="M21" i="2"/>
  <c r="N21" i="2" s="1"/>
  <c r="M10" i="2"/>
  <c r="N10" i="2" s="1"/>
  <c r="M14" i="2"/>
  <c r="N14" i="2" s="1"/>
  <c r="M18" i="2"/>
  <c r="N18" i="2" s="1"/>
  <c r="M22" i="2"/>
  <c r="N22" i="2" s="1"/>
  <c r="M7" i="2"/>
  <c r="N7" i="2" s="1"/>
  <c r="M11" i="2"/>
  <c r="N11" i="2" s="1"/>
  <c r="M15" i="2"/>
  <c r="N15" i="2" s="1"/>
  <c r="M19" i="2"/>
  <c r="N19" i="2" s="1"/>
  <c r="M16" i="2"/>
  <c r="N16" i="2" s="1"/>
  <c r="M20" i="2"/>
  <c r="N20" i="2" s="1"/>
  <c r="M8" i="2"/>
  <c r="N8" i="2" s="1"/>
  <c r="M12" i="2"/>
  <c r="N12" i="2" s="1"/>
  <c r="Q11" i="2"/>
  <c r="R11" i="2" s="1"/>
  <c r="Q8" i="2"/>
  <c r="R8" i="2" s="1"/>
  <c r="Q17" i="2"/>
  <c r="R17" i="2" s="1"/>
  <c r="Q18" i="2"/>
  <c r="R18" i="2" s="1"/>
  <c r="Q15" i="2"/>
  <c r="R15" i="2" s="1"/>
  <c r="Q9" i="2"/>
  <c r="R9" i="2" s="1"/>
  <c r="Q16" i="2"/>
  <c r="R16" i="2" s="1"/>
  <c r="Q19" i="2"/>
  <c r="R19" i="2" s="1"/>
  <c r="Q10" i="2"/>
  <c r="R10" i="2" s="1"/>
  <c r="Q21" i="2"/>
  <c r="R21" i="2" s="1"/>
  <c r="Q5" i="2"/>
  <c r="Q12" i="2"/>
  <c r="R12" i="2" s="1"/>
  <c r="Q22" i="2"/>
  <c r="R22" i="2" s="1"/>
  <c r="Q6" i="2"/>
  <c r="R6" i="2" s="1"/>
  <c r="Q13" i="2"/>
  <c r="R13" i="2" s="1"/>
  <c r="Q20" i="2"/>
  <c r="R20" i="2" s="1"/>
  <c r="Q7" i="2"/>
  <c r="R7" i="2" s="1"/>
  <c r="M6" i="2"/>
  <c r="N6" i="2" s="1"/>
  <c r="M5" i="2"/>
  <c r="O8" i="2"/>
  <c r="P8" i="2" s="1"/>
  <c r="O12" i="2"/>
  <c r="P12" i="2" s="1"/>
  <c r="O16" i="2"/>
  <c r="P16" i="2" s="1"/>
  <c r="O20" i="2"/>
  <c r="P20" i="2" s="1"/>
  <c r="O13" i="2"/>
  <c r="P13" i="2" s="1"/>
  <c r="O6" i="2"/>
  <c r="P6" i="2" s="1"/>
  <c r="O10" i="2"/>
  <c r="P10" i="2" s="1"/>
  <c r="O14" i="2"/>
  <c r="P14" i="2" s="1"/>
  <c r="O18" i="2"/>
  <c r="P18" i="2" s="1"/>
  <c r="O22" i="2"/>
  <c r="P22" i="2" s="1"/>
  <c r="O9" i="2"/>
  <c r="P9" i="2" s="1"/>
  <c r="O21" i="2"/>
  <c r="P21" i="2" s="1"/>
  <c r="O7" i="2"/>
  <c r="P7" i="2" s="1"/>
  <c r="O11" i="2"/>
  <c r="P11" i="2" s="1"/>
  <c r="O15" i="2"/>
  <c r="P15" i="2" s="1"/>
  <c r="O19" i="2"/>
  <c r="P19" i="2" s="1"/>
  <c r="O5" i="2"/>
  <c r="O17" i="2"/>
  <c r="P17" i="2" s="1"/>
  <c r="K8" i="2"/>
  <c r="L8" i="2" s="1"/>
  <c r="K12" i="2"/>
  <c r="L12" i="2" s="1"/>
  <c r="K16" i="2"/>
  <c r="L16" i="2" s="1"/>
  <c r="K20" i="2"/>
  <c r="L20" i="2" s="1"/>
  <c r="K21" i="2"/>
  <c r="L21" i="2" s="1"/>
  <c r="K6" i="2"/>
  <c r="L6" i="2" s="1"/>
  <c r="K10" i="2"/>
  <c r="L10" i="2" s="1"/>
  <c r="K14" i="2"/>
  <c r="L14" i="2" s="1"/>
  <c r="K18" i="2"/>
  <c r="L18" i="2" s="1"/>
  <c r="K22" i="2"/>
  <c r="L22" i="2" s="1"/>
  <c r="K9" i="2"/>
  <c r="L9" i="2" s="1"/>
  <c r="K17" i="2"/>
  <c r="L17" i="2" s="1"/>
  <c r="K7" i="2"/>
  <c r="L7" i="2" s="1"/>
  <c r="K11" i="2"/>
  <c r="L11" i="2" s="1"/>
  <c r="K15" i="2"/>
  <c r="L15" i="2" s="1"/>
  <c r="K19" i="2"/>
  <c r="L19" i="2" s="1"/>
  <c r="K5" i="2"/>
  <c r="K13" i="2"/>
  <c r="L13" i="2" s="1"/>
  <c r="P5" i="2" l="1"/>
  <c r="I34" i="2"/>
  <c r="N5" i="2"/>
  <c r="I33" i="2"/>
  <c r="R5" i="2"/>
  <c r="I35" i="2"/>
  <c r="I32" i="2"/>
  <c r="L5" i="2"/>
  <c r="K32" i="2" l="1"/>
  <c r="F32" i="2"/>
  <c r="J32" i="2" s="1"/>
  <c r="K33" i="2"/>
  <c r="F33" i="2"/>
  <c r="J33" i="2" s="1"/>
  <c r="K35" i="2"/>
  <c r="F35" i="2"/>
  <c r="J35" i="2" s="1"/>
  <c r="K34" i="2"/>
  <c r="F34" i="2"/>
  <c r="J34" i="2" s="1"/>
</calcChain>
</file>

<file path=xl/sharedStrings.xml><?xml version="1.0" encoding="utf-8"?>
<sst xmlns="http://schemas.openxmlformats.org/spreadsheetml/2006/main" count="3767" uniqueCount="305">
  <si>
    <t>Firma</t>
  </si>
  <si>
    <t>Vstupy</t>
  </si>
  <si>
    <t>Výstupy</t>
  </si>
  <si>
    <t>POTRAVINY Davidova s.r.o.</t>
  </si>
  <si>
    <t>POTRAVINY KRÁTKÝ a SPOL. s.r.o.</t>
  </si>
  <si>
    <t>POTRAVINY MÁLEK s.r.o.</t>
  </si>
  <si>
    <t>Potraviny Kučera s.r.o.</t>
  </si>
  <si>
    <t>Potraviny KASAL, s.r.o.</t>
  </si>
  <si>
    <t>POTRAVINY D+S, s.r.o.</t>
  </si>
  <si>
    <t>Potraviny INTRAL s.r.o.</t>
  </si>
  <si>
    <t>Potraviny B+L, s.r.o.</t>
  </si>
  <si>
    <t>Potraviny NGOC s.r.o.</t>
  </si>
  <si>
    <t>POTRAVINY LEVNĚ s.r.o.</t>
  </si>
  <si>
    <t>Potraviny BAMBUS s.r.o.</t>
  </si>
  <si>
    <t>Potraviny U Kolářů s.r.o.</t>
  </si>
  <si>
    <t xml:space="preserve">Plzeň </t>
  </si>
  <si>
    <t>Jihlava</t>
  </si>
  <si>
    <t xml:space="preserve">Potraviny Nova Slavíkova s.r.o. </t>
  </si>
  <si>
    <t>Praha</t>
  </si>
  <si>
    <t>Potraviny Duc Thinh, s.r.o.</t>
  </si>
  <si>
    <t>Potraviny Újezd s.r.o.</t>
  </si>
  <si>
    <t>VEČERKA s.r.o.</t>
  </si>
  <si>
    <t>Plzeň</t>
  </si>
  <si>
    <t>MINIMARKET HERBICH s.r.o.</t>
  </si>
  <si>
    <t>Ostrava</t>
  </si>
  <si>
    <t>Valašské Meziříčí (Zlínský kraj)</t>
  </si>
  <si>
    <t>Slatiňany (Pardubický kraj)</t>
  </si>
  <si>
    <t>Litomyšl (Pardubický kraj)</t>
  </si>
  <si>
    <t>Lovosice (Ústecký kraj)</t>
  </si>
  <si>
    <t>Šluknov (Ústecký kraj)</t>
  </si>
  <si>
    <t>Znojmo (Jihomoravský kraj)</t>
  </si>
  <si>
    <t>Syrovice (Jihomoravský kraj)</t>
  </si>
  <si>
    <t>Hrušovany nad Jevišovkou (Jihomoravský kraj)</t>
  </si>
  <si>
    <t>Křinec (Středočeský kraj)</t>
  </si>
  <si>
    <t>Vlašim (Středočeský kraj)</t>
  </si>
  <si>
    <t>Prostějov (Olomoucký kraj)</t>
  </si>
  <si>
    <t>POTRAVINY MICHEK, s.r.o.</t>
  </si>
  <si>
    <t>Data jsou vybrány z Výkazů zisku a ztrát za rok 2021 v celých tis. Kč.</t>
  </si>
  <si>
    <t>Osobní náklady</t>
  </si>
  <si>
    <t>Výkonová spotřeba</t>
  </si>
  <si>
    <t>Tržby za prodej zboží</t>
  </si>
  <si>
    <t>Výsledek hospodáření po zdanění</t>
  </si>
  <si>
    <t>DMU</t>
  </si>
  <si>
    <t>x1</t>
  </si>
  <si>
    <t>x2</t>
  </si>
  <si>
    <t>y1</t>
  </si>
  <si>
    <t>y2</t>
  </si>
  <si>
    <t>DMU01</t>
  </si>
  <si>
    <t>DMU02</t>
  </si>
  <si>
    <t>DMU03</t>
  </si>
  <si>
    <t>DMU04</t>
  </si>
  <si>
    <t>DMU05</t>
  </si>
  <si>
    <t>DMU06</t>
  </si>
  <si>
    <t>DMU07</t>
  </si>
  <si>
    <t>DMU08</t>
  </si>
  <si>
    <t>DMU09</t>
  </si>
  <si>
    <t>DMU10</t>
  </si>
  <si>
    <t>DMU11</t>
  </si>
  <si>
    <t>DMU12</t>
  </si>
  <si>
    <t>DMU13</t>
  </si>
  <si>
    <t>DMU14</t>
  </si>
  <si>
    <t>DMU15</t>
  </si>
  <si>
    <t>DMU16</t>
  </si>
  <si>
    <t>Město</t>
  </si>
  <si>
    <t xml:space="preserve">Jméno firmy </t>
  </si>
  <si>
    <t>DMU17</t>
  </si>
  <si>
    <t>DMU18</t>
  </si>
  <si>
    <t>x1 (osobní náklady)</t>
  </si>
  <si>
    <t>x2 (výkonová spotřeba)</t>
  </si>
  <si>
    <t>y1 (tržby za prodej zboží)</t>
  </si>
  <si>
    <t>y2 (výsledek hospodáření po zdanění)</t>
  </si>
  <si>
    <t>Valašské Meziříčí</t>
  </si>
  <si>
    <t>Lovosice</t>
  </si>
  <si>
    <t>Slatiňany</t>
  </si>
  <si>
    <t>Litomyšl</t>
  </si>
  <si>
    <t>Šluknov</t>
  </si>
  <si>
    <t>Znojmo</t>
  </si>
  <si>
    <t>Syrovice</t>
  </si>
  <si>
    <t>Hrušovany nad Jevišovkou</t>
  </si>
  <si>
    <t>Křinec</t>
  </si>
  <si>
    <t>Vlašim</t>
  </si>
  <si>
    <t>Prostějov</t>
  </si>
  <si>
    <t>Počet firem s nulovými osobními náklady =</t>
  </si>
  <si>
    <t>Počet firem s záporným VH =</t>
  </si>
  <si>
    <t>Deskriptivní statistika</t>
  </si>
  <si>
    <t>Charakteristiky polohy</t>
  </si>
  <si>
    <t>Charakteristyky variability</t>
  </si>
  <si>
    <t>Průměr</t>
  </si>
  <si>
    <t>Medián</t>
  </si>
  <si>
    <t>Modus</t>
  </si>
  <si>
    <t>Rozptyl</t>
  </si>
  <si>
    <t>Min</t>
  </si>
  <si>
    <t>Max</t>
  </si>
  <si>
    <t>-</t>
  </si>
  <si>
    <t>vstupy (celé tis. Kč)</t>
  </si>
  <si>
    <t>výstupy (celé tis. Kč)</t>
  </si>
  <si>
    <t>Absolutní odchylka</t>
  </si>
  <si>
    <t>Průměrná odchylka</t>
  </si>
  <si>
    <t>druhá mocnina</t>
  </si>
  <si>
    <t>Směrodatná odchylka (základní)</t>
  </si>
  <si>
    <t>Směrodatná odchylka (výběrová)</t>
  </si>
  <si>
    <t>puvodni</t>
  </si>
  <si>
    <t>efektivnost</t>
  </si>
  <si>
    <t>u1</t>
  </si>
  <si>
    <t>u2</t>
  </si>
  <si>
    <t>v1</t>
  </si>
  <si>
    <t>V2</t>
  </si>
  <si>
    <t>=</t>
  </si>
  <si>
    <t>≤</t>
  </si>
  <si>
    <t>Microsoft Excel 16.0 Citlivostní sestava</t>
  </si>
  <si>
    <t>List: [Vstupy_Výstupy_BP.xlsx]vypocty</t>
  </si>
  <si>
    <t>Proměnné</t>
  </si>
  <si>
    <t>Levá strana omezující podmínky</t>
  </si>
  <si>
    <t>Název</t>
  </si>
  <si>
    <t>Konečná</t>
  </si>
  <si>
    <t>Hodnota</t>
  </si>
  <si>
    <t>Redukovaná</t>
  </si>
  <si>
    <t>náklady</t>
  </si>
  <si>
    <t>Účelová funkce</t>
  </si>
  <si>
    <t>koeficient</t>
  </si>
  <si>
    <t>Povolený</t>
  </si>
  <si>
    <t>nárůst</t>
  </si>
  <si>
    <t>pokles</t>
  </si>
  <si>
    <t>Omezující podmínky</t>
  </si>
  <si>
    <t>Stínová</t>
  </si>
  <si>
    <t>cena</t>
  </si>
  <si>
    <t>Pravá strana</t>
  </si>
  <si>
    <t>omezující podmínky</t>
  </si>
  <si>
    <t>$I$24</t>
  </si>
  <si>
    <t>$J$24</t>
  </si>
  <si>
    <t>$K$24</t>
  </si>
  <si>
    <t>$L$24</t>
  </si>
  <si>
    <t>$P$4</t>
  </si>
  <si>
    <t>DMU01 podminky vlastniho omezeni</t>
  </si>
  <si>
    <t>$P$5</t>
  </si>
  <si>
    <t>DMU02 podminky vlastniho omezeni</t>
  </si>
  <si>
    <t>$P$6</t>
  </si>
  <si>
    <t>DMU03 podminky vlastniho omezeni</t>
  </si>
  <si>
    <t>$P$7</t>
  </si>
  <si>
    <t>DMU04 podminky vlastniho omezeni</t>
  </si>
  <si>
    <t>$P$8</t>
  </si>
  <si>
    <t>DMU05 podminky vlastniho omezeni</t>
  </si>
  <si>
    <t>$P$9</t>
  </si>
  <si>
    <t>DMU06 podminky vlastniho omezeni</t>
  </si>
  <si>
    <t>$P$10</t>
  </si>
  <si>
    <t>DMU07 podminky vlastniho omezeni</t>
  </si>
  <si>
    <t>$P$11</t>
  </si>
  <si>
    <t>DMU08 podminky vlastniho omezeni</t>
  </si>
  <si>
    <t>$P$12</t>
  </si>
  <si>
    <t>DMU09 podminky vlastniho omezeni</t>
  </si>
  <si>
    <t>$P$13</t>
  </si>
  <si>
    <t>DMU10 podminky vlastniho omezeni</t>
  </si>
  <si>
    <t>$P$14</t>
  </si>
  <si>
    <t>DMU11 podminky vlastniho omezeni</t>
  </si>
  <si>
    <t>$P$15</t>
  </si>
  <si>
    <t>DMU12 podminky vlastniho omezeni</t>
  </si>
  <si>
    <t>$P$16</t>
  </si>
  <si>
    <t>DMU13 podminky vlastniho omezeni</t>
  </si>
  <si>
    <t>$P$17</t>
  </si>
  <si>
    <t>DMU14 podminky vlastniho omezeni</t>
  </si>
  <si>
    <t>$P$18</t>
  </si>
  <si>
    <t>DMU15 podminky vlastniho omezeni</t>
  </si>
  <si>
    <t>$P$19</t>
  </si>
  <si>
    <t>DMU16 podminky vlastniho omezeni</t>
  </si>
  <si>
    <t>$P$20</t>
  </si>
  <si>
    <t>DMU17 podminky vlastniho omezeni</t>
  </si>
  <si>
    <t>$P$21</t>
  </si>
  <si>
    <t>DMU18 podminky vlastniho omezeni</t>
  </si>
  <si>
    <t>$T$4</t>
  </si>
  <si>
    <t>≤ normalizaci</t>
  </si>
  <si>
    <t>$T$5</t>
  </si>
  <si>
    <t>Sestava vytvořena: 21.02.2024 12:15:22</t>
  </si>
  <si>
    <t>Sestava vytvořena: 21.02.2024 12:15:43</t>
  </si>
  <si>
    <t>Sestava vytvořena: 21.02.2024 12:16:00</t>
  </si>
  <si>
    <t>$T$6</t>
  </si>
  <si>
    <t>peer jednotka</t>
  </si>
  <si>
    <t>Sestava vytvořena: 22.02.2024 11:10:00</t>
  </si>
  <si>
    <t>$T$7</t>
  </si>
  <si>
    <t>Sestava vytvořena: 22.02.2024 11:13:23</t>
  </si>
  <si>
    <t>$T$8</t>
  </si>
  <si>
    <t>Sestava vytvořena: 22.02.2024 11:14:19</t>
  </si>
  <si>
    <t>$T$9</t>
  </si>
  <si>
    <t>Sestava vytvořena: 22.02.2024 11:15:49</t>
  </si>
  <si>
    <t>$T$10</t>
  </si>
  <si>
    <t>Sestava vytvořena: 22.02.2024 11:17:14</t>
  </si>
  <si>
    <t>$T$11</t>
  </si>
  <si>
    <t>Sestava vytvořena: 22.02.2024 11:18:29</t>
  </si>
  <si>
    <t>$T$12</t>
  </si>
  <si>
    <t>Sestava vytvořena: 22.02.2024 11:19:41</t>
  </si>
  <si>
    <t>$T$13</t>
  </si>
  <si>
    <t>Sestava vytvořena: 22.02.2024 11:21:20</t>
  </si>
  <si>
    <t>$T$14</t>
  </si>
  <si>
    <t>Sestava vytvořena: 22.02.2024 11:22:31</t>
  </si>
  <si>
    <t>$T$15</t>
  </si>
  <si>
    <t>Sestava vytvořena: 22.02.2024 11:24:02</t>
  </si>
  <si>
    <t>$T$16</t>
  </si>
  <si>
    <t>Sestava vytvořena: 22.02.2024 11:25:01</t>
  </si>
  <si>
    <t>$T$17</t>
  </si>
  <si>
    <t>Sestava vytvořena: 22.02.2024 11:28:39</t>
  </si>
  <si>
    <t>$T$18</t>
  </si>
  <si>
    <t>Sestava vytvořena: 22.02.2024 11:29:19</t>
  </si>
  <si>
    <t>$T$19</t>
  </si>
  <si>
    <t>Sestava vytvořena: 22.02.2024 11:30:13</t>
  </si>
  <si>
    <t>$T$20</t>
  </si>
  <si>
    <t>Sestava vytvořena: 22.02.2024 11:31:51</t>
  </si>
  <si>
    <t>$T$21</t>
  </si>
  <si>
    <t>vážená suma výstupů</t>
  </si>
  <si>
    <t>e (CCR s orientaci na vstupy)</t>
  </si>
  <si>
    <t>efektivní/neefektivní</t>
  </si>
  <si>
    <t>TOP firem dle efektivnosti</t>
  </si>
  <si>
    <r>
      <rPr>
        <sz val="14"/>
        <color theme="1"/>
        <rFont val="Calibri"/>
        <family val="2"/>
        <charset val="204"/>
        <scheme val="minor"/>
      </rPr>
      <t xml:space="preserve">→→→→ </t>
    </r>
    <r>
      <rPr>
        <sz val="14"/>
        <color theme="1"/>
        <rFont val="Times New Roman"/>
        <family val="1"/>
        <charset val="204"/>
      </rPr>
      <t>tržby za prodej zboží</t>
    </r>
  </si>
  <si>
    <r>
      <rPr>
        <sz val="14"/>
        <color theme="1"/>
        <rFont val="Calibri"/>
        <family val="2"/>
        <charset val="204"/>
        <scheme val="minor"/>
      </rPr>
      <t>→→→→</t>
    </r>
    <r>
      <rPr>
        <sz val="14"/>
        <color theme="1"/>
        <rFont val="Times New Roman"/>
        <family val="2"/>
        <charset val="204"/>
      </rPr>
      <t xml:space="preserve"> výsledek hospodáření po zdanění</t>
    </r>
  </si>
  <si>
    <r>
      <t>osobní náklady</t>
    </r>
    <r>
      <rPr>
        <sz val="14"/>
        <color theme="1"/>
        <rFont val="Calibri"/>
        <family val="2"/>
        <charset val="204"/>
        <scheme val="minor"/>
      </rPr>
      <t>→→→→</t>
    </r>
  </si>
  <si>
    <r>
      <t>výkonová spotřeba</t>
    </r>
    <r>
      <rPr>
        <sz val="14"/>
        <color theme="1"/>
        <rFont val="Calibri"/>
        <family val="2"/>
        <charset val="204"/>
        <scheme val="minor"/>
      </rPr>
      <t>→→→→</t>
    </r>
  </si>
  <si>
    <t>v2</t>
  </si>
  <si>
    <t>Váhy</t>
  </si>
  <si>
    <t>Normalizaci</t>
  </si>
  <si>
    <t>Podminky vlastního omezení</t>
  </si>
  <si>
    <t>ef</t>
  </si>
  <si>
    <t>e (BCC s orientaci na výstupy)</t>
  </si>
  <si>
    <t>$M$29</t>
  </si>
  <si>
    <t>DMU01 Podminky vlastního omezení</t>
  </si>
  <si>
    <t>DMU02 Podminky vlastního omezení</t>
  </si>
  <si>
    <t>DMU03 Podminky vlastního omezení</t>
  </si>
  <si>
    <t>DMU04 Podminky vlastního omezení</t>
  </si>
  <si>
    <t>DMU05 Podminky vlastního omezení</t>
  </si>
  <si>
    <t>DMU06 Podminky vlastního omezení</t>
  </si>
  <si>
    <t>DMU07 Podminky vlastního omezení</t>
  </si>
  <si>
    <t>DMU08 Podminky vlastního omezení</t>
  </si>
  <si>
    <t>DMU09 Podminky vlastního omezení</t>
  </si>
  <si>
    <t>DMU10 Podminky vlastního omezení</t>
  </si>
  <si>
    <t>DMU11 Podminky vlastního omezení</t>
  </si>
  <si>
    <t>DMU12 Podminky vlastního omezení</t>
  </si>
  <si>
    <t>DMU13 Podminky vlastního omezení</t>
  </si>
  <si>
    <t>DMU14 Podminky vlastního omezení</t>
  </si>
  <si>
    <t>DMU15 Podminky vlastního omezení</t>
  </si>
  <si>
    <t>DMU16 Podminky vlastního omezení</t>
  </si>
  <si>
    <t>DMU17 Podminky vlastního omezení</t>
  </si>
  <si>
    <t>DMU18 Podminky vlastního omezení</t>
  </si>
  <si>
    <t>List: [Vstupy_Výstupy_BP.xlsx]Výpočty BCC</t>
  </si>
  <si>
    <t>$D$27</t>
  </si>
  <si>
    <t>$E$27</t>
  </si>
  <si>
    <t>$F$27</t>
  </si>
  <si>
    <t>$G$27</t>
  </si>
  <si>
    <t>$H$27</t>
  </si>
  <si>
    <t>$M$26</t>
  </si>
  <si>
    <t>$M$5</t>
  </si>
  <si>
    <t>$M$6</t>
  </si>
  <si>
    <t>$M$7</t>
  </si>
  <si>
    <t>$M$8</t>
  </si>
  <si>
    <t>$M$9</t>
  </si>
  <si>
    <t>$M$10</t>
  </si>
  <si>
    <t>$M$11</t>
  </si>
  <si>
    <t>$M$12</t>
  </si>
  <si>
    <t>$M$13</t>
  </si>
  <si>
    <t>$M$14</t>
  </si>
  <si>
    <t>$M$15</t>
  </si>
  <si>
    <t>$M$16</t>
  </si>
  <si>
    <t>$M$17</t>
  </si>
  <si>
    <t>$M$18</t>
  </si>
  <si>
    <t>$M$19</t>
  </si>
  <si>
    <t>$M$20</t>
  </si>
  <si>
    <t>$M$21</t>
  </si>
  <si>
    <t>$M$22</t>
  </si>
  <si>
    <t>$M$27</t>
  </si>
  <si>
    <t>$M$28</t>
  </si>
  <si>
    <t>$M$30</t>
  </si>
  <si>
    <t>$M$31</t>
  </si>
  <si>
    <t>$M$32</t>
  </si>
  <si>
    <t>$M$33</t>
  </si>
  <si>
    <t>$M$34</t>
  </si>
  <si>
    <t>$M$35</t>
  </si>
  <si>
    <t>$M$36</t>
  </si>
  <si>
    <t>$M$37</t>
  </si>
  <si>
    <t>$M$38</t>
  </si>
  <si>
    <t>$M$39</t>
  </si>
  <si>
    <t>$M$40</t>
  </si>
  <si>
    <t>$M$41</t>
  </si>
  <si>
    <t>$M$42</t>
  </si>
  <si>
    <t>$M$43</t>
  </si>
  <si>
    <t>potravinová firma</t>
  </si>
  <si>
    <t>µ</t>
  </si>
  <si>
    <t>µ Normalizaci</t>
  </si>
  <si>
    <t>vážená suma výstupu</t>
  </si>
  <si>
    <t>Sestava vytvořena: 12.03.2024 20:35:08</t>
  </si>
  <si>
    <t>Sestava vytvořena: 12.03.2024 20:38:17</t>
  </si>
  <si>
    <t>e (BCC s orientaci na vstupy)</t>
  </si>
  <si>
    <t>Sestava vytvořena: 12.03.2024 20:39:00</t>
  </si>
  <si>
    <t>Sestava vytvořena: 12.03.2024 20:39:44</t>
  </si>
  <si>
    <t>Sestava vytvořena: 12.03.2024 20:40:58</t>
  </si>
  <si>
    <t>Sestava vytvořena: 12.03.2024 20:41:52</t>
  </si>
  <si>
    <t>Sestava vytvořena: 12.03.2024 20:43:46</t>
  </si>
  <si>
    <t>Sestava vytvořena: 12.03.2024 20:44:52</t>
  </si>
  <si>
    <t>Sestava vytvořena: 12.03.2024 20:45:43</t>
  </si>
  <si>
    <t>Sestava vytvořena: 12.03.2024 20:46:26</t>
  </si>
  <si>
    <t>Sestava vytvořena: 12.03.2024 20:47:07</t>
  </si>
  <si>
    <t>Sestava vytvořena: 12.03.2024 20:47:33</t>
  </si>
  <si>
    <t>Sestava vytvořena: 12.03.2024 20:48:16</t>
  </si>
  <si>
    <t>Sestava vytvořena: 12.03.2024 20:48:45</t>
  </si>
  <si>
    <t>Sestava vytvořena: 12.03.2024 20:49:32</t>
  </si>
  <si>
    <t>Sestava vytvořena: 12.03.2024 20:50:10</t>
  </si>
  <si>
    <t>Sestava vytvořena: 12.03.2024 20:52:53</t>
  </si>
  <si>
    <t>Sestava vytvořena: 12.03.2024 20:53:32</t>
  </si>
  <si>
    <t>Rozdíl x1</t>
  </si>
  <si>
    <t>Rozdíl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</si>
</sst>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ptos Narrow"/>
      <family val="2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8" xfId="0" applyFont="1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7" fillId="0" borderId="13" xfId="0" applyFont="1" applyBorder="1"/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center"/>
    </xf>
    <xf numFmtId="2" fontId="0" fillId="0" borderId="13" xfId="0" applyNumberFormat="1" applyBorder="1"/>
    <xf numFmtId="2" fontId="0" fillId="0" borderId="13" xfId="0" applyNumberFormat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5" fillId="0" borderId="0" xfId="0" applyFont="1"/>
    <xf numFmtId="0" fontId="0" fillId="0" borderId="20" xfId="0" applyBorder="1"/>
    <xf numFmtId="0" fontId="0" fillId="0" borderId="21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21" xfId="0" applyFont="1" applyBorder="1"/>
    <xf numFmtId="0" fontId="0" fillId="2" borderId="20" xfId="0" applyFill="1" applyBorder="1"/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1" applyFont="1"/>
    <xf numFmtId="0" fontId="0" fillId="0" borderId="27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4" xfId="0" applyBorder="1"/>
    <xf numFmtId="0" fontId="7" fillId="0" borderId="34" xfId="0" applyFont="1" applyBorder="1"/>
    <xf numFmtId="0" fontId="0" fillId="0" borderId="39" xfId="0" applyBorder="1" applyAlignment="1">
      <alignment horizontal="center"/>
    </xf>
    <xf numFmtId="0" fontId="0" fillId="0" borderId="27" xfId="0" applyBorder="1"/>
    <xf numFmtId="0" fontId="7" fillId="0" borderId="27" xfId="0" applyFont="1" applyBorder="1"/>
    <xf numFmtId="0" fontId="0" fillId="0" borderId="29" xfId="0" applyBorder="1"/>
    <xf numFmtId="0" fontId="0" fillId="0" borderId="16" xfId="0" applyBorder="1"/>
    <xf numFmtId="2" fontId="0" fillId="0" borderId="16" xfId="0" applyNumberFormat="1" applyBorder="1"/>
    <xf numFmtId="0" fontId="3" fillId="3" borderId="34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2" fontId="0" fillId="0" borderId="34" xfId="0" applyNumberFormat="1" applyBorder="1"/>
    <xf numFmtId="0" fontId="3" fillId="0" borderId="39" xfId="0" applyFont="1" applyBorder="1" applyAlignment="1">
      <alignment horizontal="center"/>
    </xf>
    <xf numFmtId="2" fontId="0" fillId="0" borderId="27" xfId="0" applyNumberFormat="1" applyBorder="1"/>
    <xf numFmtId="2" fontId="0" fillId="0" borderId="27" xfId="0" applyNumberFormat="1" applyBorder="1" applyAlignment="1">
      <alignment horizontal="right"/>
    </xf>
    <xf numFmtId="2" fontId="0" fillId="0" borderId="29" xfId="0" applyNumberFormat="1" applyBorder="1"/>
    <xf numFmtId="0" fontId="0" fillId="0" borderId="27" xfId="0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23" xfId="0" applyFont="1" applyBorder="1"/>
    <xf numFmtId="0" fontId="14" fillId="0" borderId="13" xfId="0" applyFont="1" applyBorder="1"/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0" fillId="4" borderId="0" xfId="0" applyFill="1"/>
    <xf numFmtId="164" fontId="0" fillId="0" borderId="27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2" borderId="13" xfId="0" applyFill="1" applyBorder="1"/>
    <xf numFmtId="0" fontId="5" fillId="0" borderId="3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4" xfId="0" applyBorder="1"/>
    <xf numFmtId="0" fontId="0" fillId="0" borderId="47" xfId="0" applyBorder="1"/>
    <xf numFmtId="0" fontId="0" fillId="0" borderId="30" xfId="0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0" fontId="0" fillId="0" borderId="23" xfId="1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0" fontId="0" fillId="0" borderId="27" xfId="1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0" fontId="0" fillId="0" borderId="23" xfId="1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10" fontId="0" fillId="0" borderId="28" xfId="1" applyNumberFormat="1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14" fillId="0" borderId="43" xfId="0" applyFont="1" applyBorder="1" applyAlignment="1">
      <alignment horizontal="center"/>
    </xf>
    <xf numFmtId="10" fontId="14" fillId="0" borderId="33" xfId="1" applyNumberFormat="1" applyFont="1" applyBorder="1" applyAlignment="1">
      <alignment horizontal="center"/>
    </xf>
    <xf numFmtId="0" fontId="3" fillId="0" borderId="24" xfId="0" applyFont="1" applyBorder="1"/>
    <xf numFmtId="0" fontId="3" fillId="0" borderId="43" xfId="0" applyFont="1" applyBorder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34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10" fontId="14" fillId="0" borderId="34" xfId="1" applyNumberFormat="1" applyFont="1" applyBorder="1" applyAlignment="1">
      <alignment horizontal="center"/>
    </xf>
    <xf numFmtId="10" fontId="7" fillId="0" borderId="34" xfId="1" applyNumberFormat="1" applyFont="1" applyBorder="1" applyAlignment="1">
      <alignment horizontal="center"/>
    </xf>
    <xf numFmtId="10" fontId="7" fillId="0" borderId="29" xfId="1" applyNumberFormat="1" applyFont="1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10" fontId="0" fillId="0" borderId="27" xfId="1" applyNumberFormat="1" applyFon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5" fillId="0" borderId="26" xfId="0" applyFont="1" applyBorder="1" applyAlignment="1">
      <alignment horizontal="center"/>
    </xf>
    <xf numFmtId="10" fontId="14" fillId="0" borderId="33" xfId="1" applyNumberFormat="1" applyFont="1" applyBorder="1" applyAlignment="1">
      <alignment horizontal="center" vertical="center"/>
    </xf>
    <xf numFmtId="10" fontId="7" fillId="0" borderId="33" xfId="1" applyNumberFormat="1" applyFont="1" applyBorder="1" applyAlignment="1">
      <alignment horizontal="center" vertical="center"/>
    </xf>
    <xf numFmtId="10" fontId="7" fillId="0" borderId="46" xfId="1" applyNumberFormat="1" applyFont="1" applyBorder="1" applyAlignment="1">
      <alignment horizontal="center" vertical="center"/>
    </xf>
    <xf numFmtId="0" fontId="18" fillId="0" borderId="13" xfId="0" applyFont="1" applyBorder="1"/>
    <xf numFmtId="165" fontId="18" fillId="2" borderId="13" xfId="0" applyNumberFormat="1" applyFont="1" applyFill="1" applyBorder="1"/>
    <xf numFmtId="0" fontId="18" fillId="3" borderId="13" xfId="0" applyFont="1" applyFill="1" applyBorder="1" applyAlignment="1">
      <alignment horizontal="center"/>
    </xf>
    <xf numFmtId="1" fontId="18" fillId="0" borderId="13" xfId="0" applyNumberFormat="1" applyFont="1" applyBorder="1" applyAlignment="1">
      <alignment horizontal="center"/>
    </xf>
    <xf numFmtId="1" fontId="18" fillId="0" borderId="23" xfId="0" applyNumberFormat="1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1" fontId="18" fillId="0" borderId="33" xfId="0" applyNumberFormat="1" applyFont="1" applyBorder="1" applyAlignment="1">
      <alignment horizontal="center"/>
    </xf>
    <xf numFmtId="1" fontId="18" fillId="0" borderId="34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" fontId="18" fillId="0" borderId="29" xfId="0" applyNumberFormat="1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1" fontId="18" fillId="0" borderId="49" xfId="0" applyNumberFormat="1" applyFont="1" applyBorder="1" applyAlignment="1">
      <alignment horizontal="center"/>
    </xf>
    <xf numFmtId="1" fontId="18" fillId="0" borderId="16" xfId="0" applyNumberFormat="1" applyFont="1" applyBorder="1" applyAlignment="1">
      <alignment horizontal="center"/>
    </xf>
    <xf numFmtId="1" fontId="18" fillId="0" borderId="50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10" fontId="0" fillId="2" borderId="23" xfId="1" applyNumberFormat="1" applyFont="1" applyFill="1" applyBorder="1" applyAlignment="1">
      <alignment horizontal="center"/>
    </xf>
    <xf numFmtId="10" fontId="0" fillId="2" borderId="33" xfId="1" applyNumberFormat="1" applyFont="1" applyFill="1" applyBorder="1" applyAlignment="1">
      <alignment horizontal="center"/>
    </xf>
    <xf numFmtId="10" fontId="1" fillId="2" borderId="23" xfId="1" applyNumberFormat="1" applyFont="1" applyFill="1" applyBorder="1" applyAlignment="1">
      <alignment horizontal="center"/>
    </xf>
    <xf numFmtId="10" fontId="1" fillId="2" borderId="33" xfId="1" applyNumberFormat="1" applyFont="1" applyFill="1" applyBorder="1" applyAlignment="1">
      <alignment horizontal="center"/>
    </xf>
    <xf numFmtId="10" fontId="0" fillId="2" borderId="28" xfId="1" applyNumberFormat="1" applyFont="1" applyFill="1" applyBorder="1" applyAlignment="1">
      <alignment horizontal="center"/>
    </xf>
    <xf numFmtId="10" fontId="0" fillId="2" borderId="46" xfId="1" applyNumberFormat="1" applyFont="1" applyFill="1" applyBorder="1" applyAlignment="1">
      <alignment horizontal="center"/>
    </xf>
    <xf numFmtId="0" fontId="0" fillId="2" borderId="0" xfId="0" applyFill="1"/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0" fillId="0" borderId="1" xfId="0" applyBorder="1"/>
    <xf numFmtId="0" fontId="5" fillId="0" borderId="48" xfId="0" applyFont="1" applyBorder="1" applyAlignment="1">
      <alignment horizontal="center"/>
    </xf>
    <xf numFmtId="165" fontId="0" fillId="2" borderId="13" xfId="0" applyNumberFormat="1" applyFill="1" applyBorder="1"/>
    <xf numFmtId="1" fontId="0" fillId="0" borderId="49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7" fillId="0" borderId="29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0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10" fontId="0" fillId="0" borderId="0" xfId="1" applyNumberFormat="1" applyFont="1"/>
    <xf numFmtId="0" fontId="0" fillId="0" borderId="43" xfId="0" applyBorder="1" applyAlignment="1">
      <alignment horizontal="center"/>
    </xf>
    <xf numFmtId="10" fontId="0" fillId="0" borderId="34" xfId="1" applyNumberFormat="1" applyFont="1" applyBorder="1" applyAlignment="1">
      <alignment horizontal="center"/>
    </xf>
    <xf numFmtId="10" fontId="0" fillId="0" borderId="29" xfId="1" applyNumberFormat="1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'Výpočty CCR'!$R$72</c:f>
              <c:strCache>
                <c:ptCount val="1"/>
                <c:pt idx="0">
                  <c:v>x1 (osobní náklady)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'Výpočty CCR'!$Q$73:$Q$90</c:f>
              <c:strCache>
                <c:ptCount val="18"/>
                <c:pt idx="0">
                  <c:v>DMU01</c:v>
                </c:pt>
                <c:pt idx="1">
                  <c:v>DMU02</c:v>
                </c:pt>
                <c:pt idx="2">
                  <c:v>DMU03</c:v>
                </c:pt>
                <c:pt idx="3">
                  <c:v>DMU04</c:v>
                </c:pt>
                <c:pt idx="4">
                  <c:v>DMU05</c:v>
                </c:pt>
                <c:pt idx="5">
                  <c:v>DMU06</c:v>
                </c:pt>
                <c:pt idx="6">
                  <c:v>DMU07</c:v>
                </c:pt>
                <c:pt idx="7">
                  <c:v>DMU08</c:v>
                </c:pt>
                <c:pt idx="8">
                  <c:v>DMU09</c:v>
                </c:pt>
                <c:pt idx="9">
                  <c:v>DMU10</c:v>
                </c:pt>
                <c:pt idx="10">
                  <c:v>DMU11</c:v>
                </c:pt>
                <c:pt idx="11">
                  <c:v>DMU12</c:v>
                </c:pt>
                <c:pt idx="12">
                  <c:v>DMU13</c:v>
                </c:pt>
                <c:pt idx="13">
                  <c:v>DMU14</c:v>
                </c:pt>
                <c:pt idx="14">
                  <c:v>DMU15</c:v>
                </c:pt>
                <c:pt idx="15">
                  <c:v>DMU16</c:v>
                </c:pt>
                <c:pt idx="16">
                  <c:v>DMU17</c:v>
                </c:pt>
                <c:pt idx="17">
                  <c:v>DMU18</c:v>
                </c:pt>
              </c:strCache>
            </c:strRef>
          </c:cat>
          <c:val>
            <c:numRef>
              <c:f>'Výpočty CCR'!$R$73:$R$90</c:f>
              <c:numCache>
                <c:formatCode>General</c:formatCode>
                <c:ptCount val="18"/>
                <c:pt idx="0">
                  <c:v>1691</c:v>
                </c:pt>
                <c:pt idx="1">
                  <c:v>6742</c:v>
                </c:pt>
                <c:pt idx="2">
                  <c:v>7305</c:v>
                </c:pt>
                <c:pt idx="3">
                  <c:v>5842</c:v>
                </c:pt>
                <c:pt idx="4">
                  <c:v>3143</c:v>
                </c:pt>
                <c:pt idx="5">
                  <c:v>3768</c:v>
                </c:pt>
                <c:pt idx="6">
                  <c:v>2374</c:v>
                </c:pt>
                <c:pt idx="7">
                  <c:v>3724</c:v>
                </c:pt>
                <c:pt idx="8">
                  <c:v>1317</c:v>
                </c:pt>
                <c:pt idx="9">
                  <c:v>3075</c:v>
                </c:pt>
                <c:pt idx="10">
                  <c:v>0</c:v>
                </c:pt>
                <c:pt idx="11">
                  <c:v>1207</c:v>
                </c:pt>
                <c:pt idx="12">
                  <c:v>2359</c:v>
                </c:pt>
                <c:pt idx="13">
                  <c:v>265</c:v>
                </c:pt>
                <c:pt idx="14">
                  <c:v>503</c:v>
                </c:pt>
                <c:pt idx="15">
                  <c:v>0</c:v>
                </c:pt>
                <c:pt idx="16">
                  <c:v>794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C-4F01-B1F9-1DC06DD80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517855"/>
        <c:axId val="487011983"/>
      </c:lineChart>
      <c:catAx>
        <c:axId val="6155178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DMU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7011983"/>
        <c:crosses val="autoZero"/>
        <c:auto val="1"/>
        <c:lblAlgn val="ctr"/>
        <c:lblOffset val="100"/>
        <c:noMultiLvlLbl val="0"/>
      </c:catAx>
      <c:valAx>
        <c:axId val="48701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x1</a:t>
                </a:r>
                <a:r>
                  <a:rPr lang="cs-CZ" baseline="0"/>
                  <a:t> (osobní náklady)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551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'Výpočty CCR'!$U$72</c:f>
              <c:strCache>
                <c:ptCount val="1"/>
                <c:pt idx="0">
                  <c:v>x2 (výkonová spotřeba)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'Výpočty CCR'!$T$73:$T$90</c:f>
              <c:strCache>
                <c:ptCount val="18"/>
                <c:pt idx="0">
                  <c:v>DMU01</c:v>
                </c:pt>
                <c:pt idx="1">
                  <c:v>DMU02</c:v>
                </c:pt>
                <c:pt idx="2">
                  <c:v>DMU03</c:v>
                </c:pt>
                <c:pt idx="3">
                  <c:v>DMU04</c:v>
                </c:pt>
                <c:pt idx="4">
                  <c:v>DMU05</c:v>
                </c:pt>
                <c:pt idx="5">
                  <c:v>DMU06</c:v>
                </c:pt>
                <c:pt idx="6">
                  <c:v>DMU07</c:v>
                </c:pt>
                <c:pt idx="7">
                  <c:v>DMU08</c:v>
                </c:pt>
                <c:pt idx="8">
                  <c:v>DMU09</c:v>
                </c:pt>
                <c:pt idx="9">
                  <c:v>DMU10</c:v>
                </c:pt>
                <c:pt idx="10">
                  <c:v>DMU11</c:v>
                </c:pt>
                <c:pt idx="11">
                  <c:v>DMU12</c:v>
                </c:pt>
                <c:pt idx="12">
                  <c:v>DMU13</c:v>
                </c:pt>
                <c:pt idx="13">
                  <c:v>DMU14</c:v>
                </c:pt>
                <c:pt idx="14">
                  <c:v>DMU15</c:v>
                </c:pt>
                <c:pt idx="15">
                  <c:v>DMU16</c:v>
                </c:pt>
                <c:pt idx="16">
                  <c:v>DMU17</c:v>
                </c:pt>
                <c:pt idx="17">
                  <c:v>DMU18</c:v>
                </c:pt>
              </c:strCache>
            </c:strRef>
          </c:cat>
          <c:val>
            <c:numRef>
              <c:f>'Výpočty CCR'!$U$73:$U$90</c:f>
              <c:numCache>
                <c:formatCode>General</c:formatCode>
                <c:ptCount val="18"/>
                <c:pt idx="0">
                  <c:v>17110</c:v>
                </c:pt>
                <c:pt idx="1">
                  <c:v>23482</c:v>
                </c:pt>
                <c:pt idx="2">
                  <c:v>43992</c:v>
                </c:pt>
                <c:pt idx="3">
                  <c:v>23150</c:v>
                </c:pt>
                <c:pt idx="4">
                  <c:v>12941</c:v>
                </c:pt>
                <c:pt idx="5">
                  <c:v>16414</c:v>
                </c:pt>
                <c:pt idx="6">
                  <c:v>9648</c:v>
                </c:pt>
                <c:pt idx="7">
                  <c:v>17447</c:v>
                </c:pt>
                <c:pt idx="8">
                  <c:v>23289</c:v>
                </c:pt>
                <c:pt idx="9">
                  <c:v>13582</c:v>
                </c:pt>
                <c:pt idx="10">
                  <c:v>1831</c:v>
                </c:pt>
                <c:pt idx="11">
                  <c:v>7133</c:v>
                </c:pt>
                <c:pt idx="12">
                  <c:v>10395</c:v>
                </c:pt>
                <c:pt idx="13">
                  <c:v>6974</c:v>
                </c:pt>
                <c:pt idx="14">
                  <c:v>6620</c:v>
                </c:pt>
                <c:pt idx="15">
                  <c:v>5218</c:v>
                </c:pt>
                <c:pt idx="16">
                  <c:v>2171</c:v>
                </c:pt>
                <c:pt idx="17">
                  <c:v>3631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8E-461E-8D4B-BB4910490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683823"/>
        <c:axId val="487018431"/>
      </c:lineChart>
      <c:catAx>
        <c:axId val="3926838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DMU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7018431"/>
        <c:crosses val="autoZero"/>
        <c:auto val="1"/>
        <c:lblAlgn val="ctr"/>
        <c:lblOffset val="100"/>
        <c:noMultiLvlLbl val="0"/>
      </c:catAx>
      <c:valAx>
        <c:axId val="487018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x2 (výkonová spotřeba)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2683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'Výpočty CCR'!$Y$72</c:f>
              <c:strCache>
                <c:ptCount val="1"/>
                <c:pt idx="0">
                  <c:v>y1 (tržby za prodej zboží)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'Výpočty CCR'!$X$73:$X$90</c:f>
              <c:strCache>
                <c:ptCount val="18"/>
                <c:pt idx="0">
                  <c:v>DMU01</c:v>
                </c:pt>
                <c:pt idx="1">
                  <c:v>DMU02</c:v>
                </c:pt>
                <c:pt idx="2">
                  <c:v>DMU03</c:v>
                </c:pt>
                <c:pt idx="3">
                  <c:v>DMU04</c:v>
                </c:pt>
                <c:pt idx="4">
                  <c:v>DMU05</c:v>
                </c:pt>
                <c:pt idx="5">
                  <c:v>DMU06</c:v>
                </c:pt>
                <c:pt idx="6">
                  <c:v>DMU07</c:v>
                </c:pt>
                <c:pt idx="7">
                  <c:v>DMU08</c:v>
                </c:pt>
                <c:pt idx="8">
                  <c:v>DMU09</c:v>
                </c:pt>
                <c:pt idx="9">
                  <c:v>DMU10</c:v>
                </c:pt>
                <c:pt idx="10">
                  <c:v>DMU11</c:v>
                </c:pt>
                <c:pt idx="11">
                  <c:v>DMU12</c:v>
                </c:pt>
                <c:pt idx="12">
                  <c:v>DMU13</c:v>
                </c:pt>
                <c:pt idx="13">
                  <c:v>DMU14</c:v>
                </c:pt>
                <c:pt idx="14">
                  <c:v>DMU15</c:v>
                </c:pt>
                <c:pt idx="15">
                  <c:v>DMU16</c:v>
                </c:pt>
                <c:pt idx="16">
                  <c:v>DMU17</c:v>
                </c:pt>
                <c:pt idx="17">
                  <c:v>DMU18</c:v>
                </c:pt>
              </c:strCache>
            </c:strRef>
          </c:cat>
          <c:val>
            <c:numRef>
              <c:f>'Výpočty CCR'!$Y$73:$Y$90</c:f>
              <c:numCache>
                <c:formatCode>General</c:formatCode>
                <c:ptCount val="18"/>
                <c:pt idx="0">
                  <c:v>18955</c:v>
                </c:pt>
                <c:pt idx="1">
                  <c:v>30786</c:v>
                </c:pt>
                <c:pt idx="2">
                  <c:v>51560</c:v>
                </c:pt>
                <c:pt idx="3">
                  <c:v>27773</c:v>
                </c:pt>
                <c:pt idx="4">
                  <c:v>16501</c:v>
                </c:pt>
                <c:pt idx="5">
                  <c:v>20062</c:v>
                </c:pt>
                <c:pt idx="6">
                  <c:v>10518</c:v>
                </c:pt>
                <c:pt idx="7">
                  <c:v>19528</c:v>
                </c:pt>
                <c:pt idx="8">
                  <c:v>25690</c:v>
                </c:pt>
                <c:pt idx="9">
                  <c:v>16416</c:v>
                </c:pt>
                <c:pt idx="10">
                  <c:v>1672</c:v>
                </c:pt>
                <c:pt idx="11">
                  <c:v>7738</c:v>
                </c:pt>
                <c:pt idx="12">
                  <c:v>13031</c:v>
                </c:pt>
                <c:pt idx="13">
                  <c:v>7326</c:v>
                </c:pt>
                <c:pt idx="14">
                  <c:v>7400</c:v>
                </c:pt>
                <c:pt idx="15">
                  <c:v>5325</c:v>
                </c:pt>
                <c:pt idx="16">
                  <c:v>276</c:v>
                </c:pt>
                <c:pt idx="17">
                  <c:v>3638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74-4CCF-82F4-5BD753B6F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447455"/>
        <c:axId val="613344383"/>
      </c:lineChart>
      <c:catAx>
        <c:axId val="7054474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DMU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3344383"/>
        <c:crosses val="autoZero"/>
        <c:auto val="1"/>
        <c:lblAlgn val="ctr"/>
        <c:lblOffset val="100"/>
        <c:noMultiLvlLbl val="0"/>
      </c:catAx>
      <c:valAx>
        <c:axId val="613344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y1 (tržby za prodej zboží)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5447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'Výpočty CCR'!$Y$93</c:f>
              <c:strCache>
                <c:ptCount val="1"/>
                <c:pt idx="0">
                  <c:v>y2 (výsledek hospodáření po zdanění)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'Výpočty CCR'!$X$94:$X$111</c:f>
              <c:strCache>
                <c:ptCount val="18"/>
                <c:pt idx="0">
                  <c:v>DMU01</c:v>
                </c:pt>
                <c:pt idx="1">
                  <c:v>DMU02</c:v>
                </c:pt>
                <c:pt idx="2">
                  <c:v>DMU03</c:v>
                </c:pt>
                <c:pt idx="3">
                  <c:v>DMU04</c:v>
                </c:pt>
                <c:pt idx="4">
                  <c:v>DMU05</c:v>
                </c:pt>
                <c:pt idx="5">
                  <c:v>DMU06</c:v>
                </c:pt>
                <c:pt idx="6">
                  <c:v>DMU07</c:v>
                </c:pt>
                <c:pt idx="7">
                  <c:v>DMU08</c:v>
                </c:pt>
                <c:pt idx="8">
                  <c:v>DMU09</c:v>
                </c:pt>
                <c:pt idx="9">
                  <c:v>DMU10</c:v>
                </c:pt>
                <c:pt idx="10">
                  <c:v>DMU11</c:v>
                </c:pt>
                <c:pt idx="11">
                  <c:v>DMU12</c:v>
                </c:pt>
                <c:pt idx="12">
                  <c:v>DMU13</c:v>
                </c:pt>
                <c:pt idx="13">
                  <c:v>DMU14</c:v>
                </c:pt>
                <c:pt idx="14">
                  <c:v>DMU15</c:v>
                </c:pt>
                <c:pt idx="15">
                  <c:v>DMU16</c:v>
                </c:pt>
                <c:pt idx="16">
                  <c:v>DMU17</c:v>
                </c:pt>
                <c:pt idx="17">
                  <c:v>DMU18</c:v>
                </c:pt>
              </c:strCache>
            </c:strRef>
          </c:cat>
          <c:val>
            <c:numRef>
              <c:f>'Výpočty CCR'!$Y$94:$Y$111</c:f>
              <c:numCache>
                <c:formatCode>General</c:formatCode>
                <c:ptCount val="18"/>
                <c:pt idx="0">
                  <c:v>45</c:v>
                </c:pt>
                <c:pt idx="1">
                  <c:v>953</c:v>
                </c:pt>
                <c:pt idx="2">
                  <c:v>298</c:v>
                </c:pt>
                <c:pt idx="3">
                  <c:v>-663</c:v>
                </c:pt>
                <c:pt idx="4">
                  <c:v>-62</c:v>
                </c:pt>
                <c:pt idx="5">
                  <c:v>-212</c:v>
                </c:pt>
                <c:pt idx="6">
                  <c:v>-1744</c:v>
                </c:pt>
                <c:pt idx="7">
                  <c:v>-220</c:v>
                </c:pt>
                <c:pt idx="8">
                  <c:v>694</c:v>
                </c:pt>
                <c:pt idx="9">
                  <c:v>26</c:v>
                </c:pt>
                <c:pt idx="10">
                  <c:v>-162</c:v>
                </c:pt>
                <c:pt idx="11">
                  <c:v>-602</c:v>
                </c:pt>
                <c:pt idx="12">
                  <c:v>196</c:v>
                </c:pt>
                <c:pt idx="13">
                  <c:v>31</c:v>
                </c:pt>
                <c:pt idx="14">
                  <c:v>187</c:v>
                </c:pt>
                <c:pt idx="15">
                  <c:v>96</c:v>
                </c:pt>
                <c:pt idx="16">
                  <c:v>-17</c:v>
                </c:pt>
                <c:pt idx="1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9-4F07-9260-5D1DBBC9A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454655"/>
        <c:axId val="701171327"/>
      </c:lineChart>
      <c:catAx>
        <c:axId val="705454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DMU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1171327"/>
        <c:crosses val="autoZero"/>
        <c:auto val="1"/>
        <c:lblAlgn val="ctr"/>
        <c:lblOffset val="100"/>
        <c:noMultiLvlLbl val="0"/>
      </c:catAx>
      <c:valAx>
        <c:axId val="70117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0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y2 (výsledek hospodáření po zdanění)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5454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647700</xdr:colOff>
      <xdr:row>85</xdr:row>
      <xdr:rowOff>142875</xdr:rowOff>
    </xdr:from>
    <xdr:to>
      <xdr:col>14</xdr:col>
      <xdr:colOff>133350</xdr:colOff>
      <xdr:row>100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A6D7AF2-95A9-BDE9-0ED7-18BDD0DBF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101</xdr:row>
      <xdr:rowOff>19050</xdr:rowOff>
    </xdr:from>
    <xdr:to>
      <xdr:col>14</xdr:col>
      <xdr:colOff>180975</xdr:colOff>
      <xdr:row>115</xdr:row>
      <xdr:rowOff>95250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941247F0-3526-5D60-81E4-0A57D9FC77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371475</xdr:colOff>
      <xdr:row>101</xdr:row>
      <xdr:rowOff>9525</xdr:rowOff>
    </xdr:from>
    <xdr:to>
      <xdr:col>19</xdr:col>
      <xdr:colOff>219075</xdr:colOff>
      <xdr:row>115</xdr:row>
      <xdr:rowOff>85725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4C0C78D3-A3D3-F572-1C93-737B40AD6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</xdr:colOff>
      <xdr:row>116</xdr:row>
      <xdr:rowOff>114300</xdr:rowOff>
    </xdr:from>
    <xdr:to>
      <xdr:col>14</xdr:col>
      <xdr:colOff>180975</xdr:colOff>
      <xdr:row>131</xdr:row>
      <xdr:rowOff>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4E897D1B-53D8-0600-6301-E905DEA81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22"/>
  <sheetViews>
    <sheetView zoomScale="85" zoomScaleNormal="85" workbookViewId="0">
      <selection activeCell="Q28" sqref="Q28"/>
    </sheetView>
  </sheetViews>
  <sheetFormatPr defaultRowHeight="14.4" x14ac:dyDescent="0.3"/>
  <cols>
    <col min="6" max="6" width="23.109375" customWidth="1"/>
    <col min="7" max="7" width="10.5546875" customWidth="1"/>
    <col min="9" max="9" width="23.6640625" customWidth="1"/>
    <col min="10" max="10" width="15.109375" customWidth="1"/>
    <col min="12" max="12" width="23.33203125" customWidth="1"/>
    <col min="13" max="13" width="16.33203125" customWidth="1"/>
    <col min="15" max="15" width="23.109375" customWidth="1"/>
    <col min="18" max="18" width="24.33203125" customWidth="1"/>
    <col min="21" max="21" width="23.33203125" customWidth="1"/>
  </cols>
  <sheetData>
    <row r="2" spans="2:22" ht="15" thickBot="1" x14ac:dyDescent="0.35"/>
    <row r="3" spans="2:22" ht="15" thickBot="1" x14ac:dyDescent="0.35">
      <c r="B3" s="1"/>
      <c r="C3" s="164" t="s">
        <v>0</v>
      </c>
      <c r="D3" s="165"/>
      <c r="E3" s="175" t="s">
        <v>3</v>
      </c>
      <c r="F3" s="170"/>
      <c r="G3" s="171"/>
      <c r="H3" s="175" t="s">
        <v>4</v>
      </c>
      <c r="I3" s="170"/>
      <c r="J3" s="171"/>
      <c r="K3" s="175" t="s">
        <v>5</v>
      </c>
      <c r="L3" s="170"/>
      <c r="M3" s="171"/>
      <c r="N3" s="175" t="s">
        <v>6</v>
      </c>
      <c r="O3" s="170"/>
      <c r="P3" s="171"/>
      <c r="Q3" s="175" t="s">
        <v>7</v>
      </c>
      <c r="R3" s="170"/>
      <c r="S3" s="171"/>
      <c r="T3" s="170" t="s">
        <v>8</v>
      </c>
      <c r="U3" s="170"/>
      <c r="V3" s="171"/>
    </row>
    <row r="4" spans="2:22" ht="15" thickBot="1" x14ac:dyDescent="0.35">
      <c r="B4" s="1"/>
      <c r="C4" s="166"/>
      <c r="D4" s="167"/>
      <c r="E4" s="176" t="s">
        <v>25</v>
      </c>
      <c r="F4" s="177"/>
      <c r="G4" s="178"/>
      <c r="H4" s="172" t="s">
        <v>28</v>
      </c>
      <c r="I4" s="173"/>
      <c r="J4" s="174"/>
      <c r="K4" s="172" t="s">
        <v>26</v>
      </c>
      <c r="L4" s="173"/>
      <c r="M4" s="174"/>
      <c r="N4" s="172" t="s">
        <v>15</v>
      </c>
      <c r="O4" s="173"/>
      <c r="P4" s="174"/>
      <c r="Q4" s="172" t="s">
        <v>27</v>
      </c>
      <c r="R4" s="173"/>
      <c r="S4" s="174"/>
      <c r="T4" s="173" t="s">
        <v>29</v>
      </c>
      <c r="U4" s="173"/>
      <c r="V4" s="174"/>
    </row>
    <row r="5" spans="2:22" ht="15" thickBot="1" x14ac:dyDescent="0.35">
      <c r="B5" s="1"/>
      <c r="C5" s="164" t="s">
        <v>1</v>
      </c>
      <c r="D5" s="165"/>
      <c r="E5" s="175" t="s">
        <v>38</v>
      </c>
      <c r="F5" s="171"/>
      <c r="G5" s="2">
        <f>1691</f>
        <v>1691</v>
      </c>
      <c r="H5" s="175" t="s">
        <v>38</v>
      </c>
      <c r="I5" s="171"/>
      <c r="J5" s="2">
        <f>6742</f>
        <v>6742</v>
      </c>
      <c r="K5" s="175" t="s">
        <v>38</v>
      </c>
      <c r="L5" s="171"/>
      <c r="M5" s="2">
        <f>7305</f>
        <v>7305</v>
      </c>
      <c r="N5" s="175" t="s">
        <v>38</v>
      </c>
      <c r="O5" s="171"/>
      <c r="P5" s="2">
        <f>5842</f>
        <v>5842</v>
      </c>
      <c r="Q5" s="175" t="s">
        <v>38</v>
      </c>
      <c r="R5" s="171"/>
      <c r="S5" s="2">
        <f>3143</f>
        <v>3143</v>
      </c>
      <c r="T5" s="175" t="s">
        <v>38</v>
      </c>
      <c r="U5" s="171"/>
      <c r="V5" s="3">
        <f>3768</f>
        <v>3768</v>
      </c>
    </row>
    <row r="6" spans="2:22" ht="15" thickBot="1" x14ac:dyDescent="0.35">
      <c r="B6" s="1"/>
      <c r="C6" s="166"/>
      <c r="D6" s="167"/>
      <c r="E6" s="166" t="s">
        <v>39</v>
      </c>
      <c r="F6" s="167"/>
      <c r="G6" s="4">
        <f>17110</f>
        <v>17110</v>
      </c>
      <c r="H6" s="166" t="s">
        <v>39</v>
      </c>
      <c r="I6" s="167"/>
      <c r="J6" s="4">
        <f>23482</f>
        <v>23482</v>
      </c>
      <c r="K6" s="166" t="s">
        <v>39</v>
      </c>
      <c r="L6" s="167"/>
      <c r="M6" s="4">
        <f>43992</f>
        <v>43992</v>
      </c>
      <c r="N6" s="166" t="s">
        <v>39</v>
      </c>
      <c r="O6" s="167"/>
      <c r="P6" s="4">
        <f>23150</f>
        <v>23150</v>
      </c>
      <c r="Q6" s="166" t="s">
        <v>39</v>
      </c>
      <c r="R6" s="167"/>
      <c r="S6" s="4">
        <f>12941</f>
        <v>12941</v>
      </c>
      <c r="T6" s="166" t="s">
        <v>39</v>
      </c>
      <c r="U6" s="167"/>
      <c r="V6" s="5">
        <f>16414</f>
        <v>16414</v>
      </c>
    </row>
    <row r="7" spans="2:22" ht="15" thickBot="1" x14ac:dyDescent="0.35">
      <c r="B7" s="1"/>
      <c r="C7" s="168" t="s">
        <v>2</v>
      </c>
      <c r="D7" s="169"/>
      <c r="E7" s="175" t="s">
        <v>40</v>
      </c>
      <c r="F7" s="171"/>
      <c r="G7" s="2">
        <f>18955</f>
        <v>18955</v>
      </c>
      <c r="H7" s="175" t="s">
        <v>40</v>
      </c>
      <c r="I7" s="171"/>
      <c r="J7" s="2">
        <f>30786</f>
        <v>30786</v>
      </c>
      <c r="K7" s="175" t="s">
        <v>40</v>
      </c>
      <c r="L7" s="171"/>
      <c r="M7" s="2">
        <f>51560</f>
        <v>51560</v>
      </c>
      <c r="N7" s="175" t="s">
        <v>40</v>
      </c>
      <c r="O7" s="171"/>
      <c r="P7" s="2">
        <f>27773</f>
        <v>27773</v>
      </c>
      <c r="Q7" s="175" t="s">
        <v>40</v>
      </c>
      <c r="R7" s="171"/>
      <c r="S7" s="2">
        <f>16501</f>
        <v>16501</v>
      </c>
      <c r="T7" s="175" t="s">
        <v>40</v>
      </c>
      <c r="U7" s="171"/>
      <c r="V7" s="3">
        <f>20062</f>
        <v>20062</v>
      </c>
    </row>
    <row r="8" spans="2:22" ht="15" thickBot="1" x14ac:dyDescent="0.35">
      <c r="B8" s="1"/>
      <c r="C8" s="166"/>
      <c r="D8" s="167"/>
      <c r="E8" s="166" t="s">
        <v>41</v>
      </c>
      <c r="F8" s="167"/>
      <c r="G8" s="4">
        <v>45</v>
      </c>
      <c r="H8" s="166" t="s">
        <v>41</v>
      </c>
      <c r="I8" s="167"/>
      <c r="J8" s="4">
        <f>953</f>
        <v>953</v>
      </c>
      <c r="K8" s="166" t="s">
        <v>41</v>
      </c>
      <c r="L8" s="167"/>
      <c r="M8" s="4">
        <f>298</f>
        <v>298</v>
      </c>
      <c r="N8" s="166" t="s">
        <v>41</v>
      </c>
      <c r="O8" s="167"/>
      <c r="P8" s="4">
        <f>-663</f>
        <v>-663</v>
      </c>
      <c r="Q8" s="166" t="s">
        <v>41</v>
      </c>
      <c r="R8" s="167"/>
      <c r="S8" s="4">
        <f>-62</f>
        <v>-62</v>
      </c>
      <c r="T8" s="166" t="s">
        <v>41</v>
      </c>
      <c r="U8" s="167"/>
      <c r="V8" s="5">
        <f>-212</f>
        <v>-212</v>
      </c>
    </row>
    <row r="9" spans="2:22" ht="15" thickBot="1" x14ac:dyDescent="0.35">
      <c r="B9" s="1"/>
      <c r="C9" s="164" t="s">
        <v>0</v>
      </c>
      <c r="D9" s="165"/>
      <c r="E9" s="175" t="s">
        <v>9</v>
      </c>
      <c r="F9" s="170"/>
      <c r="G9" s="171"/>
      <c r="H9" s="175" t="s">
        <v>10</v>
      </c>
      <c r="I9" s="170"/>
      <c r="J9" s="171"/>
      <c r="K9" s="175" t="s">
        <v>11</v>
      </c>
      <c r="L9" s="170"/>
      <c r="M9" s="171"/>
      <c r="N9" s="175" t="s">
        <v>12</v>
      </c>
      <c r="O9" s="170"/>
      <c r="P9" s="171"/>
      <c r="Q9" s="175" t="s">
        <v>13</v>
      </c>
      <c r="R9" s="170"/>
      <c r="S9" s="171"/>
      <c r="T9" s="170" t="s">
        <v>14</v>
      </c>
      <c r="U9" s="170"/>
      <c r="V9" s="171"/>
    </row>
    <row r="10" spans="2:22" ht="15" thickBot="1" x14ac:dyDescent="0.35">
      <c r="B10" s="1"/>
      <c r="C10" s="166"/>
      <c r="D10" s="167"/>
      <c r="E10" s="172" t="s">
        <v>30</v>
      </c>
      <c r="F10" s="173"/>
      <c r="G10" s="174"/>
      <c r="H10" s="172" t="s">
        <v>31</v>
      </c>
      <c r="I10" s="173"/>
      <c r="J10" s="174"/>
      <c r="K10" s="172" t="s">
        <v>32</v>
      </c>
      <c r="L10" s="173"/>
      <c r="M10" s="174"/>
      <c r="N10" s="172" t="s">
        <v>16</v>
      </c>
      <c r="O10" s="173"/>
      <c r="P10" s="174"/>
      <c r="Q10" s="172" t="s">
        <v>33</v>
      </c>
      <c r="R10" s="173"/>
      <c r="S10" s="174"/>
      <c r="T10" s="173" t="s">
        <v>34</v>
      </c>
      <c r="U10" s="173"/>
      <c r="V10" s="174"/>
    </row>
    <row r="11" spans="2:22" ht="15" thickBot="1" x14ac:dyDescent="0.35">
      <c r="B11" s="1"/>
      <c r="C11" s="164" t="s">
        <v>1</v>
      </c>
      <c r="D11" s="165"/>
      <c r="E11" s="175" t="s">
        <v>38</v>
      </c>
      <c r="F11" s="171"/>
      <c r="G11" s="2">
        <f>2374</f>
        <v>2374</v>
      </c>
      <c r="H11" s="175" t="s">
        <v>38</v>
      </c>
      <c r="I11" s="171"/>
      <c r="J11" s="2">
        <f>3724</f>
        <v>3724</v>
      </c>
      <c r="K11" s="175" t="s">
        <v>38</v>
      </c>
      <c r="L11" s="171"/>
      <c r="M11" s="2">
        <f>1317</f>
        <v>1317</v>
      </c>
      <c r="N11" s="175" t="s">
        <v>38</v>
      </c>
      <c r="O11" s="171"/>
      <c r="P11" s="2">
        <f>3075</f>
        <v>3075</v>
      </c>
      <c r="Q11" s="175" t="s">
        <v>38</v>
      </c>
      <c r="R11" s="171"/>
      <c r="S11" s="2">
        <f>0</f>
        <v>0</v>
      </c>
      <c r="T11" s="175" t="s">
        <v>38</v>
      </c>
      <c r="U11" s="171"/>
      <c r="V11" s="3">
        <f>1207</f>
        <v>1207</v>
      </c>
    </row>
    <row r="12" spans="2:22" ht="15" thickBot="1" x14ac:dyDescent="0.35">
      <c r="B12" s="1"/>
      <c r="C12" s="166"/>
      <c r="D12" s="167"/>
      <c r="E12" s="166" t="s">
        <v>39</v>
      </c>
      <c r="F12" s="167"/>
      <c r="G12" s="4">
        <f>9648</f>
        <v>9648</v>
      </c>
      <c r="H12" s="166" t="s">
        <v>39</v>
      </c>
      <c r="I12" s="167"/>
      <c r="J12" s="4">
        <f>17447</f>
        <v>17447</v>
      </c>
      <c r="K12" s="166" t="s">
        <v>39</v>
      </c>
      <c r="L12" s="167"/>
      <c r="M12" s="4">
        <f>23289</f>
        <v>23289</v>
      </c>
      <c r="N12" s="166" t="s">
        <v>39</v>
      </c>
      <c r="O12" s="167"/>
      <c r="P12" s="4">
        <f>13582</f>
        <v>13582</v>
      </c>
      <c r="Q12" s="166" t="s">
        <v>39</v>
      </c>
      <c r="R12" s="167"/>
      <c r="S12" s="4">
        <f>1831</f>
        <v>1831</v>
      </c>
      <c r="T12" s="166" t="s">
        <v>39</v>
      </c>
      <c r="U12" s="167"/>
      <c r="V12" s="5">
        <f>7133</f>
        <v>7133</v>
      </c>
    </row>
    <row r="13" spans="2:22" ht="15" thickBot="1" x14ac:dyDescent="0.35">
      <c r="B13" s="1"/>
      <c r="C13" s="168" t="s">
        <v>2</v>
      </c>
      <c r="D13" s="169"/>
      <c r="E13" s="175" t="s">
        <v>40</v>
      </c>
      <c r="F13" s="171"/>
      <c r="G13" s="2">
        <f>10518</f>
        <v>10518</v>
      </c>
      <c r="H13" s="175" t="s">
        <v>40</v>
      </c>
      <c r="I13" s="171"/>
      <c r="J13" s="2">
        <f>19528</f>
        <v>19528</v>
      </c>
      <c r="K13" s="175" t="s">
        <v>40</v>
      </c>
      <c r="L13" s="171"/>
      <c r="M13" s="2">
        <f>25690</f>
        <v>25690</v>
      </c>
      <c r="N13" s="175" t="s">
        <v>40</v>
      </c>
      <c r="O13" s="171"/>
      <c r="P13" s="2">
        <f>16416</f>
        <v>16416</v>
      </c>
      <c r="Q13" s="175" t="s">
        <v>40</v>
      </c>
      <c r="R13" s="171"/>
      <c r="S13" s="2">
        <f>1672</f>
        <v>1672</v>
      </c>
      <c r="T13" s="175" t="s">
        <v>40</v>
      </c>
      <c r="U13" s="171"/>
      <c r="V13" s="3">
        <f>7738</f>
        <v>7738</v>
      </c>
    </row>
    <row r="14" spans="2:22" ht="15" thickBot="1" x14ac:dyDescent="0.35">
      <c r="B14" s="1"/>
      <c r="C14" s="166"/>
      <c r="D14" s="167"/>
      <c r="E14" s="166" t="s">
        <v>41</v>
      </c>
      <c r="F14" s="167"/>
      <c r="G14" s="4">
        <f>-1744</f>
        <v>-1744</v>
      </c>
      <c r="H14" s="166" t="s">
        <v>41</v>
      </c>
      <c r="I14" s="167"/>
      <c r="J14" s="4">
        <f>-220</f>
        <v>-220</v>
      </c>
      <c r="K14" s="166" t="s">
        <v>41</v>
      </c>
      <c r="L14" s="167"/>
      <c r="M14" s="4">
        <f>694</f>
        <v>694</v>
      </c>
      <c r="N14" s="166" t="s">
        <v>41</v>
      </c>
      <c r="O14" s="167"/>
      <c r="P14" s="4">
        <f>26</f>
        <v>26</v>
      </c>
      <c r="Q14" s="166" t="s">
        <v>41</v>
      </c>
      <c r="R14" s="167"/>
      <c r="S14" s="4">
        <f>-162</f>
        <v>-162</v>
      </c>
      <c r="T14" s="166" t="s">
        <v>41</v>
      </c>
      <c r="U14" s="167"/>
      <c r="V14" s="5">
        <f>-602</f>
        <v>-602</v>
      </c>
    </row>
    <row r="15" spans="2:22" ht="15" thickBot="1" x14ac:dyDescent="0.35">
      <c r="B15" s="1"/>
      <c r="C15" s="164" t="s">
        <v>0</v>
      </c>
      <c r="D15" s="165"/>
      <c r="E15" s="175" t="s">
        <v>17</v>
      </c>
      <c r="F15" s="170"/>
      <c r="G15" s="171"/>
      <c r="H15" s="175" t="s">
        <v>19</v>
      </c>
      <c r="I15" s="170"/>
      <c r="J15" s="171"/>
      <c r="K15" s="175" t="s">
        <v>20</v>
      </c>
      <c r="L15" s="170"/>
      <c r="M15" s="171"/>
      <c r="N15" s="175" t="s">
        <v>21</v>
      </c>
      <c r="O15" s="170"/>
      <c r="P15" s="171"/>
      <c r="Q15" s="175" t="s">
        <v>36</v>
      </c>
      <c r="R15" s="170"/>
      <c r="S15" s="171"/>
      <c r="T15" s="170" t="s">
        <v>23</v>
      </c>
      <c r="U15" s="170"/>
      <c r="V15" s="171"/>
    </row>
    <row r="16" spans="2:22" ht="15" thickBot="1" x14ac:dyDescent="0.35">
      <c r="B16" s="1"/>
      <c r="C16" s="166"/>
      <c r="D16" s="167"/>
      <c r="E16" s="172" t="s">
        <v>18</v>
      </c>
      <c r="F16" s="173"/>
      <c r="G16" s="174"/>
      <c r="H16" s="172" t="s">
        <v>18</v>
      </c>
      <c r="I16" s="173"/>
      <c r="J16" s="174"/>
      <c r="K16" s="172" t="s">
        <v>18</v>
      </c>
      <c r="L16" s="173"/>
      <c r="M16" s="174"/>
      <c r="N16" s="172" t="s">
        <v>35</v>
      </c>
      <c r="O16" s="173"/>
      <c r="P16" s="174"/>
      <c r="Q16" s="172" t="s">
        <v>22</v>
      </c>
      <c r="R16" s="173"/>
      <c r="S16" s="174"/>
      <c r="T16" s="173" t="s">
        <v>24</v>
      </c>
      <c r="U16" s="173"/>
      <c r="V16" s="174"/>
    </row>
    <row r="17" spans="2:22" ht="15" thickBot="1" x14ac:dyDescent="0.35">
      <c r="B17" s="1"/>
      <c r="C17" s="164" t="s">
        <v>1</v>
      </c>
      <c r="D17" s="165"/>
      <c r="E17" s="175" t="s">
        <v>38</v>
      </c>
      <c r="F17" s="171"/>
      <c r="G17" s="2">
        <f>2359</f>
        <v>2359</v>
      </c>
      <c r="H17" s="175" t="s">
        <v>38</v>
      </c>
      <c r="I17" s="171"/>
      <c r="J17" s="2">
        <f>265</f>
        <v>265</v>
      </c>
      <c r="K17" s="175" t="s">
        <v>38</v>
      </c>
      <c r="L17" s="171"/>
      <c r="M17" s="2">
        <f>503</f>
        <v>503</v>
      </c>
      <c r="N17" s="175" t="s">
        <v>38</v>
      </c>
      <c r="O17" s="171"/>
      <c r="P17" s="2">
        <f>0</f>
        <v>0</v>
      </c>
      <c r="Q17" s="175" t="s">
        <v>38</v>
      </c>
      <c r="R17" s="171"/>
      <c r="S17" s="2">
        <f>794</f>
        <v>794</v>
      </c>
      <c r="T17" s="175" t="s">
        <v>38</v>
      </c>
      <c r="U17" s="171"/>
      <c r="V17" s="3">
        <f>0</f>
        <v>0</v>
      </c>
    </row>
    <row r="18" spans="2:22" ht="15" thickBot="1" x14ac:dyDescent="0.35">
      <c r="B18" s="1"/>
      <c r="C18" s="166"/>
      <c r="D18" s="167"/>
      <c r="E18" s="166" t="s">
        <v>39</v>
      </c>
      <c r="F18" s="167"/>
      <c r="G18" s="4">
        <f>10395</f>
        <v>10395</v>
      </c>
      <c r="H18" s="166" t="s">
        <v>39</v>
      </c>
      <c r="I18" s="167"/>
      <c r="J18" s="4">
        <f>6974</f>
        <v>6974</v>
      </c>
      <c r="K18" s="166" t="s">
        <v>39</v>
      </c>
      <c r="L18" s="167"/>
      <c r="M18" s="4">
        <f>6620</f>
        <v>6620</v>
      </c>
      <c r="N18" s="166" t="s">
        <v>39</v>
      </c>
      <c r="O18" s="167"/>
      <c r="P18" s="4">
        <f>5218</f>
        <v>5218</v>
      </c>
      <c r="Q18" s="166" t="s">
        <v>39</v>
      </c>
      <c r="R18" s="167"/>
      <c r="S18" s="4">
        <f>2171</f>
        <v>2171</v>
      </c>
      <c r="T18" s="166" t="s">
        <v>39</v>
      </c>
      <c r="U18" s="167"/>
      <c r="V18" s="5">
        <f>3631</f>
        <v>3631</v>
      </c>
    </row>
    <row r="19" spans="2:22" ht="15" thickBot="1" x14ac:dyDescent="0.35">
      <c r="B19" s="1"/>
      <c r="C19" s="168" t="s">
        <v>2</v>
      </c>
      <c r="D19" s="169"/>
      <c r="E19" s="175" t="s">
        <v>40</v>
      </c>
      <c r="F19" s="171"/>
      <c r="G19" s="2">
        <f>13031</f>
        <v>13031</v>
      </c>
      <c r="H19" s="175" t="s">
        <v>40</v>
      </c>
      <c r="I19" s="171"/>
      <c r="J19" s="2">
        <f>7326</f>
        <v>7326</v>
      </c>
      <c r="K19" s="175" t="s">
        <v>40</v>
      </c>
      <c r="L19" s="171"/>
      <c r="M19" s="2">
        <f>7400</f>
        <v>7400</v>
      </c>
      <c r="N19" s="175" t="s">
        <v>40</v>
      </c>
      <c r="O19" s="171"/>
      <c r="P19" s="2">
        <f>5325</f>
        <v>5325</v>
      </c>
      <c r="Q19" s="175" t="s">
        <v>40</v>
      </c>
      <c r="R19" s="171"/>
      <c r="S19" s="2">
        <f>276</f>
        <v>276</v>
      </c>
      <c r="T19" s="175" t="s">
        <v>40</v>
      </c>
      <c r="U19" s="171"/>
      <c r="V19" s="3">
        <f>3638</f>
        <v>3638</v>
      </c>
    </row>
    <row r="20" spans="2:22" ht="15" thickBot="1" x14ac:dyDescent="0.35">
      <c r="B20" s="1"/>
      <c r="C20" s="166"/>
      <c r="D20" s="167"/>
      <c r="E20" s="166" t="s">
        <v>41</v>
      </c>
      <c r="F20" s="167"/>
      <c r="G20" s="4">
        <f>196</f>
        <v>196</v>
      </c>
      <c r="H20" s="166" t="s">
        <v>41</v>
      </c>
      <c r="I20" s="167"/>
      <c r="J20" s="4">
        <f>31</f>
        <v>31</v>
      </c>
      <c r="K20" s="166" t="s">
        <v>41</v>
      </c>
      <c r="L20" s="167"/>
      <c r="M20" s="4">
        <f>187</f>
        <v>187</v>
      </c>
      <c r="N20" s="166" t="s">
        <v>41</v>
      </c>
      <c r="O20" s="167"/>
      <c r="P20" s="4">
        <f>96</f>
        <v>96</v>
      </c>
      <c r="Q20" s="166" t="s">
        <v>41</v>
      </c>
      <c r="R20" s="167"/>
      <c r="S20" s="4">
        <f>-17</f>
        <v>-17</v>
      </c>
      <c r="T20" s="166" t="s">
        <v>41</v>
      </c>
      <c r="U20" s="167"/>
      <c r="V20" s="5">
        <f>7</f>
        <v>7</v>
      </c>
    </row>
    <row r="22" spans="2:22" x14ac:dyDescent="0.3">
      <c r="C22" s="179" t="s">
        <v>37</v>
      </c>
      <c r="D22" s="179"/>
      <c r="E22" s="179"/>
      <c r="F22" s="179"/>
      <c r="G22" s="179"/>
      <c r="H22" s="179"/>
      <c r="I22" s="179"/>
    </row>
  </sheetData>
  <mergeCells count="118">
    <mergeCell ref="C22:I22"/>
    <mergeCell ref="C7:D8"/>
    <mergeCell ref="T9:V9"/>
    <mergeCell ref="C9:D10"/>
    <mergeCell ref="Q8:R8"/>
    <mergeCell ref="Q7:R7"/>
    <mergeCell ref="N8:O8"/>
    <mergeCell ref="N7:O7"/>
    <mergeCell ref="T8:U8"/>
    <mergeCell ref="T7:U7"/>
    <mergeCell ref="T10:V10"/>
    <mergeCell ref="Q10:S10"/>
    <mergeCell ref="N10:P10"/>
    <mergeCell ref="K10:M10"/>
    <mergeCell ref="H10:J10"/>
    <mergeCell ref="K8:L8"/>
    <mergeCell ref="K7:L7"/>
    <mergeCell ref="E8:F8"/>
    <mergeCell ref="E7:F7"/>
    <mergeCell ref="Q9:S9"/>
    <mergeCell ref="Q20:R20"/>
    <mergeCell ref="T11:U11"/>
    <mergeCell ref="T12:U12"/>
    <mergeCell ref="T13:U13"/>
    <mergeCell ref="N19:O19"/>
    <mergeCell ref="N20:O20"/>
    <mergeCell ref="K17:L17"/>
    <mergeCell ref="K14:L14"/>
    <mergeCell ref="K13:L13"/>
    <mergeCell ref="K12:L12"/>
    <mergeCell ref="K11:L11"/>
    <mergeCell ref="T14:U14"/>
    <mergeCell ref="T17:U17"/>
    <mergeCell ref="T18:U18"/>
    <mergeCell ref="T19:U19"/>
    <mergeCell ref="T20:U20"/>
    <mergeCell ref="Q12:R12"/>
    <mergeCell ref="Q11:R11"/>
    <mergeCell ref="Q13:R13"/>
    <mergeCell ref="Q14:R14"/>
    <mergeCell ref="Q17:R17"/>
    <mergeCell ref="Q18:R18"/>
    <mergeCell ref="Q19:R19"/>
    <mergeCell ref="H5:I5"/>
    <mergeCell ref="H6:I6"/>
    <mergeCell ref="H7:I7"/>
    <mergeCell ref="H8:I8"/>
    <mergeCell ref="H18:I18"/>
    <mergeCell ref="H19:I19"/>
    <mergeCell ref="H20:I20"/>
    <mergeCell ref="E10:G10"/>
    <mergeCell ref="H14:I14"/>
    <mergeCell ref="H13:I13"/>
    <mergeCell ref="H12:I12"/>
    <mergeCell ref="H11:I11"/>
    <mergeCell ref="H17:I17"/>
    <mergeCell ref="K3:M3"/>
    <mergeCell ref="N3:P3"/>
    <mergeCell ref="Q3:S3"/>
    <mergeCell ref="T3:V3"/>
    <mergeCell ref="K4:M4"/>
    <mergeCell ref="N4:P4"/>
    <mergeCell ref="Q4:S4"/>
    <mergeCell ref="C3:D4"/>
    <mergeCell ref="C5:D6"/>
    <mergeCell ref="E3:G3"/>
    <mergeCell ref="E4:G4"/>
    <mergeCell ref="H3:J3"/>
    <mergeCell ref="H4:J4"/>
    <mergeCell ref="T4:V4"/>
    <mergeCell ref="E5:F5"/>
    <mergeCell ref="E6:F6"/>
    <mergeCell ref="K5:L5"/>
    <mergeCell ref="K6:L6"/>
    <mergeCell ref="T5:U5"/>
    <mergeCell ref="T6:U6"/>
    <mergeCell ref="N5:O5"/>
    <mergeCell ref="N6:O6"/>
    <mergeCell ref="Q5:R5"/>
    <mergeCell ref="Q6:R6"/>
    <mergeCell ref="C13:D14"/>
    <mergeCell ref="E9:G9"/>
    <mergeCell ref="H9:J9"/>
    <mergeCell ref="K9:M9"/>
    <mergeCell ref="N9:P9"/>
    <mergeCell ref="C11:D12"/>
    <mergeCell ref="E11:F11"/>
    <mergeCell ref="E12:F12"/>
    <mergeCell ref="E13:F13"/>
    <mergeCell ref="E14:F14"/>
    <mergeCell ref="N11:O11"/>
    <mergeCell ref="N12:O12"/>
    <mergeCell ref="N13:O13"/>
    <mergeCell ref="N14:O14"/>
    <mergeCell ref="C17:D18"/>
    <mergeCell ref="C19:D20"/>
    <mergeCell ref="T15:V15"/>
    <mergeCell ref="E16:G16"/>
    <mergeCell ref="H16:J16"/>
    <mergeCell ref="K16:M16"/>
    <mergeCell ref="N16:P16"/>
    <mergeCell ref="Q16:S16"/>
    <mergeCell ref="T16:V16"/>
    <mergeCell ref="C15:D16"/>
    <mergeCell ref="E15:G15"/>
    <mergeCell ref="H15:J15"/>
    <mergeCell ref="K15:M15"/>
    <mergeCell ref="N15:P15"/>
    <mergeCell ref="Q15:S15"/>
    <mergeCell ref="E17:F17"/>
    <mergeCell ref="E18:F18"/>
    <mergeCell ref="E19:F19"/>
    <mergeCell ref="E20:F20"/>
    <mergeCell ref="K18:L18"/>
    <mergeCell ref="K19:L19"/>
    <mergeCell ref="K20:L20"/>
    <mergeCell ref="N17:O17"/>
    <mergeCell ref="N18:O1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234A-2554-4C58-9EF4-BAA3E7594F6D}">
  <dimension ref="A1:I35"/>
  <sheetViews>
    <sheetView showGridLines="0" topLeftCell="A12" workbookViewId="0">
      <selection activeCell="E15" sqref="E15:E34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5" width="12.664062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184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4.2391252562940967E-5</v>
      </c>
      <c r="E9" s="16">
        <v>0</v>
      </c>
      <c r="F9" s="16">
        <v>0</v>
      </c>
      <c r="G9" s="16">
        <v>2777.7716725534156</v>
      </c>
      <c r="H9" s="16">
        <v>450.94865246559863</v>
      </c>
    </row>
    <row r="10" spans="1:8" x14ac:dyDescent="0.3">
      <c r="B10" s="16" t="s">
        <v>129</v>
      </c>
      <c r="C10" s="16" t="s">
        <v>104</v>
      </c>
      <c r="D10" s="16">
        <v>4.8265752519232244E-5</v>
      </c>
      <c r="E10" s="16">
        <v>0</v>
      </c>
      <c r="F10" s="16">
        <v>0</v>
      </c>
      <c r="G10" s="16">
        <v>2112.1345341120264</v>
      </c>
      <c r="H10" s="16">
        <v>13010.411374775684</v>
      </c>
    </row>
    <row r="11" spans="1:8" x14ac:dyDescent="0.3">
      <c r="B11" s="16" t="s">
        <v>130</v>
      </c>
      <c r="C11" s="16" t="s">
        <v>105</v>
      </c>
      <c r="D11" s="16">
        <v>4.5929652833723461E-5</v>
      </c>
      <c r="E11" s="16">
        <v>0</v>
      </c>
      <c r="F11" s="16">
        <v>19528</v>
      </c>
      <c r="G11" s="16">
        <v>1E+30</v>
      </c>
      <c r="H11" s="16">
        <v>4430.2726037761568</v>
      </c>
    </row>
    <row r="12" spans="1:8" ht="15" thickBot="1" x14ac:dyDescent="0.35">
      <c r="B12" s="17" t="s">
        <v>131</v>
      </c>
      <c r="C12" s="17" t="s">
        <v>106</v>
      </c>
      <c r="D12" s="17">
        <v>0</v>
      </c>
      <c r="E12" s="17">
        <v>-447.49554310064252</v>
      </c>
      <c r="F12" s="17">
        <v>1525</v>
      </c>
      <c r="G12" s="17">
        <v>447.49554310064252</v>
      </c>
      <c r="H12" s="17">
        <v>1E+30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9" x14ac:dyDescent="0.3">
      <c r="B17" s="16" t="s">
        <v>132</v>
      </c>
      <c r="C17" s="16" t="s">
        <v>133</v>
      </c>
      <c r="D17" s="16">
        <v>-2.695645547733172E-2</v>
      </c>
      <c r="E17" s="16">
        <v>0</v>
      </c>
      <c r="F17" s="16">
        <v>0</v>
      </c>
      <c r="G17" s="16">
        <v>1E+30</v>
      </c>
      <c r="H17" s="16">
        <v>2.6956455477331637E-2</v>
      </c>
    </row>
    <row r="18" spans="2:9" x14ac:dyDescent="0.3">
      <c r="B18" s="16" t="s">
        <v>134</v>
      </c>
      <c r="C18" s="16" t="s">
        <v>135</v>
      </c>
      <c r="D18" s="16">
        <v>-5.2303245495122219E-3</v>
      </c>
      <c r="E18" s="16">
        <v>0</v>
      </c>
      <c r="F18" s="16">
        <v>0</v>
      </c>
      <c r="G18" s="16">
        <v>1E+30</v>
      </c>
      <c r="H18" s="16">
        <v>5.2303245495120138E-3</v>
      </c>
    </row>
    <row r="19" spans="2:9" x14ac:dyDescent="0.3">
      <c r="B19" s="16" t="s">
        <v>136</v>
      </c>
      <c r="C19" s="16" t="s">
        <v>137</v>
      </c>
      <c r="D19" s="16">
        <v>-6.4884575944130329E-2</v>
      </c>
      <c r="E19" s="16">
        <v>0</v>
      </c>
      <c r="F19" s="16">
        <v>0</v>
      </c>
      <c r="G19" s="16">
        <v>1E+30</v>
      </c>
      <c r="H19" s="16">
        <v>6.4884575944129594E-2</v>
      </c>
    </row>
    <row r="20" spans="2:9" x14ac:dyDescent="0.3">
      <c r="B20" s="16" t="s">
        <v>138</v>
      </c>
      <c r="C20" s="16" t="s">
        <v>139</v>
      </c>
      <c r="D20" s="16">
        <v>-8.9440011394488872E-2</v>
      </c>
      <c r="E20" s="16">
        <v>0</v>
      </c>
      <c r="F20" s="16">
        <v>0</v>
      </c>
      <c r="G20" s="16">
        <v>1E+30</v>
      </c>
      <c r="H20" s="16">
        <v>8.9440011394488664E-2</v>
      </c>
    </row>
    <row r="21" spans="2:9" x14ac:dyDescent="0.3">
      <c r="B21" s="16" t="s">
        <v>140</v>
      </c>
      <c r="C21" s="16" t="s">
        <v>141</v>
      </c>
      <c r="D21" s="16">
        <v>0</v>
      </c>
      <c r="E21" s="21">
        <v>1.0181543455408457</v>
      </c>
      <c r="F21" s="16">
        <v>0</v>
      </c>
      <c r="G21" s="16">
        <v>2.3359545258283482E-3</v>
      </c>
      <c r="H21" s="16">
        <v>5.6142146972627725E-2</v>
      </c>
      <c r="I21" t="s">
        <v>175</v>
      </c>
    </row>
    <row r="22" spans="2:9" x14ac:dyDescent="0.3">
      <c r="B22" s="16" t="s">
        <v>142</v>
      </c>
      <c r="C22" s="16" t="s">
        <v>143</v>
      </c>
      <c r="D22" s="16">
        <v>-3.0565997610242479E-2</v>
      </c>
      <c r="E22" s="16">
        <v>0</v>
      </c>
      <c r="F22" s="16">
        <v>0</v>
      </c>
      <c r="G22" s="16">
        <v>1E+30</v>
      </c>
      <c r="H22" s="16">
        <v>3.0565997610242427E-2</v>
      </c>
    </row>
    <row r="23" spans="2:9" x14ac:dyDescent="0.3">
      <c r="B23" s="16" t="s">
        <v>144</v>
      </c>
      <c r="C23" s="16" t="s">
        <v>145</v>
      </c>
      <c r="D23" s="16">
        <v>-8.3259116637434127E-2</v>
      </c>
      <c r="E23" s="16">
        <v>0</v>
      </c>
      <c r="F23" s="16">
        <v>0</v>
      </c>
      <c r="G23" s="16">
        <v>1E+30</v>
      </c>
      <c r="H23" s="16">
        <v>8.3259116637434169E-2</v>
      </c>
    </row>
    <row r="24" spans="2:9" x14ac:dyDescent="0.3">
      <c r="B24" s="16" t="s">
        <v>146</v>
      </c>
      <c r="C24" s="16" t="s">
        <v>147</v>
      </c>
      <c r="D24" s="16">
        <v>-0.10308573946304833</v>
      </c>
      <c r="E24" s="16">
        <v>0</v>
      </c>
      <c r="F24" s="16">
        <v>0</v>
      </c>
      <c r="G24" s="16">
        <v>1E+30</v>
      </c>
      <c r="H24" s="16">
        <v>0.10308573946304825</v>
      </c>
    </row>
    <row r="25" spans="2:9" x14ac:dyDescent="0.3">
      <c r="B25" s="16" t="s">
        <v>148</v>
      </c>
      <c r="C25" s="16" t="s">
        <v>149</v>
      </c>
      <c r="D25" s="16">
        <v>0</v>
      </c>
      <c r="E25" s="21">
        <v>0.10616719128962686</v>
      </c>
      <c r="F25" s="16">
        <v>0</v>
      </c>
      <c r="G25" s="16">
        <v>3.951710834612438E-3</v>
      </c>
      <c r="H25" s="16">
        <v>2.1810694387682406E-2</v>
      </c>
      <c r="I25" t="s">
        <v>175</v>
      </c>
    </row>
    <row r="26" spans="2:9" x14ac:dyDescent="0.3">
      <c r="B26" s="16" t="s">
        <v>150</v>
      </c>
      <c r="C26" s="16" t="s">
        <v>151</v>
      </c>
      <c r="D26" s="16">
        <v>-3.1959762681414317E-2</v>
      </c>
      <c r="E26" s="16">
        <v>0</v>
      </c>
      <c r="F26" s="16">
        <v>0</v>
      </c>
      <c r="G26" s="16">
        <v>1E+30</v>
      </c>
      <c r="H26" s="16">
        <v>3.1959762681414386E-2</v>
      </c>
    </row>
    <row r="27" spans="2:9" x14ac:dyDescent="0.3">
      <c r="B27" s="16" t="s">
        <v>152</v>
      </c>
      <c r="C27" s="16" t="s">
        <v>153</v>
      </c>
      <c r="D27" s="16">
        <v>-1.1622604577291556E-2</v>
      </c>
      <c r="E27" s="16">
        <v>0</v>
      </c>
      <c r="F27" s="16">
        <v>0</v>
      </c>
      <c r="G27" s="16">
        <v>1E+30</v>
      </c>
      <c r="H27" s="16">
        <v>1.1622604577291539E-2</v>
      </c>
    </row>
    <row r="28" spans="2:9" x14ac:dyDescent="0.3">
      <c r="B28" s="16" t="s">
        <v>154</v>
      </c>
      <c r="C28" s="16" t="s">
        <v>155</v>
      </c>
      <c r="D28" s="16">
        <v>-4.0084592188364132E-2</v>
      </c>
      <c r="E28" s="16">
        <v>0</v>
      </c>
      <c r="F28" s="16">
        <v>0</v>
      </c>
      <c r="G28" s="16">
        <v>1E+30</v>
      </c>
      <c r="H28" s="16">
        <v>4.0084592188364111E-2</v>
      </c>
    </row>
    <row r="29" spans="2:9" x14ac:dyDescent="0.3">
      <c r="B29" s="16" t="s">
        <v>156</v>
      </c>
      <c r="C29" s="16" t="s">
        <v>157</v>
      </c>
      <c r="D29" s="16">
        <v>-3.2565474097094316E-3</v>
      </c>
      <c r="E29" s="16">
        <v>0</v>
      </c>
      <c r="F29" s="16">
        <v>0</v>
      </c>
      <c r="G29" s="16">
        <v>1E+30</v>
      </c>
      <c r="H29" s="16">
        <v>3.2565474097094242E-3</v>
      </c>
    </row>
    <row r="30" spans="2:9" x14ac:dyDescent="0.3">
      <c r="B30" s="16" t="s">
        <v>158</v>
      </c>
      <c r="C30" s="16" t="s">
        <v>159</v>
      </c>
      <c r="D30" s="16">
        <v>-1.14007945910099E-2</v>
      </c>
      <c r="E30" s="16">
        <v>0</v>
      </c>
      <c r="F30" s="16">
        <v>0</v>
      </c>
      <c r="G30" s="16">
        <v>1E+30</v>
      </c>
      <c r="H30" s="16">
        <v>1.1400794591009872E-2</v>
      </c>
    </row>
    <row r="31" spans="2:9" x14ac:dyDescent="0.3">
      <c r="B31" s="16" t="s">
        <v>160</v>
      </c>
      <c r="C31" s="16" t="s">
        <v>161</v>
      </c>
      <c r="D31" s="16">
        <v>-1.0050419994861448E-3</v>
      </c>
      <c r="E31" s="16">
        <v>0</v>
      </c>
      <c r="F31" s="16">
        <v>0</v>
      </c>
      <c r="G31" s="16">
        <v>1E+30</v>
      </c>
      <c r="H31" s="16">
        <v>1.0050419994860763E-3</v>
      </c>
    </row>
    <row r="32" spans="2:9" x14ac:dyDescent="0.3">
      <c r="B32" s="16" t="s">
        <v>162</v>
      </c>
      <c r="C32" s="16" t="s">
        <v>163</v>
      </c>
      <c r="D32" s="16">
        <v>-7.3176865583393924E-3</v>
      </c>
      <c r="E32" s="16">
        <v>0</v>
      </c>
      <c r="F32" s="16">
        <v>0</v>
      </c>
      <c r="G32" s="16">
        <v>1E+30</v>
      </c>
      <c r="H32" s="16">
        <v>7.31768655833933E-3</v>
      </c>
    </row>
    <row r="33" spans="2:8" x14ac:dyDescent="0.3">
      <c r="B33" s="16" t="s">
        <v>164</v>
      </c>
      <c r="C33" s="16" t="s">
        <v>165</v>
      </c>
      <c r="D33" s="16">
        <v>-0.1258094103246836</v>
      </c>
      <c r="E33" s="16">
        <v>0</v>
      </c>
      <c r="F33" s="16">
        <v>0</v>
      </c>
      <c r="G33" s="16">
        <v>1E+30</v>
      </c>
      <c r="H33" s="16">
        <v>0.12580941032468357</v>
      </c>
    </row>
    <row r="34" spans="2:8" x14ac:dyDescent="0.3">
      <c r="B34" s="16" t="s">
        <v>166</v>
      </c>
      <c r="C34" s="16" t="s">
        <v>167</v>
      </c>
      <c r="D34" s="16">
        <v>-8.2032616408092562E-3</v>
      </c>
      <c r="E34" s="16">
        <v>0</v>
      </c>
      <c r="F34" s="16">
        <v>0</v>
      </c>
      <c r="G34" s="16">
        <v>1E+30</v>
      </c>
      <c r="H34" s="16">
        <v>8.2032616408092701E-3</v>
      </c>
    </row>
    <row r="35" spans="2:8" ht="15" thickBot="1" x14ac:dyDescent="0.35">
      <c r="B35" s="17" t="s">
        <v>185</v>
      </c>
      <c r="C35" s="17" t="s">
        <v>169</v>
      </c>
      <c r="D35" s="17">
        <v>1</v>
      </c>
      <c r="E35" s="17">
        <v>0.89691426053695167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B24D7-6B7C-4C05-936A-4EB9451C8DED}">
  <dimension ref="A1:H35"/>
  <sheetViews>
    <sheetView showGridLines="0" topLeftCell="A12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4" width="12.6640625" bestFit="1" customWidth="1"/>
    <col min="5" max="5" width="11.554687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186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3.5926836879890007E-5</v>
      </c>
      <c r="E9" s="16">
        <v>0</v>
      </c>
      <c r="F9" s="16">
        <v>0</v>
      </c>
      <c r="G9" s="16">
        <v>0</v>
      </c>
      <c r="H9" s="16">
        <v>3754.6023935994122</v>
      </c>
    </row>
    <row r="10" spans="1:8" x14ac:dyDescent="0.3">
      <c r="B10" s="16" t="s">
        <v>129</v>
      </c>
      <c r="C10" s="16" t="s">
        <v>104</v>
      </c>
      <c r="D10" s="16">
        <v>4.0905510283494566E-5</v>
      </c>
      <c r="E10" s="16">
        <v>0</v>
      </c>
      <c r="F10" s="16">
        <v>0</v>
      </c>
      <c r="G10" s="16">
        <v>66343.653372182642</v>
      </c>
      <c r="H10" s="16">
        <v>0</v>
      </c>
    </row>
    <row r="11" spans="1:8" x14ac:dyDescent="0.3">
      <c r="B11" s="16" t="s">
        <v>130</v>
      </c>
      <c r="C11" s="16" t="s">
        <v>105</v>
      </c>
      <c r="D11" s="16">
        <v>3.8925652004671076E-5</v>
      </c>
      <c r="E11" s="16">
        <v>0</v>
      </c>
      <c r="F11" s="16">
        <v>25690</v>
      </c>
      <c r="G11" s="16">
        <v>1E+30</v>
      </c>
      <c r="H11" s="16">
        <v>0</v>
      </c>
    </row>
    <row r="12" spans="1:8" ht="15" thickBot="1" x14ac:dyDescent="0.35">
      <c r="B12" s="17" t="s">
        <v>131</v>
      </c>
      <c r="C12" s="17" t="s">
        <v>106</v>
      </c>
      <c r="D12" s="17">
        <v>0</v>
      </c>
      <c r="E12" s="17">
        <v>0</v>
      </c>
      <c r="F12" s="17">
        <v>2439</v>
      </c>
      <c r="G12" s="17">
        <v>0</v>
      </c>
      <c r="H12" s="17">
        <v>1E+30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8" x14ac:dyDescent="0.3">
      <c r="B17" s="16" t="s">
        <v>132</v>
      </c>
      <c r="C17" s="16" t="s">
        <v>133</v>
      </c>
      <c r="D17" s="16">
        <v>-2.2845755202825613E-2</v>
      </c>
      <c r="E17" s="16">
        <v>0</v>
      </c>
      <c r="F17" s="16">
        <v>0</v>
      </c>
      <c r="G17" s="16">
        <v>1E+30</v>
      </c>
      <c r="H17" s="16">
        <v>2.2845755202825609E-2</v>
      </c>
    </row>
    <row r="18" spans="2:8" x14ac:dyDescent="0.3">
      <c r="B18" s="16" t="s">
        <v>134</v>
      </c>
      <c r="C18" s="16" t="s">
        <v>135</v>
      </c>
      <c r="D18" s="16">
        <v>-4.4327309423137784E-3</v>
      </c>
      <c r="E18" s="16">
        <v>0</v>
      </c>
      <c r="F18" s="16">
        <v>0</v>
      </c>
      <c r="G18" s="16">
        <v>1E+30</v>
      </c>
      <c r="H18" s="16">
        <v>4.4327309423139328E-3</v>
      </c>
    </row>
    <row r="19" spans="2:8" x14ac:dyDescent="0.3">
      <c r="B19" s="16" t="s">
        <v>136</v>
      </c>
      <c r="C19" s="16" t="s">
        <v>137</v>
      </c>
      <c r="D19" s="16">
        <v>-5.4990061275128621E-2</v>
      </c>
      <c r="E19" s="16">
        <v>0</v>
      </c>
      <c r="F19" s="16">
        <v>0</v>
      </c>
      <c r="G19" s="16">
        <v>1E+30</v>
      </c>
      <c r="H19" s="16">
        <v>5.4990061275128642E-2</v>
      </c>
    </row>
    <row r="20" spans="2:8" x14ac:dyDescent="0.3">
      <c r="B20" s="16" t="s">
        <v>138</v>
      </c>
      <c r="C20" s="16" t="s">
        <v>139</v>
      </c>
      <c r="D20" s="16">
        <v>-7.5800937826366543E-2</v>
      </c>
      <c r="E20" s="16">
        <v>0</v>
      </c>
      <c r="F20" s="16">
        <v>0</v>
      </c>
      <c r="G20" s="16">
        <v>1E+30</v>
      </c>
      <c r="H20" s="16">
        <v>7.5800937826366696E-2</v>
      </c>
    </row>
    <row r="21" spans="2:8" x14ac:dyDescent="0.3">
      <c r="B21" s="16" t="s">
        <v>140</v>
      </c>
      <c r="C21" s="16" t="s">
        <v>141</v>
      </c>
      <c r="D21" s="16">
        <v>0</v>
      </c>
      <c r="E21" s="16">
        <v>0</v>
      </c>
      <c r="F21" s="16">
        <v>0</v>
      </c>
      <c r="G21" s="16">
        <v>1.9744994425890442E-3</v>
      </c>
      <c r="H21" s="16">
        <v>5.0819591759780042E-2</v>
      </c>
    </row>
    <row r="22" spans="2:8" x14ac:dyDescent="0.3">
      <c r="B22" s="16" t="s">
        <v>142</v>
      </c>
      <c r="C22" s="16" t="s">
        <v>143</v>
      </c>
      <c r="D22" s="16">
        <v>-2.5904863475874174E-2</v>
      </c>
      <c r="E22" s="16">
        <v>0</v>
      </c>
      <c r="F22" s="16">
        <v>0</v>
      </c>
      <c r="G22" s="16">
        <v>1E+30</v>
      </c>
      <c r="H22" s="16">
        <v>2.590486347587408E-2</v>
      </c>
    </row>
    <row r="23" spans="2:8" x14ac:dyDescent="0.3">
      <c r="B23" s="16" t="s">
        <v>144</v>
      </c>
      <c r="C23" s="16" t="s">
        <v>145</v>
      </c>
      <c r="D23" s="16">
        <v>-7.0562593019763975E-2</v>
      </c>
      <c r="E23" s="16">
        <v>0</v>
      </c>
      <c r="F23" s="16">
        <v>0</v>
      </c>
      <c r="G23" s="16">
        <v>1E+30</v>
      </c>
      <c r="H23" s="16">
        <v>7.056259301976392E-2</v>
      </c>
    </row>
    <row r="24" spans="2:8" x14ac:dyDescent="0.3">
      <c r="B24" s="16" t="s">
        <v>146</v>
      </c>
      <c r="C24" s="16" t="s">
        <v>147</v>
      </c>
      <c r="D24" s="16">
        <v>-8.7365772946503273E-2</v>
      </c>
      <c r="E24" s="16">
        <v>0</v>
      </c>
      <c r="F24" s="16">
        <v>0</v>
      </c>
      <c r="G24" s="16">
        <v>1E+30</v>
      </c>
      <c r="H24" s="16">
        <v>8.7365772946503106E-2</v>
      </c>
    </row>
    <row r="25" spans="2:8" x14ac:dyDescent="0.3">
      <c r="B25" s="16" t="s">
        <v>148</v>
      </c>
      <c r="C25" s="16" t="s">
        <v>149</v>
      </c>
      <c r="D25" s="16">
        <v>0</v>
      </c>
      <c r="E25" s="16">
        <v>1</v>
      </c>
      <c r="F25" s="16">
        <v>0</v>
      </c>
      <c r="G25" s="16">
        <v>3.3587760329269931E-3</v>
      </c>
      <c r="H25" s="16">
        <v>1.8195332398331349E-2</v>
      </c>
    </row>
    <row r="26" spans="2:8" x14ac:dyDescent="0.3">
      <c r="B26" s="16" t="s">
        <v>150</v>
      </c>
      <c r="C26" s="16" t="s">
        <v>151</v>
      </c>
      <c r="D26" s="16">
        <v>-2.7086087604284437E-2</v>
      </c>
      <c r="E26" s="16">
        <v>0</v>
      </c>
      <c r="F26" s="16">
        <v>0</v>
      </c>
      <c r="G26" s="16">
        <v>1E+30</v>
      </c>
      <c r="H26" s="16">
        <v>2.7086087604284392E-2</v>
      </c>
    </row>
    <row r="27" spans="2:8" x14ac:dyDescent="0.3">
      <c r="B27" s="16" t="s">
        <v>152</v>
      </c>
      <c r="C27" s="16" t="s">
        <v>153</v>
      </c>
      <c r="D27" s="16">
        <v>-9.8502260141484083E-3</v>
      </c>
      <c r="E27" s="16">
        <v>0</v>
      </c>
      <c r="F27" s="16">
        <v>0</v>
      </c>
      <c r="G27" s="16">
        <v>1E+30</v>
      </c>
      <c r="H27" s="16">
        <v>9.8502260141483944E-3</v>
      </c>
    </row>
    <row r="28" spans="2:8" x14ac:dyDescent="0.3">
      <c r="B28" s="16" t="s">
        <v>154</v>
      </c>
      <c r="C28" s="16" t="s">
        <v>155</v>
      </c>
      <c r="D28" s="16">
        <v>-3.3971928590929068E-2</v>
      </c>
      <c r="E28" s="16">
        <v>0</v>
      </c>
      <c r="F28" s="16">
        <v>0</v>
      </c>
      <c r="G28" s="16">
        <v>1E+30</v>
      </c>
      <c r="H28" s="16">
        <v>3.3971928590929075E-2</v>
      </c>
    </row>
    <row r="29" spans="2:8" x14ac:dyDescent="0.3">
      <c r="B29" s="16" t="s">
        <v>156</v>
      </c>
      <c r="C29" s="16" t="s">
        <v>157</v>
      </c>
      <c r="D29" s="16">
        <v>-2.7599431605976332E-3</v>
      </c>
      <c r="E29" s="16">
        <v>0</v>
      </c>
      <c r="F29" s="16">
        <v>0</v>
      </c>
      <c r="G29" s="16">
        <v>1E+30</v>
      </c>
      <c r="H29" s="16">
        <v>2.7599431605976211E-3</v>
      </c>
    </row>
    <row r="30" spans="2:8" x14ac:dyDescent="0.3">
      <c r="B30" s="16" t="s">
        <v>158</v>
      </c>
      <c r="C30" s="16" t="s">
        <v>159</v>
      </c>
      <c r="D30" s="16">
        <v>-9.662240740921535E-3</v>
      </c>
      <c r="E30" s="16">
        <v>0</v>
      </c>
      <c r="F30" s="16">
        <v>0</v>
      </c>
      <c r="G30" s="16">
        <v>1E+30</v>
      </c>
      <c r="H30" s="16">
        <v>9.6622407409214985E-3</v>
      </c>
    </row>
    <row r="31" spans="2:8" x14ac:dyDescent="0.3">
      <c r="B31" s="16" t="s">
        <v>160</v>
      </c>
      <c r="C31" s="16" t="s">
        <v>161</v>
      </c>
      <c r="D31" s="16">
        <v>-8.5177902963257113E-4</v>
      </c>
      <c r="E31" s="16">
        <v>0</v>
      </c>
      <c r="F31" s="16">
        <v>0</v>
      </c>
      <c r="G31" s="16">
        <v>1E+30</v>
      </c>
      <c r="H31" s="16">
        <v>8.5177902963262404E-4</v>
      </c>
    </row>
    <row r="32" spans="2:8" x14ac:dyDescent="0.3">
      <c r="B32" s="16" t="s">
        <v>162</v>
      </c>
      <c r="C32" s="16" t="s">
        <v>163</v>
      </c>
      <c r="D32" s="16">
        <v>-6.201782571281067E-3</v>
      </c>
      <c r="E32" s="16">
        <v>0</v>
      </c>
      <c r="F32" s="16">
        <v>0</v>
      </c>
      <c r="G32" s="16">
        <v>1E+30</v>
      </c>
      <c r="H32" s="16">
        <v>6.2017825712810662E-3</v>
      </c>
    </row>
    <row r="33" spans="2:8" x14ac:dyDescent="0.3">
      <c r="B33" s="16" t="s">
        <v>164</v>
      </c>
      <c r="C33" s="16" t="s">
        <v>165</v>
      </c>
      <c r="D33" s="16">
        <v>-0.10662421819169005</v>
      </c>
      <c r="E33" s="16">
        <v>0</v>
      </c>
      <c r="F33" s="16">
        <v>0</v>
      </c>
      <c r="G33" s="16">
        <v>1E+30</v>
      </c>
      <c r="H33" s="16">
        <v>0.10662421819169005</v>
      </c>
    </row>
    <row r="34" spans="2:8" x14ac:dyDescent="0.3">
      <c r="B34" s="16" t="s">
        <v>166</v>
      </c>
      <c r="C34" s="16" t="s">
        <v>167</v>
      </c>
      <c r="D34" s="16">
        <v>-6.952312683255274E-3</v>
      </c>
      <c r="E34" s="16">
        <v>0</v>
      </c>
      <c r="F34" s="16">
        <v>0</v>
      </c>
      <c r="G34" s="16">
        <v>1E+30</v>
      </c>
      <c r="H34" s="16">
        <v>6.9523126832552757E-3</v>
      </c>
    </row>
    <row r="35" spans="2:8" ht="15" thickBot="1" x14ac:dyDescent="0.35">
      <c r="B35" s="17" t="s">
        <v>187</v>
      </c>
      <c r="C35" s="17" t="s">
        <v>169</v>
      </c>
      <c r="D35" s="17">
        <v>1</v>
      </c>
      <c r="E35" s="17">
        <v>1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14EB9-1C10-40BF-8517-2ABBC1816672}">
  <dimension ref="A1:I35"/>
  <sheetViews>
    <sheetView showGridLines="0" topLeftCell="A12" workbookViewId="0">
      <selection activeCell="E15" sqref="E15:E34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4" width="12.6640625" bestFit="1" customWidth="1"/>
    <col min="5" max="5" width="12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188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5.3981118252661857E-5</v>
      </c>
      <c r="E9" s="16">
        <v>0</v>
      </c>
      <c r="F9" s="16">
        <v>0</v>
      </c>
      <c r="G9" s="16">
        <v>2503.2068577056802</v>
      </c>
      <c r="H9" s="16">
        <v>122.4963629281765</v>
      </c>
    </row>
    <row r="10" spans="1:8" x14ac:dyDescent="0.3">
      <c r="B10" s="16" t="s">
        <v>129</v>
      </c>
      <c r="C10" s="16" t="s">
        <v>104</v>
      </c>
      <c r="D10" s="16">
        <v>6.1401419544604045E-5</v>
      </c>
      <c r="E10" s="16">
        <v>0</v>
      </c>
      <c r="F10" s="16">
        <v>0</v>
      </c>
      <c r="G10" s="16">
        <v>540.87958429469882</v>
      </c>
      <c r="H10" s="16">
        <v>11052.846404862987</v>
      </c>
    </row>
    <row r="11" spans="1:8" x14ac:dyDescent="0.3">
      <c r="B11" s="16" t="s">
        <v>130</v>
      </c>
      <c r="C11" s="16" t="s">
        <v>105</v>
      </c>
      <c r="D11" s="16">
        <v>5.8333019157958808E-5</v>
      </c>
      <c r="E11" s="16">
        <v>0</v>
      </c>
      <c r="F11" s="16">
        <v>16416</v>
      </c>
      <c r="G11" s="16">
        <v>1041.24008964674</v>
      </c>
      <c r="H11" s="16">
        <v>1140.2521633611216</v>
      </c>
    </row>
    <row r="12" spans="1:8" ht="15" thickBot="1" x14ac:dyDescent="0.35">
      <c r="B12" s="17" t="s">
        <v>131</v>
      </c>
      <c r="C12" s="17" t="s">
        <v>106</v>
      </c>
      <c r="D12" s="17">
        <v>1.0453101530668468E-6</v>
      </c>
      <c r="E12" s="17">
        <v>0</v>
      </c>
      <c r="F12" s="17">
        <v>1771</v>
      </c>
      <c r="G12" s="17">
        <v>132.19559545680951</v>
      </c>
      <c r="H12" s="17">
        <v>105.63159980013153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9" x14ac:dyDescent="0.3">
      <c r="B17" s="16" t="s">
        <v>132</v>
      </c>
      <c r="C17" s="16" t="s">
        <v>133</v>
      </c>
      <c r="D17" s="16">
        <v>-3.4340857178580153E-2</v>
      </c>
      <c r="E17" s="16">
        <v>0</v>
      </c>
      <c r="F17" s="16">
        <v>0</v>
      </c>
      <c r="G17" s="16">
        <v>1E+30</v>
      </c>
      <c r="H17" s="16">
        <v>3.4340857178579987E-2</v>
      </c>
    </row>
    <row r="18" spans="2:9" x14ac:dyDescent="0.3">
      <c r="B18" s="16" t="s">
        <v>134</v>
      </c>
      <c r="C18" s="16" t="s">
        <v>135</v>
      </c>
      <c r="D18" s="16">
        <v>-7.1622395341968126E-3</v>
      </c>
      <c r="E18" s="16">
        <v>0</v>
      </c>
      <c r="F18" s="16">
        <v>0</v>
      </c>
      <c r="G18" s="16">
        <v>1E+30</v>
      </c>
      <c r="H18" s="16">
        <v>7.162239534196607E-3</v>
      </c>
    </row>
    <row r="19" spans="2:9" x14ac:dyDescent="0.3">
      <c r="B19" s="16" t="s">
        <v>136</v>
      </c>
      <c r="C19" s="16" t="s">
        <v>137</v>
      </c>
      <c r="D19" s="16">
        <v>-8.5771262133096826E-2</v>
      </c>
      <c r="E19" s="16">
        <v>0</v>
      </c>
      <c r="F19" s="16">
        <v>0</v>
      </c>
      <c r="G19" s="16">
        <v>1E+30</v>
      </c>
      <c r="H19" s="16">
        <v>8.5771262133096493E-2</v>
      </c>
    </row>
    <row r="20" spans="2:9" x14ac:dyDescent="0.3">
      <c r="B20" s="16" t="s">
        <v>138</v>
      </c>
      <c r="C20" s="16" t="s">
        <v>139</v>
      </c>
      <c r="D20" s="16">
        <v>-0.11564056974827874</v>
      </c>
      <c r="E20" s="16">
        <v>0</v>
      </c>
      <c r="F20" s="16">
        <v>0</v>
      </c>
      <c r="G20" s="16">
        <v>1E+30</v>
      </c>
      <c r="H20" s="16">
        <v>0.11564056974827849</v>
      </c>
    </row>
    <row r="21" spans="2:9" x14ac:dyDescent="0.3">
      <c r="B21" s="16" t="s">
        <v>140</v>
      </c>
      <c r="C21" s="16" t="s">
        <v>141</v>
      </c>
      <c r="D21" s="16">
        <v>0</v>
      </c>
      <c r="E21" s="21">
        <v>0.91332924546657357</v>
      </c>
      <c r="F21" s="16">
        <v>0</v>
      </c>
      <c r="G21" s="16">
        <v>3.1699476246841718E-3</v>
      </c>
      <c r="H21" s="16">
        <v>4.1834224166034585E-2</v>
      </c>
      <c r="I21" t="s">
        <v>175</v>
      </c>
    </row>
    <row r="22" spans="2:9" x14ac:dyDescent="0.3">
      <c r="B22" s="16" t="s">
        <v>142</v>
      </c>
      <c r="C22" s="16" t="s">
        <v>143</v>
      </c>
      <c r="D22" s="16">
        <v>-3.9418244287792392E-2</v>
      </c>
      <c r="E22" s="16">
        <v>0</v>
      </c>
      <c r="F22" s="16">
        <v>0</v>
      </c>
      <c r="G22" s="16">
        <v>1E+30</v>
      </c>
      <c r="H22" s="16">
        <v>3.9418244287792059E-2</v>
      </c>
    </row>
    <row r="23" spans="2:9" x14ac:dyDescent="0.3">
      <c r="B23" s="16" t="s">
        <v>144</v>
      </c>
      <c r="C23" s="16" t="s">
        <v>145</v>
      </c>
      <c r="D23" s="16">
        <v>-0.10705831080284783</v>
      </c>
      <c r="E23" s="16">
        <v>0</v>
      </c>
      <c r="F23" s="16">
        <v>0</v>
      </c>
      <c r="G23" s="16">
        <v>1E+30</v>
      </c>
      <c r="H23" s="16">
        <v>0.10705831080284783</v>
      </c>
    </row>
    <row r="24" spans="2:9" x14ac:dyDescent="0.3">
      <c r="B24" s="16" t="s">
        <v>146</v>
      </c>
      <c r="C24" s="16" t="s">
        <v>147</v>
      </c>
      <c r="D24" s="16">
        <v>-0.1316289361858255</v>
      </c>
      <c r="E24" s="16">
        <v>0</v>
      </c>
      <c r="F24" s="16">
        <v>0</v>
      </c>
      <c r="G24" s="16">
        <v>1E+30</v>
      </c>
      <c r="H24" s="16">
        <v>0.13162893618582572</v>
      </c>
    </row>
    <row r="25" spans="2:9" x14ac:dyDescent="0.3">
      <c r="B25" s="16" t="s">
        <v>148</v>
      </c>
      <c r="C25" s="16" t="s">
        <v>149</v>
      </c>
      <c r="D25" s="16">
        <v>0</v>
      </c>
      <c r="E25" s="21">
        <v>2.7488907520533061E-2</v>
      </c>
      <c r="F25" s="16">
        <v>0</v>
      </c>
      <c r="G25" s="16">
        <v>5.0269512536466505E-3</v>
      </c>
      <c r="H25" s="16">
        <v>3.8525423492545681E-2</v>
      </c>
      <c r="I25" t="s">
        <v>175</v>
      </c>
    </row>
    <row r="26" spans="2:9" x14ac:dyDescent="0.3">
      <c r="B26" s="16" t="s">
        <v>150</v>
      </c>
      <c r="C26" s="16" t="s">
        <v>151</v>
      </c>
      <c r="D26" s="16">
        <v>-4.0553913221866855E-2</v>
      </c>
      <c r="E26" s="16">
        <v>0</v>
      </c>
      <c r="F26" s="16">
        <v>0</v>
      </c>
      <c r="G26" s="16">
        <v>1E+30</v>
      </c>
      <c r="H26" s="16">
        <v>4.055391322186673E-2</v>
      </c>
    </row>
    <row r="27" spans="2:9" x14ac:dyDescent="0.3">
      <c r="B27" s="16" t="s">
        <v>152</v>
      </c>
      <c r="C27" s="16" t="s">
        <v>153</v>
      </c>
      <c r="D27" s="16">
        <v>-1.3292446300010738E-2</v>
      </c>
      <c r="E27" s="16">
        <v>0</v>
      </c>
      <c r="F27" s="16">
        <v>0</v>
      </c>
      <c r="G27" s="16">
        <v>1E+30</v>
      </c>
      <c r="H27" s="16">
        <v>1.3292446300010727E-2</v>
      </c>
    </row>
    <row r="28" spans="2:9" x14ac:dyDescent="0.3">
      <c r="B28" s="16" t="s">
        <v>154</v>
      </c>
      <c r="C28" s="16" t="s">
        <v>155</v>
      </c>
      <c r="D28" s="16">
        <v>-5.0609824711635554E-2</v>
      </c>
      <c r="E28" s="16">
        <v>0</v>
      </c>
      <c r="F28" s="16">
        <v>0</v>
      </c>
      <c r="G28" s="16">
        <v>1E+30</v>
      </c>
      <c r="H28" s="16">
        <v>5.0609824711635505E-2</v>
      </c>
    </row>
    <row r="29" spans="2:9" x14ac:dyDescent="0.3">
      <c r="B29" s="16" t="s">
        <v>156</v>
      </c>
      <c r="C29" s="16" t="s">
        <v>157</v>
      </c>
      <c r="D29" s="16">
        <v>-3.4966755879769496E-3</v>
      </c>
      <c r="E29" s="16">
        <v>0</v>
      </c>
      <c r="F29" s="16">
        <v>0</v>
      </c>
      <c r="G29" s="16">
        <v>1E+30</v>
      </c>
      <c r="H29" s="16">
        <v>3.4966755879769435E-3</v>
      </c>
    </row>
    <row r="30" spans="2:9" x14ac:dyDescent="0.3">
      <c r="B30" s="16" t="s">
        <v>158</v>
      </c>
      <c r="C30" s="16" t="s">
        <v>159</v>
      </c>
      <c r="D30" s="16">
        <v>-1.3368308176223698E-2</v>
      </c>
      <c r="E30" s="16">
        <v>0</v>
      </c>
      <c r="F30" s="16">
        <v>0</v>
      </c>
      <c r="G30" s="16">
        <v>1E+30</v>
      </c>
      <c r="H30" s="16">
        <v>1.3368308176223712E-2</v>
      </c>
    </row>
    <row r="31" spans="2:9" x14ac:dyDescent="0.3">
      <c r="B31" s="16" t="s">
        <v>160</v>
      </c>
      <c r="C31" s="16" t="s">
        <v>161</v>
      </c>
      <c r="D31" s="16">
        <v>0</v>
      </c>
      <c r="E31" s="21">
        <v>8.634649815588849E-2</v>
      </c>
      <c r="F31" s="16">
        <v>0</v>
      </c>
      <c r="G31" s="16">
        <v>6.9129320456333453E-3</v>
      </c>
      <c r="H31" s="16">
        <v>1.2787754699261228E-3</v>
      </c>
      <c r="I31" t="s">
        <v>175</v>
      </c>
    </row>
    <row r="32" spans="2:9" x14ac:dyDescent="0.3">
      <c r="B32" s="16" t="s">
        <v>162</v>
      </c>
      <c r="C32" s="16" t="s">
        <v>163</v>
      </c>
      <c r="D32" s="16">
        <v>-7.8988452940698672E-3</v>
      </c>
      <c r="E32" s="16">
        <v>0</v>
      </c>
      <c r="F32" s="16">
        <v>0</v>
      </c>
      <c r="G32" s="16">
        <v>1E+30</v>
      </c>
      <c r="H32" s="16">
        <v>7.8988452940698169E-3</v>
      </c>
    </row>
    <row r="33" spans="2:8" x14ac:dyDescent="0.3">
      <c r="B33" s="16" t="s">
        <v>164</v>
      </c>
      <c r="C33" s="16" t="s">
        <v>165</v>
      </c>
      <c r="D33" s="16">
        <v>-0.15831126161010542</v>
      </c>
      <c r="E33" s="16">
        <v>0</v>
      </c>
      <c r="F33" s="16">
        <v>0</v>
      </c>
      <c r="G33" s="16">
        <v>1E+30</v>
      </c>
      <c r="H33" s="16">
        <v>0.15831126161010539</v>
      </c>
    </row>
    <row r="34" spans="2:8" x14ac:dyDescent="0.3">
      <c r="B34" s="16" t="s">
        <v>166</v>
      </c>
      <c r="C34" s="16" t="s">
        <v>167</v>
      </c>
      <c r="D34" s="16">
        <v>-8.9556283998826758E-3</v>
      </c>
      <c r="E34" s="16">
        <v>0</v>
      </c>
      <c r="F34" s="16">
        <v>0</v>
      </c>
      <c r="G34" s="16">
        <v>1E+30</v>
      </c>
      <c r="H34" s="16">
        <v>8.955628399882674E-3</v>
      </c>
    </row>
    <row r="35" spans="2:8" ht="15" thickBot="1" x14ac:dyDescent="0.35">
      <c r="B35" s="17" t="s">
        <v>189</v>
      </c>
      <c r="C35" s="17" t="s">
        <v>169</v>
      </c>
      <c r="D35" s="17">
        <v>1</v>
      </c>
      <c r="E35" s="17">
        <v>0.95944608677813337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40DFC-D6D6-4CD2-AE49-4504124E1B49}">
  <dimension ref="A1:H35"/>
  <sheetViews>
    <sheetView showGridLines="0" topLeftCell="A12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4" width="12.6640625" bestFit="1" customWidth="1"/>
    <col min="5" max="5" width="11.554687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190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0</v>
      </c>
      <c r="E9" s="16">
        <v>0</v>
      </c>
      <c r="F9" s="16">
        <v>0</v>
      </c>
      <c r="G9" s="16">
        <v>0</v>
      </c>
      <c r="H9" s="16">
        <v>1E+30</v>
      </c>
    </row>
    <row r="10" spans="1:8" x14ac:dyDescent="0.3">
      <c r="B10" s="16" t="s">
        <v>129</v>
      </c>
      <c r="C10" s="16" t="s">
        <v>104</v>
      </c>
      <c r="D10" s="16">
        <v>5.461496450027307E-4</v>
      </c>
      <c r="E10" s="16">
        <v>0</v>
      </c>
      <c r="F10" s="16">
        <v>0</v>
      </c>
      <c r="G10" s="16">
        <v>1E+30</v>
      </c>
      <c r="H10" s="16">
        <v>0</v>
      </c>
    </row>
    <row r="11" spans="1:8" x14ac:dyDescent="0.3">
      <c r="B11" s="16" t="s">
        <v>130</v>
      </c>
      <c r="C11" s="16" t="s">
        <v>105</v>
      </c>
      <c r="D11" s="16">
        <v>3.9805995599636804E-4</v>
      </c>
      <c r="E11" s="16">
        <v>0</v>
      </c>
      <c r="F11" s="16">
        <v>1672</v>
      </c>
      <c r="G11" s="16">
        <v>0</v>
      </c>
      <c r="H11" s="16">
        <v>0</v>
      </c>
    </row>
    <row r="12" spans="1:8" ht="15" thickBot="1" x14ac:dyDescent="0.35">
      <c r="B12" s="17" t="s">
        <v>131</v>
      </c>
      <c r="C12" s="17" t="s">
        <v>106</v>
      </c>
      <c r="D12" s="17">
        <v>2.1127211217566178E-4</v>
      </c>
      <c r="E12" s="17">
        <v>0</v>
      </c>
      <c r="F12" s="17">
        <v>1583</v>
      </c>
      <c r="G12" s="17">
        <v>0</v>
      </c>
      <c r="H12" s="17">
        <v>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8" x14ac:dyDescent="0.3">
      <c r="B17" s="16" t="s">
        <v>132</v>
      </c>
      <c r="C17" s="16" t="s">
        <v>133</v>
      </c>
      <c r="D17" s="16">
        <v>-1.4212168792911326</v>
      </c>
      <c r="E17" s="16">
        <v>0</v>
      </c>
      <c r="F17" s="16">
        <v>0</v>
      </c>
      <c r="G17" s="16">
        <v>1E+30</v>
      </c>
      <c r="H17" s="16">
        <v>1.4212168792911319</v>
      </c>
    </row>
    <row r="18" spans="2:8" x14ac:dyDescent="0.3">
      <c r="B18" s="16" t="s">
        <v>134</v>
      </c>
      <c r="C18" s="16" t="s">
        <v>135</v>
      </c>
      <c r="D18" s="16">
        <v>0</v>
      </c>
      <c r="E18" s="16">
        <v>0</v>
      </c>
      <c r="F18" s="16">
        <v>0</v>
      </c>
      <c r="G18" s="16">
        <v>0.20359604012550395</v>
      </c>
      <c r="H18" s="16">
        <v>11.120327151572567</v>
      </c>
    </row>
    <row r="19" spans="2:8" x14ac:dyDescent="0.3">
      <c r="B19" s="16" t="s">
        <v>136</v>
      </c>
      <c r="C19" s="16" t="s">
        <v>137</v>
      </c>
      <c r="D19" s="16">
        <v>-3.0706149266125173</v>
      </c>
      <c r="E19" s="16">
        <v>0</v>
      </c>
      <c r="F19" s="16">
        <v>0</v>
      </c>
      <c r="G19" s="16">
        <v>1E+30</v>
      </c>
      <c r="H19" s="16">
        <v>3.0706149266125142</v>
      </c>
    </row>
    <row r="20" spans="2:8" x14ac:dyDescent="0.3">
      <c r="B20" s="16" t="s">
        <v>138</v>
      </c>
      <c r="C20" s="16" t="s">
        <v>139</v>
      </c>
      <c r="D20" s="16">
        <v>-1.3594486985520202</v>
      </c>
      <c r="E20" s="16">
        <v>0</v>
      </c>
      <c r="F20" s="16">
        <v>0</v>
      </c>
      <c r="G20" s="16">
        <v>1E+30</v>
      </c>
      <c r="H20" s="16">
        <v>1.3594486985520198</v>
      </c>
    </row>
    <row r="21" spans="2:8" x14ac:dyDescent="0.3">
      <c r="B21" s="16" t="s">
        <v>140</v>
      </c>
      <c r="C21" s="16" t="s">
        <v>141</v>
      </c>
      <c r="D21" s="16">
        <v>-0.14376425729262987</v>
      </c>
      <c r="E21" s="16">
        <v>0</v>
      </c>
      <c r="F21" s="16">
        <v>0</v>
      </c>
      <c r="G21" s="16">
        <v>1E+30</v>
      </c>
      <c r="H21" s="16">
        <v>0.14376425729262954</v>
      </c>
    </row>
    <row r="22" spans="2:8" x14ac:dyDescent="0.3">
      <c r="B22" s="16" t="s">
        <v>142</v>
      </c>
      <c r="C22" s="16" t="s">
        <v>143</v>
      </c>
      <c r="D22" s="16">
        <v>-0.65474128791039732</v>
      </c>
      <c r="E22" s="16">
        <v>0</v>
      </c>
      <c r="F22" s="16">
        <v>0</v>
      </c>
      <c r="G22" s="16">
        <v>1E+30</v>
      </c>
      <c r="H22" s="16">
        <v>0.65474128791039654</v>
      </c>
    </row>
    <row r="23" spans="2:8" x14ac:dyDescent="0.3">
      <c r="B23" s="16" t="s">
        <v>144</v>
      </c>
      <c r="C23" s="16" t="s">
        <v>145</v>
      </c>
      <c r="D23" s="16">
        <v>-1.0822458857043715</v>
      </c>
      <c r="E23" s="16">
        <v>0</v>
      </c>
      <c r="F23" s="16">
        <v>0</v>
      </c>
      <c r="G23" s="16">
        <v>1E+30</v>
      </c>
      <c r="H23" s="16">
        <v>1.0822458857043713</v>
      </c>
    </row>
    <row r="24" spans="2:8" x14ac:dyDescent="0.3">
      <c r="B24" s="16" t="s">
        <v>146</v>
      </c>
      <c r="C24" s="16" t="s">
        <v>147</v>
      </c>
      <c r="D24" s="16">
        <v>-1.4331680645976839</v>
      </c>
      <c r="E24" s="16">
        <v>0</v>
      </c>
      <c r="F24" s="16">
        <v>0</v>
      </c>
      <c r="G24" s="16">
        <v>1E+30</v>
      </c>
      <c r="H24" s="16">
        <v>1.4331680645976834</v>
      </c>
    </row>
    <row r="25" spans="2:8" x14ac:dyDescent="0.3">
      <c r="B25" s="16" t="s">
        <v>148</v>
      </c>
      <c r="C25" s="16" t="s">
        <v>149</v>
      </c>
      <c r="D25" s="16">
        <v>-1.9778261313254628</v>
      </c>
      <c r="E25" s="16">
        <v>0</v>
      </c>
      <c r="F25" s="16">
        <v>0</v>
      </c>
      <c r="G25" s="16">
        <v>1E+30</v>
      </c>
      <c r="H25" s="16">
        <v>1.9778261313254613</v>
      </c>
    </row>
    <row r="26" spans="2:8" x14ac:dyDescent="0.3">
      <c r="B26" s="16" t="s">
        <v>150</v>
      </c>
      <c r="C26" s="16" t="s">
        <v>151</v>
      </c>
      <c r="D26" s="16">
        <v>-0.50908933012761359</v>
      </c>
      <c r="E26" s="16">
        <v>0</v>
      </c>
      <c r="F26" s="16">
        <v>0</v>
      </c>
      <c r="G26" s="16">
        <v>1E+30</v>
      </c>
      <c r="H26" s="16">
        <v>0.50908933012761359</v>
      </c>
    </row>
    <row r="27" spans="2:8" x14ac:dyDescent="0.3">
      <c r="B27" s="16" t="s">
        <v>152</v>
      </c>
      <c r="C27" s="16" t="s">
        <v>153</v>
      </c>
      <c r="D27" s="16">
        <v>0</v>
      </c>
      <c r="E27" s="16">
        <v>1</v>
      </c>
      <c r="F27" s="16">
        <v>0</v>
      </c>
      <c r="G27" s="16">
        <v>0.14387571707923585</v>
      </c>
      <c r="H27" s="16">
        <v>0.3034861647589393</v>
      </c>
    </row>
    <row r="28" spans="2:8" x14ac:dyDescent="0.3">
      <c r="B28" s="16" t="s">
        <v>154</v>
      </c>
      <c r="C28" s="16" t="s">
        <v>155</v>
      </c>
      <c r="D28" s="16">
        <v>-0.57401345408780102</v>
      </c>
      <c r="E28" s="16">
        <v>0</v>
      </c>
      <c r="F28" s="16">
        <v>0</v>
      </c>
      <c r="G28" s="16">
        <v>1E+30</v>
      </c>
      <c r="H28" s="16">
        <v>0.57401345408780047</v>
      </c>
    </row>
    <row r="29" spans="2:8" x14ac:dyDescent="0.3">
      <c r="B29" s="16" t="s">
        <v>156</v>
      </c>
      <c r="C29" s="16" t="s">
        <v>157</v>
      </c>
      <c r="D29" s="16">
        <v>-8.0027103481754125E-2</v>
      </c>
      <c r="E29" s="16">
        <v>0</v>
      </c>
      <c r="F29" s="16">
        <v>0</v>
      </c>
      <c r="G29" s="16">
        <v>1E+30</v>
      </c>
      <c r="H29" s="16">
        <v>8.0027103481753986E-2</v>
      </c>
    </row>
    <row r="30" spans="2:8" x14ac:dyDescent="0.3">
      <c r="B30" s="16" t="s">
        <v>158</v>
      </c>
      <c r="C30" s="16" t="s">
        <v>159</v>
      </c>
      <c r="D30" s="16">
        <v>-0.51744111539567683</v>
      </c>
      <c r="E30" s="16">
        <v>0</v>
      </c>
      <c r="F30" s="16">
        <v>0</v>
      </c>
      <c r="G30" s="16">
        <v>1E+30</v>
      </c>
      <c r="H30" s="16">
        <v>0.51744111539567639</v>
      </c>
    </row>
    <row r="31" spans="2:8" x14ac:dyDescent="0.3">
      <c r="B31" s="16" t="s">
        <v>160</v>
      </c>
      <c r="C31" s="16" t="s">
        <v>161</v>
      </c>
      <c r="D31" s="16">
        <v>-0.26168925482157501</v>
      </c>
      <c r="E31" s="16">
        <v>0</v>
      </c>
      <c r="F31" s="16">
        <v>0</v>
      </c>
      <c r="G31" s="16">
        <v>1E+30</v>
      </c>
      <c r="H31" s="16">
        <v>0.26168925482157496</v>
      </c>
    </row>
    <row r="32" spans="2:8" x14ac:dyDescent="0.3">
      <c r="B32" s="16" t="s">
        <v>162</v>
      </c>
      <c r="C32" s="16" t="s">
        <v>163</v>
      </c>
      <c r="D32" s="16">
        <v>-0.34118762342819586</v>
      </c>
      <c r="E32" s="16">
        <v>0</v>
      </c>
      <c r="F32" s="16">
        <v>0</v>
      </c>
      <c r="G32" s="16">
        <v>1E+30</v>
      </c>
      <c r="H32" s="16">
        <v>0.3411876234281957</v>
      </c>
    </row>
    <row r="33" spans="2:8" x14ac:dyDescent="0.3">
      <c r="B33" s="16" t="s">
        <v>164</v>
      </c>
      <c r="C33" s="16" t="s">
        <v>165</v>
      </c>
      <c r="D33" s="16">
        <v>-0.71074812160638734</v>
      </c>
      <c r="E33" s="16">
        <v>0</v>
      </c>
      <c r="F33" s="16">
        <v>0</v>
      </c>
      <c r="G33" s="16">
        <v>1E+30</v>
      </c>
      <c r="H33" s="16">
        <v>0.71074812160638734</v>
      </c>
    </row>
    <row r="34" spans="2:8" x14ac:dyDescent="0.3">
      <c r="B34" s="16" t="s">
        <v>166</v>
      </c>
      <c r="C34" s="16" t="s">
        <v>167</v>
      </c>
      <c r="D34" s="16">
        <v>-0.16477850055836885</v>
      </c>
      <c r="E34" s="16">
        <v>0</v>
      </c>
      <c r="F34" s="16">
        <v>0</v>
      </c>
      <c r="G34" s="16">
        <v>1E+30</v>
      </c>
      <c r="H34" s="16">
        <v>0.1647785005583689</v>
      </c>
    </row>
    <row r="35" spans="2:8" ht="15" thickBot="1" x14ac:dyDescent="0.35">
      <c r="B35" s="17" t="s">
        <v>191</v>
      </c>
      <c r="C35" s="17" t="s">
        <v>169</v>
      </c>
      <c r="D35" s="17">
        <v>0.99999999999999989</v>
      </c>
      <c r="E35" s="17">
        <v>1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4C19-91C1-4FD4-B910-24149D92A2F3}">
  <dimension ref="A1:I35"/>
  <sheetViews>
    <sheetView showGridLines="0" topLeftCell="A12" workbookViewId="0">
      <selection activeCell="E15" sqref="E15:E34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4" width="12.6640625" bestFit="1" customWidth="1"/>
    <col min="5" max="5" width="12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192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1.0727875999359971E-4</v>
      </c>
      <c r="E9" s="16">
        <v>0</v>
      </c>
      <c r="F9" s="16">
        <v>0</v>
      </c>
      <c r="G9" s="16">
        <v>744.71774990058555</v>
      </c>
      <c r="H9" s="16">
        <v>132.8172335519065</v>
      </c>
    </row>
    <row r="10" spans="1:8" x14ac:dyDescent="0.3">
      <c r="B10" s="16" t="s">
        <v>129</v>
      </c>
      <c r="C10" s="16" t="s">
        <v>104</v>
      </c>
      <c r="D10" s="16">
        <v>1.2202541117730711E-4</v>
      </c>
      <c r="E10" s="16">
        <v>0</v>
      </c>
      <c r="F10" s="16">
        <v>0</v>
      </c>
      <c r="G10" s="16">
        <v>784.25937659416309</v>
      </c>
      <c r="H10" s="16">
        <v>4397.4103559941095</v>
      </c>
    </row>
    <row r="11" spans="1:8" x14ac:dyDescent="0.3">
      <c r="B11" s="16" t="s">
        <v>130</v>
      </c>
      <c r="C11" s="16" t="s">
        <v>105</v>
      </c>
      <c r="D11" s="16">
        <v>1.1592746064759662E-4</v>
      </c>
      <c r="E11" s="16">
        <v>0</v>
      </c>
      <c r="F11" s="16">
        <v>7738</v>
      </c>
      <c r="G11" s="16">
        <v>3755.4227415705177</v>
      </c>
      <c r="H11" s="16">
        <v>896.28153377688363</v>
      </c>
    </row>
    <row r="12" spans="1:8" ht="15" thickBot="1" x14ac:dyDescent="0.35">
      <c r="B12" s="17" t="s">
        <v>131</v>
      </c>
      <c r="C12" s="17" t="s">
        <v>106</v>
      </c>
      <c r="D12" s="17">
        <v>2.0773852165279916E-6</v>
      </c>
      <c r="E12" s="17">
        <v>0</v>
      </c>
      <c r="F12" s="17">
        <v>1143</v>
      </c>
      <c r="G12" s="17">
        <v>149.73574229407197</v>
      </c>
      <c r="H12" s="17">
        <v>373.46996539940722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9" x14ac:dyDescent="0.3">
      <c r="B17" s="16" t="s">
        <v>132</v>
      </c>
      <c r="C17" s="16" t="s">
        <v>133</v>
      </c>
      <c r="D17" s="16">
        <v>-6.8246911040116487E-2</v>
      </c>
      <c r="E17" s="16">
        <v>0</v>
      </c>
      <c r="F17" s="16">
        <v>0</v>
      </c>
      <c r="G17" s="16">
        <v>1E+30</v>
      </c>
      <c r="H17" s="16">
        <v>6.8246911040115904E-2</v>
      </c>
    </row>
    <row r="18" spans="2:9" x14ac:dyDescent="0.3">
      <c r="B18" s="16" t="s">
        <v>134</v>
      </c>
      <c r="C18" s="16" t="s">
        <v>135</v>
      </c>
      <c r="D18" s="16">
        <v>-1.4233795091266099E-2</v>
      </c>
      <c r="E18" s="16">
        <v>0</v>
      </c>
      <c r="F18" s="16">
        <v>0</v>
      </c>
      <c r="G18" s="16">
        <v>1E+30</v>
      </c>
      <c r="H18" s="16">
        <v>1.4233795091265457E-2</v>
      </c>
    </row>
    <row r="19" spans="2:9" x14ac:dyDescent="0.3">
      <c r="B19" s="16" t="s">
        <v>136</v>
      </c>
      <c r="C19" s="16" t="s">
        <v>137</v>
      </c>
      <c r="D19" s="16">
        <v>-0.17045654003788613</v>
      </c>
      <c r="E19" s="16">
        <v>0</v>
      </c>
      <c r="F19" s="16">
        <v>0</v>
      </c>
      <c r="G19" s="16">
        <v>1E+30</v>
      </c>
      <c r="H19" s="16">
        <v>0.17045654003788374</v>
      </c>
    </row>
    <row r="20" spans="2:9" x14ac:dyDescent="0.3">
      <c r="B20" s="16" t="s">
        <v>138</v>
      </c>
      <c r="C20" s="16" t="s">
        <v>139</v>
      </c>
      <c r="D20" s="16">
        <v>-0.22981696802727836</v>
      </c>
      <c r="E20" s="16">
        <v>0</v>
      </c>
      <c r="F20" s="16">
        <v>0</v>
      </c>
      <c r="G20" s="16">
        <v>1E+30</v>
      </c>
      <c r="H20" s="16">
        <v>0.22981696802727813</v>
      </c>
    </row>
    <row r="21" spans="2:9" x14ac:dyDescent="0.3">
      <c r="B21" s="16" t="s">
        <v>140</v>
      </c>
      <c r="C21" s="16" t="s">
        <v>141</v>
      </c>
      <c r="D21" s="16">
        <v>0</v>
      </c>
      <c r="E21" s="21">
        <v>0.28359769412462821</v>
      </c>
      <c r="F21" s="16">
        <v>0</v>
      </c>
      <c r="G21" s="16">
        <v>6.2938647142751292E-3</v>
      </c>
      <c r="H21" s="16">
        <v>8.4179212184529756E-2</v>
      </c>
      <c r="I21" t="s">
        <v>175</v>
      </c>
    </row>
    <row r="22" spans="2:9" x14ac:dyDescent="0.3">
      <c r="B22" s="16" t="s">
        <v>142</v>
      </c>
      <c r="C22" s="16" t="s">
        <v>143</v>
      </c>
      <c r="D22" s="16">
        <v>-7.8337398431175265E-2</v>
      </c>
      <c r="E22" s="16">
        <v>0</v>
      </c>
      <c r="F22" s="16">
        <v>0</v>
      </c>
      <c r="G22" s="16">
        <v>1E+30</v>
      </c>
      <c r="H22" s="16">
        <v>7.8337398431174821E-2</v>
      </c>
    </row>
    <row r="23" spans="2:9" x14ac:dyDescent="0.3">
      <c r="B23" s="16" t="s">
        <v>144</v>
      </c>
      <c r="C23" s="16" t="s">
        <v>145</v>
      </c>
      <c r="D23" s="16">
        <v>-0.21276111354682059</v>
      </c>
      <c r="E23" s="16">
        <v>0</v>
      </c>
      <c r="F23" s="16">
        <v>0</v>
      </c>
      <c r="G23" s="16">
        <v>1E+30</v>
      </c>
      <c r="H23" s="16">
        <v>0.21276111354682045</v>
      </c>
    </row>
    <row r="24" spans="2:9" x14ac:dyDescent="0.3">
      <c r="B24" s="16" t="s">
        <v>146</v>
      </c>
      <c r="C24" s="16" t="s">
        <v>147</v>
      </c>
      <c r="D24" s="16">
        <v>-0.26159126580516401</v>
      </c>
      <c r="E24" s="16">
        <v>0</v>
      </c>
      <c r="F24" s="16">
        <v>0</v>
      </c>
      <c r="G24" s="16">
        <v>1E+30</v>
      </c>
      <c r="H24" s="16">
        <v>0.26159126580516362</v>
      </c>
    </row>
    <row r="25" spans="2:9" x14ac:dyDescent="0.3">
      <c r="B25" s="16" t="s">
        <v>148</v>
      </c>
      <c r="C25" s="16" t="s">
        <v>149</v>
      </c>
      <c r="D25" s="16">
        <v>0</v>
      </c>
      <c r="E25" s="21">
        <v>3.1107784523189911E-2</v>
      </c>
      <c r="F25" s="16">
        <v>0</v>
      </c>
      <c r="G25" s="16">
        <v>9.9993883265992577E-3</v>
      </c>
      <c r="H25" s="16">
        <v>7.6030802634818609E-2</v>
      </c>
      <c r="I25" t="s">
        <v>175</v>
      </c>
    </row>
    <row r="26" spans="2:9" x14ac:dyDescent="0.3">
      <c r="B26" s="16" t="s">
        <v>150</v>
      </c>
      <c r="C26" s="16" t="s">
        <v>151</v>
      </c>
      <c r="D26" s="16">
        <v>-8.0594357141080541E-2</v>
      </c>
      <c r="E26" s="16">
        <v>0</v>
      </c>
      <c r="F26" s="16">
        <v>0</v>
      </c>
      <c r="G26" s="16">
        <v>1E+30</v>
      </c>
      <c r="H26" s="16">
        <v>8.0594357141080084E-2</v>
      </c>
    </row>
    <row r="27" spans="2:9" x14ac:dyDescent="0.3">
      <c r="B27" s="16" t="s">
        <v>152</v>
      </c>
      <c r="C27" s="16" t="s">
        <v>153</v>
      </c>
      <c r="D27" s="16">
        <v>-2.6416591625097574E-2</v>
      </c>
      <c r="E27" s="16">
        <v>0</v>
      </c>
      <c r="F27" s="16">
        <v>0</v>
      </c>
      <c r="G27" s="16">
        <v>1E+30</v>
      </c>
      <c r="H27" s="16">
        <v>2.6416591625097536E-2</v>
      </c>
    </row>
    <row r="28" spans="2:9" x14ac:dyDescent="0.3">
      <c r="B28" s="16" t="s">
        <v>154</v>
      </c>
      <c r="C28" s="16" t="s">
        <v>155</v>
      </c>
      <c r="D28" s="16">
        <v>-0.100578858206406</v>
      </c>
      <c r="E28" s="16">
        <v>0</v>
      </c>
      <c r="F28" s="16">
        <v>0</v>
      </c>
      <c r="G28" s="16">
        <v>1E+30</v>
      </c>
      <c r="H28" s="16">
        <v>0.1005788582064058</v>
      </c>
    </row>
    <row r="29" spans="2:9" x14ac:dyDescent="0.3">
      <c r="B29" s="16" t="s">
        <v>156</v>
      </c>
      <c r="C29" s="16" t="s">
        <v>157</v>
      </c>
      <c r="D29" s="16">
        <v>-6.9490783688903601E-3</v>
      </c>
      <c r="E29" s="16">
        <v>0</v>
      </c>
      <c r="F29" s="16">
        <v>0</v>
      </c>
      <c r="G29" s="16">
        <v>1E+30</v>
      </c>
      <c r="H29" s="16">
        <v>6.9490783688900036E-3</v>
      </c>
    </row>
    <row r="30" spans="2:9" x14ac:dyDescent="0.3">
      <c r="B30" s="16" t="s">
        <v>158</v>
      </c>
      <c r="C30" s="16" t="s">
        <v>159</v>
      </c>
      <c r="D30" s="16">
        <v>-2.6567354859990733E-2</v>
      </c>
      <c r="E30" s="16">
        <v>0</v>
      </c>
      <c r="F30" s="16">
        <v>0</v>
      </c>
      <c r="G30" s="16">
        <v>1E+30</v>
      </c>
      <c r="H30" s="16">
        <v>2.6567354859990535E-2</v>
      </c>
    </row>
    <row r="31" spans="2:9" x14ac:dyDescent="0.3">
      <c r="B31" s="16" t="s">
        <v>160</v>
      </c>
      <c r="C31" s="16" t="s">
        <v>161</v>
      </c>
      <c r="D31" s="16">
        <v>0</v>
      </c>
      <c r="E31" s="21">
        <v>0.30529668443902219</v>
      </c>
      <c r="F31" s="16">
        <v>0</v>
      </c>
      <c r="G31" s="16">
        <v>1.3740993796289231E-2</v>
      </c>
      <c r="H31" s="16">
        <v>2.541268950770116E-3</v>
      </c>
      <c r="I31" t="s">
        <v>175</v>
      </c>
    </row>
    <row r="32" spans="2:9" x14ac:dyDescent="0.3">
      <c r="B32" s="16" t="s">
        <v>162</v>
      </c>
      <c r="C32" s="16" t="s">
        <v>163</v>
      </c>
      <c r="D32" s="16">
        <v>-1.5697680151102067E-2</v>
      </c>
      <c r="E32" s="16">
        <v>0</v>
      </c>
      <c r="F32" s="16">
        <v>0</v>
      </c>
      <c r="G32" s="16">
        <v>1E+30</v>
      </c>
      <c r="H32" s="16">
        <v>1.5697680151101932E-2</v>
      </c>
    </row>
    <row r="33" spans="2:8" x14ac:dyDescent="0.3">
      <c r="B33" s="16" t="s">
        <v>164</v>
      </c>
      <c r="C33" s="16" t="s">
        <v>165</v>
      </c>
      <c r="D33" s="16">
        <v>-0.31461808106794847</v>
      </c>
      <c r="E33" s="16">
        <v>0</v>
      </c>
      <c r="F33" s="16">
        <v>0</v>
      </c>
      <c r="G33" s="16">
        <v>1E+30</v>
      </c>
      <c r="H33" s="16">
        <v>0.31461808106794842</v>
      </c>
    </row>
    <row r="34" spans="2:8" x14ac:dyDescent="0.3">
      <c r="B34" s="16" t="s">
        <v>166</v>
      </c>
      <c r="C34" s="16" t="s">
        <v>167</v>
      </c>
      <c r="D34" s="16">
        <v>-1.7797866009482188E-2</v>
      </c>
      <c r="E34" s="16">
        <v>0</v>
      </c>
      <c r="F34" s="16">
        <v>0</v>
      </c>
      <c r="G34" s="16">
        <v>1E+30</v>
      </c>
      <c r="H34" s="16">
        <v>1.7797866009482015E-2</v>
      </c>
    </row>
    <row r="35" spans="2:8" ht="15" thickBot="1" x14ac:dyDescent="0.35">
      <c r="B35" s="17" t="s">
        <v>193</v>
      </c>
      <c r="C35" s="17" t="s">
        <v>169</v>
      </c>
      <c r="D35" s="17">
        <v>1</v>
      </c>
      <c r="E35" s="17">
        <v>0.89942114179359411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80A0D-A440-4BB5-B185-7F8E7099F98C}">
  <dimension ref="A1:H35"/>
  <sheetViews>
    <sheetView showGridLines="0" topLeftCell="A12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4" width="12.6640625" bestFit="1" customWidth="1"/>
    <col min="5" max="5" width="11.554687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194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4.3468953016208617E-5</v>
      </c>
      <c r="E9" s="16">
        <v>0</v>
      </c>
      <c r="F9" s="16">
        <v>0</v>
      </c>
      <c r="G9" s="16">
        <v>0</v>
      </c>
      <c r="H9" s="16">
        <v>324.2811980728377</v>
      </c>
    </row>
    <row r="10" spans="1:8" x14ac:dyDescent="0.3">
      <c r="B10" s="16" t="s">
        <v>129</v>
      </c>
      <c r="C10" s="16" t="s">
        <v>104</v>
      </c>
      <c r="D10" s="16">
        <v>8.6331242990067111E-5</v>
      </c>
      <c r="E10" s="16">
        <v>0</v>
      </c>
      <c r="F10" s="16">
        <v>0</v>
      </c>
      <c r="G10" s="16">
        <v>1428.3487516809948</v>
      </c>
      <c r="H10" s="16">
        <v>0</v>
      </c>
    </row>
    <row r="11" spans="1:8" x14ac:dyDescent="0.3">
      <c r="B11" s="16" t="s">
        <v>130</v>
      </c>
      <c r="C11" s="16" t="s">
        <v>105</v>
      </c>
      <c r="D11" s="16">
        <v>7.341180317980964E-5</v>
      </c>
      <c r="E11" s="16">
        <v>0</v>
      </c>
      <c r="F11" s="16">
        <v>13031</v>
      </c>
      <c r="G11" s="16">
        <v>0</v>
      </c>
      <c r="H11" s="16">
        <v>4276.0006869274248</v>
      </c>
    </row>
    <row r="12" spans="1:8" ht="15" thickBot="1" x14ac:dyDescent="0.35">
      <c r="B12" s="17" t="s">
        <v>131</v>
      </c>
      <c r="C12" s="17" t="s">
        <v>106</v>
      </c>
      <c r="D12" s="17">
        <v>2.2344560929366623E-5</v>
      </c>
      <c r="E12" s="17">
        <v>0</v>
      </c>
      <c r="F12" s="17">
        <v>1941</v>
      </c>
      <c r="G12" s="17">
        <v>947.9974853833927</v>
      </c>
      <c r="H12" s="17">
        <v>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8" x14ac:dyDescent="0.3">
      <c r="B17" s="16" t="s">
        <v>132</v>
      </c>
      <c r="C17" s="16" t="s">
        <v>133</v>
      </c>
      <c r="D17" s="16">
        <v>-0.11915954272661544</v>
      </c>
      <c r="E17" s="16">
        <v>0</v>
      </c>
      <c r="F17" s="16">
        <v>0</v>
      </c>
      <c r="G17" s="16">
        <v>1E+30</v>
      </c>
      <c r="H17" s="16">
        <v>0.11915954272661514</v>
      </c>
    </row>
    <row r="18" spans="2:8" x14ac:dyDescent="0.3">
      <c r="B18" s="16" t="s">
        <v>134</v>
      </c>
      <c r="C18" s="16" t="s">
        <v>135</v>
      </c>
      <c r="D18" s="16">
        <v>0</v>
      </c>
      <c r="E18" s="16">
        <v>0</v>
      </c>
      <c r="F18" s="16">
        <v>0</v>
      </c>
      <c r="G18" s="16">
        <v>3.5861890280884955E-2</v>
      </c>
      <c r="H18" s="16">
        <v>7.7981183506170143E-3</v>
      </c>
    </row>
    <row r="19" spans="2:8" x14ac:dyDescent="0.3">
      <c r="B19" s="16" t="s">
        <v>136</v>
      </c>
      <c r="C19" s="16" t="s">
        <v>137</v>
      </c>
      <c r="D19" s="16">
        <v>-0.28470570242577153</v>
      </c>
      <c r="E19" s="16">
        <v>0</v>
      </c>
      <c r="F19" s="16">
        <v>0</v>
      </c>
      <c r="G19" s="16">
        <v>1E+30</v>
      </c>
      <c r="H19" s="16">
        <v>0.28470570242577214</v>
      </c>
    </row>
    <row r="20" spans="2:8" x14ac:dyDescent="0.3">
      <c r="B20" s="16" t="s">
        <v>138</v>
      </c>
      <c r="C20" s="16" t="s">
        <v>139</v>
      </c>
      <c r="D20" s="16">
        <v>-0.18951454305533244</v>
      </c>
      <c r="E20" s="16">
        <v>0</v>
      </c>
      <c r="F20" s="16">
        <v>0</v>
      </c>
      <c r="G20" s="16">
        <v>1E+30</v>
      </c>
      <c r="H20" s="16">
        <v>0.18951454305533316</v>
      </c>
    </row>
    <row r="21" spans="2:8" x14ac:dyDescent="0.3">
      <c r="B21" s="16" t="s">
        <v>140</v>
      </c>
      <c r="C21" s="16" t="s">
        <v>141</v>
      </c>
      <c r="D21" s="16">
        <v>-4.9049435032553212E-3</v>
      </c>
      <c r="E21" s="16">
        <v>0</v>
      </c>
      <c r="F21" s="16">
        <v>0</v>
      </c>
      <c r="G21" s="16">
        <v>1E+30</v>
      </c>
      <c r="H21" s="16">
        <v>4.9049435032554427E-3</v>
      </c>
    </row>
    <row r="22" spans="2:8" x14ac:dyDescent="0.3">
      <c r="B22" s="16" t="s">
        <v>142</v>
      </c>
      <c r="C22" s="16" t="s">
        <v>143</v>
      </c>
      <c r="D22" s="16">
        <v>-7.3833699058991842E-2</v>
      </c>
      <c r="E22" s="16">
        <v>0</v>
      </c>
      <c r="F22" s="16">
        <v>0</v>
      </c>
      <c r="G22" s="16">
        <v>1E+30</v>
      </c>
      <c r="H22" s="16">
        <v>7.3833699058991814E-2</v>
      </c>
    </row>
    <row r="23" spans="2:8" x14ac:dyDescent="0.3">
      <c r="B23" s="16" t="s">
        <v>144</v>
      </c>
      <c r="C23" s="16" t="s">
        <v>145</v>
      </c>
      <c r="D23" s="16">
        <v>-0.16399490537549577</v>
      </c>
      <c r="E23" s="16">
        <v>0</v>
      </c>
      <c r="F23" s="16">
        <v>0</v>
      </c>
      <c r="G23" s="16">
        <v>1E+30</v>
      </c>
      <c r="H23" s="16">
        <v>0.16399490537549574</v>
      </c>
    </row>
    <row r="24" spans="2:8" x14ac:dyDescent="0.3">
      <c r="B24" s="16" t="s">
        <v>146</v>
      </c>
      <c r="C24" s="16" t="s">
        <v>147</v>
      </c>
      <c r="D24" s="16">
        <v>-0.20048189852047105</v>
      </c>
      <c r="E24" s="16">
        <v>0</v>
      </c>
      <c r="F24" s="16">
        <v>0</v>
      </c>
      <c r="G24" s="16">
        <v>1E+30</v>
      </c>
      <c r="H24" s="16">
        <v>0.20048189852047127</v>
      </c>
    </row>
    <row r="25" spans="2:8" x14ac:dyDescent="0.3">
      <c r="B25" s="16" t="s">
        <v>148</v>
      </c>
      <c r="C25" s="16" t="s">
        <v>149</v>
      </c>
      <c r="D25" s="16">
        <v>-0.12741279027500108</v>
      </c>
      <c r="E25" s="16">
        <v>0</v>
      </c>
      <c r="F25" s="16">
        <v>0</v>
      </c>
      <c r="G25" s="16">
        <v>1E+30</v>
      </c>
      <c r="H25" s="16">
        <v>0.1274127902750011</v>
      </c>
    </row>
    <row r="26" spans="2:8" x14ac:dyDescent="0.3">
      <c r="B26" s="16" t="s">
        <v>150</v>
      </c>
      <c r="C26" s="16" t="s">
        <v>151</v>
      </c>
      <c r="D26" s="16">
        <v>-6.1561063363285928E-2</v>
      </c>
      <c r="E26" s="16">
        <v>0</v>
      </c>
      <c r="F26" s="16">
        <v>0</v>
      </c>
      <c r="G26" s="16">
        <v>1E+30</v>
      </c>
      <c r="H26" s="16">
        <v>6.1561063363285998E-2</v>
      </c>
    </row>
    <row r="27" spans="2:8" x14ac:dyDescent="0.3">
      <c r="B27" s="16" t="s">
        <v>152</v>
      </c>
      <c r="C27" s="16" t="s">
        <v>153</v>
      </c>
      <c r="D27" s="16">
        <v>0</v>
      </c>
      <c r="E27" s="16">
        <v>0</v>
      </c>
      <c r="F27" s="16">
        <v>0</v>
      </c>
      <c r="G27" s="16">
        <v>2.5342610675524947E-2</v>
      </c>
      <c r="H27" s="16">
        <v>7.6548443796965893E-3</v>
      </c>
    </row>
    <row r="28" spans="2:8" x14ac:dyDescent="0.3">
      <c r="B28" s="16" t="s">
        <v>154</v>
      </c>
      <c r="C28" s="16" t="s">
        <v>155</v>
      </c>
      <c r="D28" s="16">
        <v>-7.4710885344095646E-2</v>
      </c>
      <c r="E28" s="16">
        <v>0</v>
      </c>
      <c r="F28" s="16">
        <v>0</v>
      </c>
      <c r="G28" s="16">
        <v>1E+30</v>
      </c>
      <c r="H28" s="16">
        <v>7.4710885344095618E-2</v>
      </c>
    </row>
    <row r="29" spans="2:8" x14ac:dyDescent="0.3">
      <c r="B29" s="16" t="s">
        <v>156</v>
      </c>
      <c r="C29" s="16" t="s">
        <v>157</v>
      </c>
      <c r="D29" s="16">
        <v>0</v>
      </c>
      <c r="E29" s="16">
        <v>1</v>
      </c>
      <c r="F29" s="16">
        <v>0</v>
      </c>
      <c r="G29" s="16">
        <v>2.5257232694523022E-3</v>
      </c>
      <c r="H29" s="16">
        <v>1.4096164163068022E-2</v>
      </c>
    </row>
    <row r="30" spans="2:8" x14ac:dyDescent="0.3">
      <c r="B30" s="16" t="s">
        <v>158</v>
      </c>
      <c r="C30" s="16" t="s">
        <v>159</v>
      </c>
      <c r="D30" s="16">
        <v>-3.6138019809199062E-2</v>
      </c>
      <c r="E30" s="16">
        <v>0</v>
      </c>
      <c r="F30" s="16">
        <v>0</v>
      </c>
      <c r="G30" s="16">
        <v>1E+30</v>
      </c>
      <c r="H30" s="16">
        <v>3.6138019809198958E-2</v>
      </c>
    </row>
    <row r="31" spans="2:8" x14ac:dyDescent="0.3">
      <c r="B31" s="16" t="s">
        <v>160</v>
      </c>
      <c r="C31" s="16" t="s">
        <v>161</v>
      </c>
      <c r="D31" s="16">
        <v>-7.0041456682857772E-3</v>
      </c>
      <c r="E31" s="16">
        <v>0</v>
      </c>
      <c r="F31" s="16">
        <v>0</v>
      </c>
      <c r="G31" s="16">
        <v>1E+30</v>
      </c>
      <c r="H31" s="16">
        <v>7.0041456682857356E-3</v>
      </c>
    </row>
    <row r="32" spans="2:8" x14ac:dyDescent="0.3">
      <c r="B32" s="16" t="s">
        <v>162</v>
      </c>
      <c r="C32" s="16" t="s">
        <v>163</v>
      </c>
      <c r="D32" s="16">
        <v>-1.8465706271736104E-2</v>
      </c>
      <c r="E32" s="16">
        <v>0</v>
      </c>
      <c r="F32" s="16">
        <v>0</v>
      </c>
      <c r="G32" s="16">
        <v>1E+30</v>
      </c>
      <c r="H32" s="16">
        <v>1.8465706271736118E-2</v>
      </c>
    </row>
    <row r="33" spans="2:8" x14ac:dyDescent="0.3">
      <c r="B33" s="16" t="s">
        <v>164</v>
      </c>
      <c r="C33" s="16" t="s">
        <v>165</v>
      </c>
      <c r="D33" s="16">
        <v>-0.16310988721574857</v>
      </c>
      <c r="E33" s="16">
        <v>0</v>
      </c>
      <c r="F33" s="16">
        <v>0</v>
      </c>
      <c r="G33" s="16">
        <v>1E+30</v>
      </c>
      <c r="H33" s="16">
        <v>0.16310988721574857</v>
      </c>
    </row>
    <row r="34" spans="2:8" x14ac:dyDescent="0.3">
      <c r="B34" s="16" t="s">
        <v>166</v>
      </c>
      <c r="C34" s="16" t="s">
        <v>167</v>
      </c>
      <c r="D34" s="16">
        <v>-7.2924015335520953E-3</v>
      </c>
      <c r="E34" s="16">
        <v>0</v>
      </c>
      <c r="F34" s="16">
        <v>0</v>
      </c>
      <c r="G34" s="16">
        <v>1E+30</v>
      </c>
      <c r="H34" s="16">
        <v>7.2924015335520641E-3</v>
      </c>
    </row>
    <row r="35" spans="2:8" ht="15" thickBot="1" x14ac:dyDescent="0.35">
      <c r="B35" s="17" t="s">
        <v>195</v>
      </c>
      <c r="C35" s="17" t="s">
        <v>169</v>
      </c>
      <c r="D35" s="17">
        <v>1</v>
      </c>
      <c r="E35" s="17">
        <v>1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BBBA5-5285-4E3D-9315-A0A76FB5C505}">
  <dimension ref="A1:I35"/>
  <sheetViews>
    <sheetView showGridLines="0" topLeftCell="A12" workbookViewId="0">
      <selection activeCell="E15" sqref="E15:E34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4" width="12.6640625" bestFit="1" customWidth="1"/>
    <col min="5" max="5" width="12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196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1.6388383405001918E-4</v>
      </c>
      <c r="E9" s="16">
        <v>0</v>
      </c>
      <c r="F9" s="16">
        <v>0</v>
      </c>
      <c r="G9" s="16">
        <v>109.73784390736691</v>
      </c>
      <c r="H9" s="16">
        <v>234.78804792432211</v>
      </c>
    </row>
    <row r="10" spans="1:8" x14ac:dyDescent="0.3">
      <c r="B10" s="16" t="s">
        <v>129</v>
      </c>
      <c r="C10" s="16" t="s">
        <v>104</v>
      </c>
      <c r="D10" s="16">
        <v>1.3713893033305059E-4</v>
      </c>
      <c r="E10" s="16">
        <v>0</v>
      </c>
      <c r="F10" s="16">
        <v>0</v>
      </c>
      <c r="G10" s="16">
        <v>6155.683632421883</v>
      </c>
      <c r="H10" s="16">
        <v>2877.1117421427675</v>
      </c>
    </row>
    <row r="11" spans="1:8" x14ac:dyDescent="0.3">
      <c r="B11" s="16" t="s">
        <v>130</v>
      </c>
      <c r="C11" s="16" t="s">
        <v>105</v>
      </c>
      <c r="D11" s="16">
        <v>1.3209214073152704E-4</v>
      </c>
      <c r="E11" s="16">
        <v>0</v>
      </c>
      <c r="F11" s="16">
        <v>7326</v>
      </c>
      <c r="G11" s="16">
        <v>2954.9259110868416</v>
      </c>
      <c r="H11" s="16">
        <v>1435.4746968578684</v>
      </c>
    </row>
    <row r="12" spans="1:8" ht="15" thickBot="1" x14ac:dyDescent="0.35">
      <c r="B12" s="17" t="s">
        <v>131</v>
      </c>
      <c r="C12" s="17" t="s">
        <v>106</v>
      </c>
      <c r="D12" s="17">
        <v>6.7160091887705082E-6</v>
      </c>
      <c r="E12" s="17">
        <v>0</v>
      </c>
      <c r="F12" s="17">
        <v>1776</v>
      </c>
      <c r="G12" s="17">
        <v>432.79723461329803</v>
      </c>
      <c r="H12" s="17">
        <v>510.45484263541925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9" x14ac:dyDescent="0.3">
      <c r="B17" s="16" t="s">
        <v>132</v>
      </c>
      <c r="C17" s="16" t="s">
        <v>133</v>
      </c>
      <c r="D17" s="16">
        <v>-0.10791036119713349</v>
      </c>
      <c r="E17" s="16">
        <v>0</v>
      </c>
      <c r="F17" s="16">
        <v>0</v>
      </c>
      <c r="G17" s="16">
        <v>1E+30</v>
      </c>
      <c r="H17" s="16">
        <v>0.10791036119713364</v>
      </c>
    </row>
    <row r="18" spans="2:9" x14ac:dyDescent="0.3">
      <c r="B18" s="16" t="s">
        <v>134</v>
      </c>
      <c r="C18" s="16" t="s">
        <v>135</v>
      </c>
      <c r="D18" s="16">
        <v>-0.24065661772787816</v>
      </c>
      <c r="E18" s="16">
        <v>0</v>
      </c>
      <c r="F18" s="16">
        <v>0</v>
      </c>
      <c r="G18" s="16">
        <v>1E+30</v>
      </c>
      <c r="H18" s="16">
        <v>0.24065661772787936</v>
      </c>
    </row>
    <row r="19" spans="2:9" x14ac:dyDescent="0.3">
      <c r="B19" s="16" t="s">
        <v>136</v>
      </c>
      <c r="C19" s="16" t="s">
        <v>137</v>
      </c>
      <c r="D19" s="16">
        <v>-0.40595953189081069</v>
      </c>
      <c r="E19" s="16">
        <v>0</v>
      </c>
      <c r="F19" s="16">
        <v>0</v>
      </c>
      <c r="G19" s="16">
        <v>1E+30</v>
      </c>
      <c r="H19" s="16">
        <v>0.40595953189081091</v>
      </c>
    </row>
    <row r="20" spans="2:9" x14ac:dyDescent="0.3">
      <c r="B20" s="16" t="s">
        <v>138</v>
      </c>
      <c r="C20" s="16" t="s">
        <v>139</v>
      </c>
      <c r="D20" s="16">
        <v>-0.45647773308543327</v>
      </c>
      <c r="E20" s="16">
        <v>0</v>
      </c>
      <c r="F20" s="16">
        <v>0</v>
      </c>
      <c r="G20" s="16">
        <v>1E+30</v>
      </c>
      <c r="H20" s="16">
        <v>0.45647773308543349</v>
      </c>
    </row>
    <row r="21" spans="2:9" x14ac:dyDescent="0.3">
      <c r="B21" s="16" t="s">
        <v>140</v>
      </c>
      <c r="C21" s="16" t="s">
        <v>141</v>
      </c>
      <c r="D21" s="16">
        <v>-9.9010214017639653E-2</v>
      </c>
      <c r="E21" s="16">
        <v>0</v>
      </c>
      <c r="F21" s="16">
        <v>0</v>
      </c>
      <c r="G21" s="16">
        <v>1E+30</v>
      </c>
      <c r="H21" s="16">
        <v>9.9010214017639833E-2</v>
      </c>
    </row>
    <row r="22" spans="2:9" x14ac:dyDescent="0.3">
      <c r="B22" s="16" t="s">
        <v>142</v>
      </c>
      <c r="C22" s="16" t="s">
        <v>143</v>
      </c>
      <c r="D22" s="16">
        <v>-0.20834840357893425</v>
      </c>
      <c r="E22" s="16">
        <v>0</v>
      </c>
      <c r="F22" s="16">
        <v>0</v>
      </c>
      <c r="G22" s="16">
        <v>1E+30</v>
      </c>
      <c r="H22" s="16">
        <v>0.2083484035789343</v>
      </c>
    </row>
    <row r="23" spans="2:9" x14ac:dyDescent="0.3">
      <c r="B23" s="16" t="s">
        <v>144</v>
      </c>
      <c r="C23" s="16" t="s">
        <v>145</v>
      </c>
      <c r="D23" s="16">
        <v>-0.32298865349867745</v>
      </c>
      <c r="E23" s="16">
        <v>0</v>
      </c>
      <c r="F23" s="16">
        <v>0</v>
      </c>
      <c r="G23" s="16">
        <v>1E+30</v>
      </c>
      <c r="H23" s="16">
        <v>0.32298865349867756</v>
      </c>
    </row>
    <row r="24" spans="2:9" x14ac:dyDescent="0.3">
      <c r="B24" s="16" t="s">
        <v>146</v>
      </c>
      <c r="C24" s="16" t="s">
        <v>147</v>
      </c>
      <c r="D24" s="16">
        <v>-0.41339296113892021</v>
      </c>
      <c r="E24" s="16">
        <v>0</v>
      </c>
      <c r="F24" s="16">
        <v>0</v>
      </c>
      <c r="G24" s="16">
        <v>1E+30</v>
      </c>
      <c r="H24" s="16">
        <v>0.41339296113892038</v>
      </c>
    </row>
    <row r="25" spans="2:9" x14ac:dyDescent="0.3">
      <c r="B25" s="16" t="s">
        <v>148</v>
      </c>
      <c r="C25" s="16" t="s">
        <v>149</v>
      </c>
      <c r="D25" s="16">
        <v>0</v>
      </c>
      <c r="E25" s="21">
        <v>9.0250608103124033E-2</v>
      </c>
      <c r="F25" s="16">
        <v>0</v>
      </c>
      <c r="G25" s="16">
        <v>3.2206655064485494E-2</v>
      </c>
      <c r="H25" s="16">
        <v>5.6553370047376955E-2</v>
      </c>
      <c r="I25" t="s">
        <v>175</v>
      </c>
    </row>
    <row r="26" spans="2:9" x14ac:dyDescent="0.3">
      <c r="B26" s="16" t="s">
        <v>150</v>
      </c>
      <c r="C26" s="16" t="s">
        <v>151</v>
      </c>
      <c r="D26" s="16">
        <v>-0.18640899079929163</v>
      </c>
      <c r="E26" s="16">
        <v>0</v>
      </c>
      <c r="F26" s="16">
        <v>0</v>
      </c>
      <c r="G26" s="16">
        <v>1E+30</v>
      </c>
      <c r="H26" s="16">
        <v>0.18640899079929191</v>
      </c>
    </row>
    <row r="27" spans="2:9" x14ac:dyDescent="0.3">
      <c r="B27" s="16" t="s">
        <v>152</v>
      </c>
      <c r="C27" s="16" t="s">
        <v>153</v>
      </c>
      <c r="D27" s="16">
        <v>-1.9775763424928733E-2</v>
      </c>
      <c r="E27" s="16">
        <v>0</v>
      </c>
      <c r="F27" s="16">
        <v>0</v>
      </c>
      <c r="G27" s="16">
        <v>1E+30</v>
      </c>
      <c r="H27" s="16">
        <v>1.9775763424928792E-2</v>
      </c>
    </row>
    <row r="28" spans="2:9" x14ac:dyDescent="0.3">
      <c r="B28" s="16" t="s">
        <v>154</v>
      </c>
      <c r="C28" s="16" t="s">
        <v>155</v>
      </c>
      <c r="D28" s="16">
        <v>-0.14637827811475224</v>
      </c>
      <c r="E28" s="16">
        <v>0</v>
      </c>
      <c r="F28" s="16">
        <v>0</v>
      </c>
      <c r="G28" s="16">
        <v>1E+30</v>
      </c>
      <c r="H28" s="16">
        <v>0.14637827811475218</v>
      </c>
    </row>
    <row r="29" spans="2:9" x14ac:dyDescent="0.3">
      <c r="B29" s="16" t="s">
        <v>156</v>
      </c>
      <c r="C29" s="16" t="s">
        <v>157</v>
      </c>
      <c r="D29" s="16">
        <v>-7.7996569462173815E-2</v>
      </c>
      <c r="E29" s="16">
        <v>0</v>
      </c>
      <c r="F29" s="16">
        <v>0</v>
      </c>
      <c r="G29" s="16">
        <v>1E+30</v>
      </c>
      <c r="H29" s="16">
        <v>7.7996569462173829E-2</v>
      </c>
    </row>
    <row r="30" spans="2:9" x14ac:dyDescent="0.3">
      <c r="B30" s="16" t="s">
        <v>158</v>
      </c>
      <c r="C30" s="16" t="s">
        <v>159</v>
      </c>
      <c r="D30" s="16">
        <v>-2.0365344681576358E-2</v>
      </c>
      <c r="E30" s="16">
        <v>0</v>
      </c>
      <c r="F30" s="16">
        <v>0</v>
      </c>
      <c r="G30" s="16">
        <v>1E+30</v>
      </c>
      <c r="H30" s="16">
        <v>2.0365344681576539E-2</v>
      </c>
    </row>
    <row r="31" spans="2:9" x14ac:dyDescent="0.3">
      <c r="B31" s="16" t="s">
        <v>160</v>
      </c>
      <c r="C31" s="16" t="s">
        <v>161</v>
      </c>
      <c r="D31" s="16">
        <v>0</v>
      </c>
      <c r="E31" s="21">
        <v>0.27992291520975521</v>
      </c>
      <c r="F31" s="16">
        <v>0</v>
      </c>
      <c r="G31" s="16">
        <v>1.6119755106145685E-2</v>
      </c>
      <c r="H31" s="16">
        <v>1.2247012399906613E-2</v>
      </c>
      <c r="I31" t="s">
        <v>175</v>
      </c>
    </row>
    <row r="32" spans="2:9" x14ac:dyDescent="0.3">
      <c r="B32" s="16" t="s">
        <v>162</v>
      </c>
      <c r="C32" s="16" t="s">
        <v>163</v>
      </c>
      <c r="D32" s="16">
        <v>0</v>
      </c>
      <c r="E32" s="21">
        <v>0.55136756906639517</v>
      </c>
      <c r="F32" s="16">
        <v>0</v>
      </c>
      <c r="G32" s="16">
        <v>7.1669671461585928E-3</v>
      </c>
      <c r="H32" s="16">
        <v>1.7847574574000366E-2</v>
      </c>
      <c r="I32" t="s">
        <v>175</v>
      </c>
    </row>
    <row r="33" spans="2:8" x14ac:dyDescent="0.3">
      <c r="B33" s="16" t="s">
        <v>164</v>
      </c>
      <c r="C33" s="16" t="s">
        <v>165</v>
      </c>
      <c r="D33" s="16">
        <v>-0.37995357110272115</v>
      </c>
      <c r="E33" s="16">
        <v>0</v>
      </c>
      <c r="F33" s="16">
        <v>0</v>
      </c>
      <c r="G33" s="16">
        <v>1E+30</v>
      </c>
      <c r="H33" s="16">
        <v>0.37995357110272121</v>
      </c>
    </row>
    <row r="34" spans="2:8" x14ac:dyDescent="0.3">
      <c r="B34" s="16" t="s">
        <v>166</v>
      </c>
      <c r="C34" s="16" t="s">
        <v>167</v>
      </c>
      <c r="D34" s="16">
        <v>-5.7976837933353953E-3</v>
      </c>
      <c r="E34" s="16">
        <v>0</v>
      </c>
      <c r="F34" s="16">
        <v>0</v>
      </c>
      <c r="G34" s="16">
        <v>1E+30</v>
      </c>
      <c r="H34" s="16">
        <v>5.7976837933353641E-3</v>
      </c>
    </row>
    <row r="35" spans="2:8" ht="15" thickBot="1" x14ac:dyDescent="0.35">
      <c r="B35" s="17" t="s">
        <v>197</v>
      </c>
      <c r="C35" s="17" t="s">
        <v>169</v>
      </c>
      <c r="D35" s="17">
        <v>0.99999999999999989</v>
      </c>
      <c r="E35" s="17">
        <v>0.97963465531842342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F17DE-28F8-4338-9AA1-5A8D2B6C7493}">
  <dimension ref="A1:H35"/>
  <sheetViews>
    <sheetView showGridLines="0" topLeftCell="A9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4" width="12.6640625" bestFit="1" customWidth="1"/>
    <col min="5" max="5" width="11.554687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198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1.0250278195275008E-4</v>
      </c>
      <c r="E9" s="16">
        <v>0</v>
      </c>
      <c r="F9" s="16">
        <v>0</v>
      </c>
      <c r="G9" s="16">
        <v>0</v>
      </c>
      <c r="H9" s="16">
        <v>0</v>
      </c>
    </row>
    <row r="10" spans="1:8" x14ac:dyDescent="0.3">
      <c r="B10" s="16" t="s">
        <v>129</v>
      </c>
      <c r="C10" s="16" t="s">
        <v>104</v>
      </c>
      <c r="D10" s="16">
        <v>1.4325356463682989E-4</v>
      </c>
      <c r="E10" s="16">
        <v>0</v>
      </c>
      <c r="F10" s="16">
        <v>0</v>
      </c>
      <c r="G10" s="16">
        <v>0</v>
      </c>
      <c r="H10" s="16">
        <v>0</v>
      </c>
    </row>
    <row r="11" spans="1:8" x14ac:dyDescent="0.3">
      <c r="B11" s="16" t="s">
        <v>130</v>
      </c>
      <c r="C11" s="16" t="s">
        <v>105</v>
      </c>
      <c r="D11" s="16">
        <v>1.297892177371976E-4</v>
      </c>
      <c r="E11" s="16">
        <v>0</v>
      </c>
      <c r="F11" s="16">
        <v>7400</v>
      </c>
      <c r="G11" s="16">
        <v>0</v>
      </c>
      <c r="H11" s="16">
        <v>0</v>
      </c>
    </row>
    <row r="12" spans="1:8" ht="15" thickBot="1" x14ac:dyDescent="0.35">
      <c r="B12" s="17" t="s">
        <v>131</v>
      </c>
      <c r="C12" s="17" t="s">
        <v>106</v>
      </c>
      <c r="D12" s="17">
        <v>2.0476081130816683E-5</v>
      </c>
      <c r="E12" s="17">
        <v>0</v>
      </c>
      <c r="F12" s="17">
        <v>1932</v>
      </c>
      <c r="G12" s="17">
        <v>0</v>
      </c>
      <c r="H12" s="17">
        <v>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8" x14ac:dyDescent="0.3">
      <c r="B17" s="16" t="s">
        <v>132</v>
      </c>
      <c r="C17" s="16" t="s">
        <v>133</v>
      </c>
      <c r="D17" s="16">
        <v>-0.12769639056747017</v>
      </c>
      <c r="E17" s="16">
        <v>0</v>
      </c>
      <c r="F17" s="16">
        <v>0</v>
      </c>
      <c r="G17" s="16">
        <v>1E+30</v>
      </c>
      <c r="H17" s="16">
        <v>0.1276963905674707</v>
      </c>
    </row>
    <row r="18" spans="2:8" x14ac:dyDescent="0.3">
      <c r="B18" s="16" t="s">
        <v>134</v>
      </c>
      <c r="C18" s="16" t="s">
        <v>135</v>
      </c>
      <c r="D18" s="16">
        <v>-4.1211393611240155E-3</v>
      </c>
      <c r="E18" s="16">
        <v>0</v>
      </c>
      <c r="F18" s="16">
        <v>0</v>
      </c>
      <c r="G18" s="16">
        <v>1E+30</v>
      </c>
      <c r="H18" s="16">
        <v>4.1211393611248872E-3</v>
      </c>
    </row>
    <row r="19" spans="2:8" x14ac:dyDescent="0.3">
      <c r="B19" s="16" t="s">
        <v>136</v>
      </c>
      <c r="C19" s="16" t="s">
        <v>137</v>
      </c>
      <c r="D19" s="16">
        <v>-0.31713144017004602</v>
      </c>
      <c r="E19" s="16">
        <v>0</v>
      </c>
      <c r="F19" s="16">
        <v>0</v>
      </c>
      <c r="G19" s="16">
        <v>1E+30</v>
      </c>
      <c r="H19" s="16">
        <v>0.31713144017004741</v>
      </c>
    </row>
    <row r="20" spans="2:8" x14ac:dyDescent="0.3">
      <c r="B20" s="16" t="s">
        <v>138</v>
      </c>
      <c r="C20" s="16" t="s">
        <v>139</v>
      </c>
      <c r="D20" s="16">
        <v>-0.28845271229379765</v>
      </c>
      <c r="E20" s="16">
        <v>0</v>
      </c>
      <c r="F20" s="16">
        <v>0</v>
      </c>
      <c r="G20" s="16">
        <v>1E+30</v>
      </c>
      <c r="H20" s="16">
        <v>0.28845271229379843</v>
      </c>
    </row>
    <row r="21" spans="2:8" x14ac:dyDescent="0.3">
      <c r="B21" s="16" t="s">
        <v>140</v>
      </c>
      <c r="C21" s="16" t="s">
        <v>141</v>
      </c>
      <c r="D21" s="16">
        <v>0</v>
      </c>
      <c r="E21" s="16">
        <v>0</v>
      </c>
      <c r="F21" s="16">
        <v>0</v>
      </c>
      <c r="G21" s="16">
        <v>3.4970063475596286E-3</v>
      </c>
      <c r="H21" s="16">
        <v>7.8340879185128283E-3</v>
      </c>
    </row>
    <row r="22" spans="2:8" x14ac:dyDescent="0.3">
      <c r="B22" s="16" t="s">
        <v>142</v>
      </c>
      <c r="C22" s="16" t="s">
        <v>143</v>
      </c>
      <c r="D22" s="16">
        <v>-0.1024758765116407</v>
      </c>
      <c r="E22" s="16">
        <v>0</v>
      </c>
      <c r="F22" s="16">
        <v>0</v>
      </c>
      <c r="G22" s="16">
        <v>1E+30</v>
      </c>
      <c r="H22" s="16">
        <v>0.10247587651164113</v>
      </c>
    </row>
    <row r="23" spans="2:8" x14ac:dyDescent="0.3">
      <c r="B23" s="16" t="s">
        <v>144</v>
      </c>
      <c r="C23" s="16" t="s">
        <v>145</v>
      </c>
      <c r="D23" s="16">
        <v>-0.26041103051294101</v>
      </c>
      <c r="E23" s="16">
        <v>0</v>
      </c>
      <c r="F23" s="16">
        <v>0</v>
      </c>
      <c r="G23" s="16">
        <v>1E+30</v>
      </c>
      <c r="H23" s="16">
        <v>0.26041103051294134</v>
      </c>
    </row>
    <row r="24" spans="2:8" x14ac:dyDescent="0.3">
      <c r="B24" s="16" t="s">
        <v>146</v>
      </c>
      <c r="C24" s="16" t="s">
        <v>147</v>
      </c>
      <c r="D24" s="16">
        <v>-0.31541793729627532</v>
      </c>
      <c r="E24" s="16">
        <v>0</v>
      </c>
      <c r="F24" s="16">
        <v>0</v>
      </c>
      <c r="G24" s="16">
        <v>1E+30</v>
      </c>
      <c r="H24" s="16">
        <v>0.31541793729627565</v>
      </c>
    </row>
    <row r="25" spans="2:8" x14ac:dyDescent="0.3">
      <c r="B25" s="16" t="s">
        <v>148</v>
      </c>
      <c r="C25" s="16" t="s">
        <v>149</v>
      </c>
      <c r="D25" s="16">
        <v>-8.7104767894187862E-2</v>
      </c>
      <c r="E25" s="16">
        <v>0</v>
      </c>
      <c r="F25" s="16">
        <v>0</v>
      </c>
      <c r="G25" s="16">
        <v>1E+30</v>
      </c>
      <c r="H25" s="16">
        <v>8.7104767894188043E-2</v>
      </c>
    </row>
    <row r="26" spans="2:8" x14ac:dyDescent="0.3">
      <c r="B26" s="16" t="s">
        <v>150</v>
      </c>
      <c r="C26" s="16" t="s">
        <v>151</v>
      </c>
      <c r="D26" s="16">
        <v>-9.4085534127570813E-2</v>
      </c>
      <c r="E26" s="16">
        <v>0</v>
      </c>
      <c r="F26" s="16">
        <v>0</v>
      </c>
      <c r="G26" s="16">
        <v>1E+30</v>
      </c>
      <c r="H26" s="16">
        <v>9.4085534127571105E-2</v>
      </c>
    </row>
    <row r="27" spans="2:8" x14ac:dyDescent="0.3">
      <c r="B27" s="16" t="s">
        <v>152</v>
      </c>
      <c r="C27" s="16" t="s">
        <v>153</v>
      </c>
      <c r="D27" s="16">
        <v>-1.2978571145311063E-2</v>
      </c>
      <c r="E27" s="16">
        <v>0</v>
      </c>
      <c r="F27" s="16">
        <v>0</v>
      </c>
      <c r="G27" s="16">
        <v>1E+30</v>
      </c>
      <c r="H27" s="16">
        <v>1.2978571145311093E-2</v>
      </c>
    </row>
    <row r="28" spans="2:8" x14ac:dyDescent="0.3">
      <c r="B28" s="16" t="s">
        <v>154</v>
      </c>
      <c r="C28" s="16" t="s">
        <v>155</v>
      </c>
      <c r="D28" s="16">
        <v>-0.11793790957047112</v>
      </c>
      <c r="E28" s="16">
        <v>0</v>
      </c>
      <c r="F28" s="16">
        <v>0</v>
      </c>
      <c r="G28" s="16">
        <v>1E+30</v>
      </c>
      <c r="H28" s="16">
        <v>0.11793790957047146</v>
      </c>
    </row>
    <row r="29" spans="2:8" x14ac:dyDescent="0.3">
      <c r="B29" s="16" t="s">
        <v>156</v>
      </c>
      <c r="C29" s="16" t="s">
        <v>157</v>
      </c>
      <c r="D29" s="16">
        <v>0</v>
      </c>
      <c r="E29" s="16">
        <v>0</v>
      </c>
      <c r="F29" s="16">
        <v>0</v>
      </c>
      <c r="G29" s="16">
        <v>2.680999752175825E-3</v>
      </c>
      <c r="H29" s="16">
        <v>8.06272896294488E-3</v>
      </c>
    </row>
    <row r="30" spans="2:8" x14ac:dyDescent="0.3">
      <c r="B30" s="16" t="s">
        <v>158</v>
      </c>
      <c r="C30" s="16" t="s">
        <v>159</v>
      </c>
      <c r="D30" s="16">
        <v>-3.9114770545643163E-2</v>
      </c>
      <c r="E30" s="16">
        <v>0</v>
      </c>
      <c r="F30" s="16">
        <v>0</v>
      </c>
      <c r="G30" s="16">
        <v>1E+30</v>
      </c>
      <c r="H30" s="16">
        <v>3.9114770545643232E-2</v>
      </c>
    </row>
    <row r="31" spans="2:8" x14ac:dyDescent="0.3">
      <c r="B31" s="16" t="s">
        <v>160</v>
      </c>
      <c r="C31" s="16" t="s">
        <v>161</v>
      </c>
      <c r="D31" s="16">
        <v>0</v>
      </c>
      <c r="E31" s="16">
        <v>1</v>
      </c>
      <c r="F31" s="16">
        <v>0</v>
      </c>
      <c r="G31" s="16">
        <v>1.5948765784042317E-2</v>
      </c>
      <c r="H31" s="16">
        <v>3.5090324638216482E-3</v>
      </c>
    </row>
    <row r="32" spans="2:8" x14ac:dyDescent="0.3">
      <c r="B32" s="16" t="s">
        <v>162</v>
      </c>
      <c r="C32" s="16" t="s">
        <v>163</v>
      </c>
      <c r="D32" s="16">
        <v>-1.8775553244520515E-2</v>
      </c>
      <c r="E32" s="16">
        <v>0</v>
      </c>
      <c r="F32" s="16">
        <v>0</v>
      </c>
      <c r="G32" s="16">
        <v>1E+30</v>
      </c>
      <c r="H32" s="16">
        <v>1.8775553244520415E-2</v>
      </c>
    </row>
    <row r="33" spans="2:8" x14ac:dyDescent="0.3">
      <c r="B33" s="16" t="s">
        <v>164</v>
      </c>
      <c r="C33" s="16" t="s">
        <v>165</v>
      </c>
      <c r="D33" s="16">
        <v>-0.32128870818947625</v>
      </c>
      <c r="E33" s="16">
        <v>0</v>
      </c>
      <c r="F33" s="16">
        <v>0</v>
      </c>
      <c r="G33" s="16">
        <v>1E+30</v>
      </c>
      <c r="H33" s="16">
        <v>0.32128870818947625</v>
      </c>
    </row>
    <row r="34" spans="2:8" x14ac:dyDescent="0.3">
      <c r="B34" s="16" t="s">
        <v>166</v>
      </c>
      <c r="C34" s="16" t="s">
        <v>167</v>
      </c>
      <c r="D34" s="16">
        <v>-1.2208927709166373E-2</v>
      </c>
      <c r="E34" s="16">
        <v>0</v>
      </c>
      <c r="F34" s="16">
        <v>0</v>
      </c>
      <c r="G34" s="16">
        <v>1E+30</v>
      </c>
      <c r="H34" s="16">
        <v>1.220892770916648E-2</v>
      </c>
    </row>
    <row r="35" spans="2:8" ht="15" thickBot="1" x14ac:dyDescent="0.35">
      <c r="B35" s="17" t="s">
        <v>199</v>
      </c>
      <c r="C35" s="17" t="s">
        <v>169</v>
      </c>
      <c r="D35" s="17">
        <v>0.99999999999999989</v>
      </c>
      <c r="E35" s="17">
        <v>1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DE21-E3B8-41FA-BD73-F71848DB0D53}">
  <dimension ref="A1:H35"/>
  <sheetViews>
    <sheetView showGridLines="0" topLeftCell="A12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4" width="12.6640625" bestFit="1" customWidth="1"/>
    <col min="5" max="5" width="11.554687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200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2.085620992967984E-4</v>
      </c>
      <c r="E9" s="16">
        <v>0</v>
      </c>
      <c r="F9" s="16">
        <v>0</v>
      </c>
      <c r="G9" s="16">
        <v>0</v>
      </c>
      <c r="H9" s="16">
        <v>223.05977140349097</v>
      </c>
    </row>
    <row r="10" spans="1:8" x14ac:dyDescent="0.3">
      <c r="B10" s="16" t="s">
        <v>129</v>
      </c>
      <c r="C10" s="16" t="s">
        <v>104</v>
      </c>
      <c r="D10" s="16">
        <v>1.9160433842481858E-4</v>
      </c>
      <c r="E10" s="16">
        <v>0</v>
      </c>
      <c r="F10" s="16">
        <v>0</v>
      </c>
      <c r="G10" s="16">
        <v>1163925.8871834152</v>
      </c>
      <c r="H10" s="16">
        <v>0</v>
      </c>
    </row>
    <row r="11" spans="1:8" x14ac:dyDescent="0.3">
      <c r="B11" s="16" t="s">
        <v>130</v>
      </c>
      <c r="C11" s="16" t="s">
        <v>105</v>
      </c>
      <c r="D11" s="16">
        <v>1.7888766598930499E-4</v>
      </c>
      <c r="E11" s="16">
        <v>0</v>
      </c>
      <c r="F11" s="16">
        <v>5325</v>
      </c>
      <c r="G11" s="16">
        <v>0</v>
      </c>
      <c r="H11" s="16">
        <v>0</v>
      </c>
    </row>
    <row r="12" spans="1:8" ht="15" thickBot="1" x14ac:dyDescent="0.35">
      <c r="B12" s="17" t="s">
        <v>131</v>
      </c>
      <c r="C12" s="17" t="s">
        <v>106</v>
      </c>
      <c r="D12" s="17">
        <v>2.5759466923927726E-5</v>
      </c>
      <c r="E12" s="17">
        <v>0</v>
      </c>
      <c r="F12" s="17">
        <v>1841</v>
      </c>
      <c r="G12" s="17">
        <v>0</v>
      </c>
      <c r="H12" s="17">
        <v>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8" x14ac:dyDescent="0.3">
      <c r="B17" s="16" t="s">
        <v>132</v>
      </c>
      <c r="C17" s="16" t="s">
        <v>133</v>
      </c>
      <c r="D17" s="16">
        <v>-0.1943121478377221</v>
      </c>
      <c r="E17" s="16">
        <v>0</v>
      </c>
      <c r="F17" s="16">
        <v>0</v>
      </c>
      <c r="G17" s="16">
        <v>1E+30</v>
      </c>
      <c r="H17" s="16">
        <v>0.19431214783772227</v>
      </c>
    </row>
    <row r="18" spans="2:8" x14ac:dyDescent="0.3">
      <c r="B18" s="16" t="s">
        <v>134</v>
      </c>
      <c r="C18" s="16" t="s">
        <v>135</v>
      </c>
      <c r="D18" s="16">
        <v>-0.32885258354240143</v>
      </c>
      <c r="E18" s="16">
        <v>0</v>
      </c>
      <c r="F18" s="16">
        <v>0</v>
      </c>
      <c r="G18" s="16">
        <v>1E+30</v>
      </c>
      <c r="H18" s="16">
        <v>0.3288525835424011</v>
      </c>
    </row>
    <row r="19" spans="2:8" x14ac:dyDescent="0.3">
      <c r="B19" s="16" t="s">
        <v>136</v>
      </c>
      <c r="C19" s="16" t="s">
        <v>137</v>
      </c>
      <c r="D19" s="16">
        <v>-0.67673810411287949</v>
      </c>
      <c r="E19" s="16">
        <v>0</v>
      </c>
      <c r="F19" s="16">
        <v>0</v>
      </c>
      <c r="G19" s="16">
        <v>1E+30</v>
      </c>
      <c r="H19" s="16">
        <v>0.6767381041128776</v>
      </c>
    </row>
    <row r="20" spans="2:8" x14ac:dyDescent="0.3">
      <c r="B20" s="16" t="s">
        <v>138</v>
      </c>
      <c r="C20" s="16" t="s">
        <v>139</v>
      </c>
      <c r="D20" s="16">
        <v>-0.65814988999308532</v>
      </c>
      <c r="E20" s="16">
        <v>0</v>
      </c>
      <c r="F20" s="16">
        <v>0</v>
      </c>
      <c r="G20" s="16">
        <v>1E+30</v>
      </c>
      <c r="H20" s="16">
        <v>0.65814988999308566</v>
      </c>
    </row>
    <row r="21" spans="2:8" x14ac:dyDescent="0.3">
      <c r="B21" s="16" t="s">
        <v>140</v>
      </c>
      <c r="C21" s="16" t="s">
        <v>141</v>
      </c>
      <c r="D21" s="16">
        <v>-0.1400924244222197</v>
      </c>
      <c r="E21" s="16">
        <v>0</v>
      </c>
      <c r="F21" s="16">
        <v>0</v>
      </c>
      <c r="G21" s="16">
        <v>1E+30</v>
      </c>
      <c r="H21" s="16">
        <v>0.14009242442221959</v>
      </c>
    </row>
    <row r="22" spans="2:8" x14ac:dyDescent="0.3">
      <c r="B22" s="16" t="s">
        <v>142</v>
      </c>
      <c r="C22" s="16" t="s">
        <v>143</v>
      </c>
      <c r="D22" s="16">
        <v>-0.30273054528278776</v>
      </c>
      <c r="E22" s="16">
        <v>0</v>
      </c>
      <c r="F22" s="16">
        <v>0</v>
      </c>
      <c r="G22" s="16">
        <v>1E+30</v>
      </c>
      <c r="H22" s="16">
        <v>0.30273054528278703</v>
      </c>
    </row>
    <row r="23" spans="2:8" x14ac:dyDescent="0.3">
      <c r="B23" s="16" t="s">
        <v>144</v>
      </c>
      <c r="C23" s="16" t="s">
        <v>145</v>
      </c>
      <c r="D23" s="16">
        <v>-0.46236741261011183</v>
      </c>
      <c r="E23" s="16">
        <v>0</v>
      </c>
      <c r="F23" s="16">
        <v>0</v>
      </c>
      <c r="G23" s="16">
        <v>1E+30</v>
      </c>
      <c r="H23" s="16">
        <v>0.46236741261011188</v>
      </c>
    </row>
    <row r="24" spans="2:8" x14ac:dyDescent="0.3">
      <c r="B24" s="16" t="s">
        <v>146</v>
      </c>
      <c r="C24" s="16" t="s">
        <v>147</v>
      </c>
      <c r="D24" s="16">
        <v>-0.5872131838802459</v>
      </c>
      <c r="E24" s="16">
        <v>0</v>
      </c>
      <c r="F24" s="16">
        <v>0</v>
      </c>
      <c r="G24" s="16">
        <v>1E+30</v>
      </c>
      <c r="H24" s="16">
        <v>0.58721318388024613</v>
      </c>
    </row>
    <row r="25" spans="2:8" x14ac:dyDescent="0.3">
      <c r="B25" s="16" t="s">
        <v>148</v>
      </c>
      <c r="C25" s="16" t="s">
        <v>149</v>
      </c>
      <c r="D25" s="16">
        <v>-7.8706805356075549E-2</v>
      </c>
      <c r="E25" s="16">
        <v>0</v>
      </c>
      <c r="F25" s="16">
        <v>0</v>
      </c>
      <c r="G25" s="16">
        <v>1E+30</v>
      </c>
      <c r="H25" s="16">
        <v>7.8706805356075091E-2</v>
      </c>
    </row>
    <row r="26" spans="2:8" x14ac:dyDescent="0.3">
      <c r="B26" s="16" t="s">
        <v>150</v>
      </c>
      <c r="C26" s="16" t="s">
        <v>151</v>
      </c>
      <c r="D26" s="16">
        <v>-0.26166720112013131</v>
      </c>
      <c r="E26" s="16">
        <v>0</v>
      </c>
      <c r="F26" s="16">
        <v>0</v>
      </c>
      <c r="G26" s="16">
        <v>1E+30</v>
      </c>
      <c r="H26" s="16">
        <v>0.26166720112013092</v>
      </c>
    </row>
    <row r="27" spans="2:8" x14ac:dyDescent="0.3">
      <c r="B27" s="16" t="s">
        <v>152</v>
      </c>
      <c r="C27" s="16" t="s">
        <v>153</v>
      </c>
      <c r="D27" s="16">
        <v>-1.1158692080444121E-2</v>
      </c>
      <c r="E27" s="16">
        <v>0</v>
      </c>
      <c r="F27" s="16">
        <v>0</v>
      </c>
      <c r="G27" s="16">
        <v>1E+30</v>
      </c>
      <c r="H27" s="16">
        <v>1.1158692080444042E-2</v>
      </c>
    </row>
    <row r="28" spans="2:8" x14ac:dyDescent="0.3">
      <c r="B28" s="16" t="s">
        <v>154</v>
      </c>
      <c r="C28" s="16" t="s">
        <v>155</v>
      </c>
      <c r="D28" s="16">
        <v>-0.20498093181547206</v>
      </c>
      <c r="E28" s="16">
        <v>0</v>
      </c>
      <c r="F28" s="16">
        <v>0</v>
      </c>
      <c r="G28" s="16">
        <v>1E+30</v>
      </c>
      <c r="H28" s="16">
        <v>0.20498093181547175</v>
      </c>
    </row>
    <row r="29" spans="2:8" x14ac:dyDescent="0.3">
      <c r="B29" s="16" t="s">
        <v>156</v>
      </c>
      <c r="C29" s="16" t="s">
        <v>157</v>
      </c>
      <c r="D29" s="16">
        <v>-0.10284935146045626</v>
      </c>
      <c r="E29" s="16">
        <v>0</v>
      </c>
      <c r="F29" s="16">
        <v>0</v>
      </c>
      <c r="G29" s="16">
        <v>1E+30</v>
      </c>
      <c r="H29" s="16">
        <v>0.10284935146045628</v>
      </c>
    </row>
    <row r="30" spans="2:8" x14ac:dyDescent="0.3">
      <c r="B30" s="16" t="s">
        <v>158</v>
      </c>
      <c r="C30" s="16" t="s">
        <v>159</v>
      </c>
      <c r="D30" s="16">
        <v>-3.5446320293089029E-2</v>
      </c>
      <c r="E30" s="16">
        <v>0</v>
      </c>
      <c r="F30" s="16">
        <v>0</v>
      </c>
      <c r="G30" s="16">
        <v>1E+30</v>
      </c>
      <c r="H30" s="16">
        <v>3.5446320293089084E-2</v>
      </c>
    </row>
    <row r="31" spans="2:8" x14ac:dyDescent="0.3">
      <c r="B31" s="16" t="s">
        <v>160</v>
      </c>
      <c r="C31" s="16" t="s">
        <v>161</v>
      </c>
      <c r="D31" s="16">
        <v>0</v>
      </c>
      <c r="E31" s="16">
        <v>0</v>
      </c>
      <c r="F31" s="16">
        <v>0</v>
      </c>
      <c r="G31" s="16">
        <v>2.1929795614669657E-2</v>
      </c>
      <c r="H31" s="16">
        <v>423.04090644315858</v>
      </c>
    </row>
    <row r="32" spans="2:8" x14ac:dyDescent="0.3">
      <c r="B32" s="16" t="s">
        <v>162</v>
      </c>
      <c r="C32" s="16" t="s">
        <v>163</v>
      </c>
      <c r="D32" s="16">
        <v>0</v>
      </c>
      <c r="E32" s="16">
        <v>1</v>
      </c>
      <c r="F32" s="16">
        <v>0</v>
      </c>
      <c r="G32" s="16">
        <v>1.0060003064446838E-2</v>
      </c>
      <c r="H32" s="16">
        <v>1.0377457117221163E-2</v>
      </c>
    </row>
    <row r="33" spans="2:8" x14ac:dyDescent="0.3">
      <c r="B33" s="16" t="s">
        <v>164</v>
      </c>
      <c r="C33" s="16" t="s">
        <v>165</v>
      </c>
      <c r="D33" s="16">
        <v>-0.48789453300364061</v>
      </c>
      <c r="E33" s="16">
        <v>0</v>
      </c>
      <c r="F33" s="16">
        <v>0</v>
      </c>
      <c r="G33" s="16">
        <v>1E+30</v>
      </c>
      <c r="H33" s="16">
        <v>0.48789453300364055</v>
      </c>
    </row>
    <row r="34" spans="2:8" x14ac:dyDescent="0.3">
      <c r="B34" s="16" t="s">
        <v>166</v>
      </c>
      <c r="C34" s="16" t="s">
        <v>167</v>
      </c>
      <c r="D34" s="16">
        <v>0</v>
      </c>
      <c r="E34" s="16">
        <v>0</v>
      </c>
      <c r="F34" s="16">
        <v>0</v>
      </c>
      <c r="G34" s="16">
        <v>5.4877640208897188E-3</v>
      </c>
      <c r="H34" s="16">
        <v>8.1000974252729528E-3</v>
      </c>
    </row>
    <row r="35" spans="2:8" ht="15" thickBot="1" x14ac:dyDescent="0.35">
      <c r="B35" s="17" t="s">
        <v>201</v>
      </c>
      <c r="C35" s="17" t="s">
        <v>169</v>
      </c>
      <c r="D35" s="17">
        <v>1.0000000000000002</v>
      </c>
      <c r="E35" s="17">
        <v>1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6DD49-8018-48BF-8DE0-916B4F5CE979}">
  <dimension ref="A1:I35"/>
  <sheetViews>
    <sheetView showGridLines="0" topLeftCell="A14" workbookViewId="0">
      <selection activeCell="E15" sqref="E15:E34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5" width="12.664062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202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0</v>
      </c>
      <c r="E9" s="16">
        <v>-730.81973629881986</v>
      </c>
      <c r="F9" s="16">
        <v>0</v>
      </c>
      <c r="G9" s="16">
        <v>730.81973629881986</v>
      </c>
      <c r="H9" s="16">
        <v>1E+30</v>
      </c>
    </row>
    <row r="10" spans="1:8" x14ac:dyDescent="0.3">
      <c r="B10" s="16" t="s">
        <v>129</v>
      </c>
      <c r="C10" s="16" t="s">
        <v>104</v>
      </c>
      <c r="D10" s="16">
        <v>4.6061722708429296E-4</v>
      </c>
      <c r="E10" s="16">
        <v>0</v>
      </c>
      <c r="F10" s="16">
        <v>0</v>
      </c>
      <c r="G10" s="16">
        <v>1E+30</v>
      </c>
      <c r="H10" s="16">
        <v>1995.7354056663371</v>
      </c>
    </row>
    <row r="11" spans="1:8" x14ac:dyDescent="0.3">
      <c r="B11" s="16" t="s">
        <v>130</v>
      </c>
      <c r="C11" s="16" t="s">
        <v>105</v>
      </c>
      <c r="D11" s="16">
        <v>0</v>
      </c>
      <c r="E11" s="16">
        <v>-1549.1522425773844</v>
      </c>
      <c r="F11" s="16">
        <v>276</v>
      </c>
      <c r="G11" s="16">
        <v>1549.1522425773844</v>
      </c>
      <c r="H11" s="16">
        <v>1E+30</v>
      </c>
    </row>
    <row r="12" spans="1:8" ht="15" thickBot="1" x14ac:dyDescent="0.35">
      <c r="B12" s="17" t="s">
        <v>131</v>
      </c>
      <c r="C12" s="17" t="s">
        <v>106</v>
      </c>
      <c r="D12" s="17">
        <v>5.3277962273615945E-4</v>
      </c>
      <c r="E12" s="17">
        <v>0</v>
      </c>
      <c r="F12" s="17">
        <v>1728</v>
      </c>
      <c r="G12" s="17">
        <v>1E+30</v>
      </c>
      <c r="H12" s="17">
        <v>1466.6913875598086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9" x14ac:dyDescent="0.3">
      <c r="B17" s="16" t="s">
        <v>132</v>
      </c>
      <c r="C17" s="16" t="s">
        <v>133</v>
      </c>
      <c r="D17" s="16">
        <v>-6.9274852307145265</v>
      </c>
      <c r="E17" s="16">
        <v>0</v>
      </c>
      <c r="F17" s="16">
        <v>0</v>
      </c>
      <c r="G17" s="16">
        <v>1E+30</v>
      </c>
      <c r="H17" s="16">
        <v>6.9274852307145265</v>
      </c>
    </row>
    <row r="18" spans="2:9" x14ac:dyDescent="0.3">
      <c r="B18" s="16" t="s">
        <v>134</v>
      </c>
      <c r="C18" s="16" t="s">
        <v>135</v>
      </c>
      <c r="D18" s="16">
        <v>-9.3787743042512091</v>
      </c>
      <c r="E18" s="16">
        <v>0</v>
      </c>
      <c r="F18" s="16">
        <v>0</v>
      </c>
      <c r="G18" s="16">
        <v>1E+30</v>
      </c>
      <c r="H18" s="16">
        <v>9.3787743042512091</v>
      </c>
    </row>
    <row r="19" spans="2:9" x14ac:dyDescent="0.3">
      <c r="B19" s="16" t="s">
        <v>136</v>
      </c>
      <c r="C19" s="16" t="s">
        <v>137</v>
      </c>
      <c r="D19" s="16">
        <v>-19.175004284642242</v>
      </c>
      <c r="E19" s="16">
        <v>0</v>
      </c>
      <c r="F19" s="16">
        <v>0</v>
      </c>
      <c r="G19" s="16">
        <v>1E+30</v>
      </c>
      <c r="H19" s="16">
        <v>19.175004284642242</v>
      </c>
    </row>
    <row r="20" spans="2:9" x14ac:dyDescent="0.3">
      <c r="B20" s="16" t="s">
        <v>138</v>
      </c>
      <c r="C20" s="16" t="s">
        <v>139</v>
      </c>
      <c r="D20" s="16">
        <v>-10.086821255200858</v>
      </c>
      <c r="E20" s="16">
        <v>0</v>
      </c>
      <c r="F20" s="16">
        <v>0</v>
      </c>
      <c r="G20" s="16">
        <v>1E+30</v>
      </c>
      <c r="H20" s="16">
        <v>10.086821255200858</v>
      </c>
    </row>
    <row r="21" spans="2:9" x14ac:dyDescent="0.3">
      <c r="B21" s="16" t="s">
        <v>140</v>
      </c>
      <c r="C21" s="16" t="s">
        <v>141</v>
      </c>
      <c r="D21" s="16">
        <v>-5.0641794306328798</v>
      </c>
      <c r="E21" s="16">
        <v>0</v>
      </c>
      <c r="F21" s="16">
        <v>0</v>
      </c>
      <c r="G21" s="16">
        <v>1E+30</v>
      </c>
      <c r="H21" s="16">
        <v>5.0641794306328798</v>
      </c>
    </row>
    <row r="22" spans="2:9" x14ac:dyDescent="0.3">
      <c r="B22" s="16" t="s">
        <v>142</v>
      </c>
      <c r="C22" s="16" t="s">
        <v>143</v>
      </c>
      <c r="D22" s="16">
        <v>-6.7438200037070519</v>
      </c>
      <c r="E22" s="16">
        <v>0</v>
      </c>
      <c r="F22" s="16">
        <v>0</v>
      </c>
      <c r="G22" s="16">
        <v>1E+30</v>
      </c>
      <c r="H22" s="16">
        <v>6.7438200037070519</v>
      </c>
    </row>
    <row r="23" spans="2:9" x14ac:dyDescent="0.3">
      <c r="B23" s="16" t="s">
        <v>144</v>
      </c>
      <c r="C23" s="16" t="s">
        <v>145</v>
      </c>
      <c r="D23" s="16">
        <v>-4.4435022272865226</v>
      </c>
      <c r="E23" s="16">
        <v>0</v>
      </c>
      <c r="F23" s="16">
        <v>0</v>
      </c>
      <c r="G23" s="16">
        <v>1E+30</v>
      </c>
      <c r="H23" s="16">
        <v>4.4435022272865226</v>
      </c>
    </row>
    <row r="24" spans="2:9" x14ac:dyDescent="0.3">
      <c r="B24" s="16" t="s">
        <v>146</v>
      </c>
      <c r="C24" s="16" t="s">
        <v>147</v>
      </c>
      <c r="D24" s="16">
        <v>-7.223899836267015</v>
      </c>
      <c r="E24" s="16">
        <v>0</v>
      </c>
      <c r="F24" s="16">
        <v>0</v>
      </c>
      <c r="G24" s="16">
        <v>1E+30</v>
      </c>
      <c r="H24" s="16">
        <v>7.223899836267015</v>
      </c>
    </row>
    <row r="25" spans="2:9" x14ac:dyDescent="0.3">
      <c r="B25" s="16" t="s">
        <v>148</v>
      </c>
      <c r="C25" s="16" t="s">
        <v>149</v>
      </c>
      <c r="D25" s="16">
        <v>-9.4278651017126052</v>
      </c>
      <c r="E25" s="16">
        <v>0</v>
      </c>
      <c r="F25" s="16">
        <v>0</v>
      </c>
      <c r="G25" s="16">
        <v>1E+30</v>
      </c>
      <c r="H25" s="16">
        <v>9.4278651017126052</v>
      </c>
    </row>
    <row r="26" spans="2:9" x14ac:dyDescent="0.3">
      <c r="B26" s="16" t="s">
        <v>150</v>
      </c>
      <c r="C26" s="16" t="s">
        <v>151</v>
      </c>
      <c r="D26" s="16">
        <v>-5.3125504663931284</v>
      </c>
      <c r="E26" s="16">
        <v>0</v>
      </c>
      <c r="F26" s="16">
        <v>0</v>
      </c>
      <c r="G26" s="16">
        <v>1E+30</v>
      </c>
      <c r="H26" s="16">
        <v>5.3125504663931284</v>
      </c>
    </row>
    <row r="27" spans="2:9" x14ac:dyDescent="0.3">
      <c r="B27" s="16" t="s">
        <v>152</v>
      </c>
      <c r="C27" s="16" t="s">
        <v>153</v>
      </c>
      <c r="D27" s="16">
        <v>0</v>
      </c>
      <c r="E27" s="21">
        <v>1.0915982312065697</v>
      </c>
      <c r="F27" s="16">
        <v>0</v>
      </c>
      <c r="G27" s="16">
        <v>7.2697820171622546E-2</v>
      </c>
      <c r="H27" s="16">
        <v>0.8433901427913405</v>
      </c>
      <c r="I27" t="s">
        <v>175</v>
      </c>
    </row>
    <row r="28" spans="2:9" x14ac:dyDescent="0.3">
      <c r="B28" s="16" t="s">
        <v>154</v>
      </c>
      <c r="C28" s="16" t="s">
        <v>155</v>
      </c>
      <c r="D28" s="16">
        <v>-2.6766155720048319</v>
      </c>
      <c r="E28" s="16">
        <v>0</v>
      </c>
      <c r="F28" s="16">
        <v>0</v>
      </c>
      <c r="G28" s="16">
        <v>1E+30</v>
      </c>
      <c r="H28" s="16">
        <v>2.6766155720048319</v>
      </c>
    </row>
    <row r="29" spans="2:9" x14ac:dyDescent="0.3">
      <c r="B29" s="16" t="s">
        <v>156</v>
      </c>
      <c r="C29" s="16" t="s">
        <v>157</v>
      </c>
      <c r="D29" s="16">
        <v>-3.7539908278103398</v>
      </c>
      <c r="E29" s="16">
        <v>0</v>
      </c>
      <c r="F29" s="16">
        <v>0</v>
      </c>
      <c r="G29" s="16">
        <v>1E+30</v>
      </c>
      <c r="H29" s="16">
        <v>3.7539908278103398</v>
      </c>
    </row>
    <row r="30" spans="2:9" x14ac:dyDescent="0.3">
      <c r="B30" s="16" t="s">
        <v>158</v>
      </c>
      <c r="C30" s="16" t="s">
        <v>159</v>
      </c>
      <c r="D30" s="16">
        <v>-2.26612793170644</v>
      </c>
      <c r="E30" s="16">
        <v>0</v>
      </c>
      <c r="F30" s="16">
        <v>0</v>
      </c>
      <c r="G30" s="16">
        <v>1E+30</v>
      </c>
      <c r="H30" s="16">
        <v>2.26612793170644</v>
      </c>
    </row>
    <row r="31" spans="2:9" x14ac:dyDescent="0.3">
      <c r="B31" s="16" t="s">
        <v>160</v>
      </c>
      <c r="C31" s="16" t="s">
        <v>161</v>
      </c>
      <c r="D31" s="16">
        <v>-2.0199558121717596</v>
      </c>
      <c r="E31" s="16">
        <v>0</v>
      </c>
      <c r="F31" s="16">
        <v>0</v>
      </c>
      <c r="G31" s="16">
        <v>1E+30</v>
      </c>
      <c r="H31" s="16">
        <v>2.0199558121717596</v>
      </c>
    </row>
    <row r="32" spans="2:9" x14ac:dyDescent="0.3">
      <c r="B32" s="16" t="s">
        <v>162</v>
      </c>
      <c r="C32" s="16" t="s">
        <v>163</v>
      </c>
      <c r="D32" s="16">
        <v>-1.4226534054685711</v>
      </c>
      <c r="E32" s="16">
        <v>0</v>
      </c>
      <c r="F32" s="16">
        <v>0</v>
      </c>
      <c r="G32" s="16">
        <v>1E+30</v>
      </c>
      <c r="H32" s="16">
        <v>1.4226534054685711</v>
      </c>
    </row>
    <row r="33" spans="2:8" x14ac:dyDescent="0.3">
      <c r="B33" s="16" t="s">
        <v>164</v>
      </c>
      <c r="C33" s="16" t="s">
        <v>165</v>
      </c>
      <c r="D33" s="16">
        <v>-7.9356811911916458E-2</v>
      </c>
      <c r="E33" s="16">
        <v>0</v>
      </c>
      <c r="F33" s="16">
        <v>0</v>
      </c>
      <c r="G33" s="16">
        <v>1E+30</v>
      </c>
      <c r="H33" s="16">
        <v>7.9356811911916458E-2</v>
      </c>
    </row>
    <row r="34" spans="2:8" x14ac:dyDescent="0.3">
      <c r="B34" s="16" t="s">
        <v>166</v>
      </c>
      <c r="C34" s="16" t="s">
        <v>167</v>
      </c>
      <c r="D34" s="16">
        <v>-0.73907125250931627</v>
      </c>
      <c r="E34" s="16">
        <v>0</v>
      </c>
      <c r="F34" s="16">
        <v>0</v>
      </c>
      <c r="G34" s="16">
        <v>1E+30</v>
      </c>
      <c r="H34" s="16">
        <v>0.73907125250931627</v>
      </c>
    </row>
    <row r="35" spans="2:8" ht="15" thickBot="1" x14ac:dyDescent="0.35">
      <c r="B35" s="17" t="s">
        <v>203</v>
      </c>
      <c r="C35" s="17" t="s">
        <v>169</v>
      </c>
      <c r="D35" s="17">
        <v>1</v>
      </c>
      <c r="E35" s="17">
        <v>0.92064318808808354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6611A-5713-4C7D-A09B-9F8E31006129}">
  <dimension ref="B2:R35"/>
  <sheetViews>
    <sheetView topLeftCell="B1" zoomScale="70" zoomScaleNormal="70" workbookViewId="0">
      <selection activeCell="B4" sqref="B4:D22"/>
    </sheetView>
  </sheetViews>
  <sheetFormatPr defaultRowHeight="14.4" x14ac:dyDescent="0.3"/>
  <cols>
    <col min="1" max="1" width="11.44140625" customWidth="1"/>
    <col min="2" max="2" width="31.6640625" customWidth="1"/>
    <col min="3" max="3" width="17.109375" customWidth="1"/>
    <col min="4" max="4" width="28.5546875" bestFit="1" customWidth="1"/>
    <col min="5" max="5" width="8.5546875" customWidth="1"/>
    <col min="6" max="6" width="14" customWidth="1"/>
    <col min="7" max="7" width="8.88671875" bestFit="1" customWidth="1"/>
    <col min="8" max="8" width="9.44140625" customWidth="1"/>
    <col min="9" max="9" width="20.44140625" customWidth="1"/>
    <col min="10" max="10" width="29.88671875" bestFit="1" customWidth="1"/>
    <col min="11" max="11" width="30.6640625" bestFit="1" customWidth="1"/>
    <col min="12" max="12" width="14.33203125" bestFit="1" customWidth="1"/>
    <col min="13" max="13" width="10.5546875" bestFit="1" customWidth="1"/>
    <col min="14" max="14" width="15.44140625" bestFit="1" customWidth="1"/>
    <col min="15" max="15" width="10.5546875" bestFit="1" customWidth="1"/>
    <col min="16" max="16" width="16.88671875" bestFit="1" customWidth="1"/>
    <col min="17" max="17" width="9.33203125" bestFit="1" customWidth="1"/>
    <col min="18" max="18" width="14.33203125" bestFit="1" customWidth="1"/>
  </cols>
  <sheetData>
    <row r="2" spans="2:18" ht="15" thickBot="1" x14ac:dyDescent="0.35"/>
    <row r="3" spans="2:18" x14ac:dyDescent="0.3">
      <c r="B3" s="188"/>
      <c r="C3" s="189"/>
      <c r="D3" s="190"/>
      <c r="E3" s="186" t="s">
        <v>94</v>
      </c>
      <c r="F3" s="186"/>
      <c r="G3" s="30"/>
      <c r="H3" s="186" t="s">
        <v>95</v>
      </c>
      <c r="I3" s="187"/>
      <c r="J3" s="27"/>
      <c r="K3" s="181" t="s">
        <v>96</v>
      </c>
      <c r="L3" s="182"/>
      <c r="M3" s="182"/>
      <c r="N3" s="182"/>
      <c r="O3" s="182"/>
      <c r="P3" s="182"/>
      <c r="Q3" s="182"/>
      <c r="R3" s="183"/>
    </row>
    <row r="4" spans="2:18" x14ac:dyDescent="0.3">
      <c r="B4" s="31" t="s">
        <v>42</v>
      </c>
      <c r="C4" s="6" t="s">
        <v>64</v>
      </c>
      <c r="D4" s="6" t="s">
        <v>63</v>
      </c>
      <c r="E4" s="6" t="s">
        <v>67</v>
      </c>
      <c r="F4" s="6" t="s">
        <v>68</v>
      </c>
      <c r="G4" s="6" t="s">
        <v>42</v>
      </c>
      <c r="H4" s="6" t="s">
        <v>69</v>
      </c>
      <c r="I4" s="32" t="s">
        <v>70</v>
      </c>
      <c r="J4" s="27" t="s">
        <v>42</v>
      </c>
      <c r="K4" s="11" t="s">
        <v>43</v>
      </c>
      <c r="L4" s="6" t="s">
        <v>98</v>
      </c>
      <c r="M4" s="11" t="s">
        <v>44</v>
      </c>
      <c r="N4" s="6" t="s">
        <v>98</v>
      </c>
      <c r="O4" s="11" t="s">
        <v>45</v>
      </c>
      <c r="P4" s="6" t="s">
        <v>98</v>
      </c>
      <c r="Q4" s="11" t="s">
        <v>46</v>
      </c>
      <c r="R4" s="6" t="s">
        <v>98</v>
      </c>
    </row>
    <row r="5" spans="2:18" x14ac:dyDescent="0.3">
      <c r="B5" s="33" t="s">
        <v>47</v>
      </c>
      <c r="C5" s="7" t="s">
        <v>3</v>
      </c>
      <c r="D5" s="7" t="s">
        <v>71</v>
      </c>
      <c r="E5" s="7">
        <f>1691</f>
        <v>1691</v>
      </c>
      <c r="F5" s="7">
        <f>17110</f>
        <v>17110</v>
      </c>
      <c r="G5" s="8" t="s">
        <v>47</v>
      </c>
      <c r="H5" s="7">
        <f>18955</f>
        <v>18955</v>
      </c>
      <c r="I5" s="34">
        <f>45</f>
        <v>45</v>
      </c>
      <c r="J5" s="28" t="s">
        <v>47</v>
      </c>
      <c r="K5" s="12">
        <f t="shared" ref="K5:K22" si="0">ABS($C$32-E5)</f>
        <v>759.5</v>
      </c>
      <c r="L5" s="12">
        <f>K5^2</f>
        <v>576840.25</v>
      </c>
      <c r="M5" s="12">
        <f t="shared" ref="M5:M22" si="1">ABS($C$33-F5)</f>
        <v>3497.3333333333339</v>
      </c>
      <c r="N5" s="12">
        <f>M5^2</f>
        <v>12231340.444444448</v>
      </c>
      <c r="O5" s="12">
        <f t="shared" ref="O5:O22" si="2">ABS($C$34-H5)</f>
        <v>3166.3888888888887</v>
      </c>
      <c r="P5" s="12">
        <f>O5^2</f>
        <v>10026018.595679011</v>
      </c>
      <c r="Q5" s="12">
        <f t="shared" ref="Q5:Q22" si="3">ABS($C$35-I5)</f>
        <v>108.83333333333334</v>
      </c>
      <c r="R5" s="12">
        <f>Q5^2</f>
        <v>11844.694444444447</v>
      </c>
    </row>
    <row r="6" spans="2:18" x14ac:dyDescent="0.3">
      <c r="B6" s="33" t="s">
        <v>48</v>
      </c>
      <c r="C6" s="7" t="s">
        <v>4</v>
      </c>
      <c r="D6" s="7" t="s">
        <v>72</v>
      </c>
      <c r="E6" s="7">
        <f>6742</f>
        <v>6742</v>
      </c>
      <c r="F6" s="7">
        <f>23482</f>
        <v>23482</v>
      </c>
      <c r="G6" s="8" t="s">
        <v>48</v>
      </c>
      <c r="H6" s="7">
        <f>30786</f>
        <v>30786</v>
      </c>
      <c r="I6" s="34">
        <f>953</f>
        <v>953</v>
      </c>
      <c r="J6" s="28" t="s">
        <v>48</v>
      </c>
      <c r="K6" s="12">
        <f t="shared" si="0"/>
        <v>4291.5</v>
      </c>
      <c r="L6" s="12">
        <f t="shared" ref="L6:L22" si="4">K6^2</f>
        <v>18416972.25</v>
      </c>
      <c r="M6" s="12">
        <f t="shared" si="1"/>
        <v>9869.3333333333339</v>
      </c>
      <c r="N6" s="12">
        <f t="shared" ref="N6:N22" si="5">M6^2</f>
        <v>97403740.444444463</v>
      </c>
      <c r="O6" s="12">
        <f t="shared" si="2"/>
        <v>14997.388888888889</v>
      </c>
      <c r="P6" s="12">
        <f t="shared" ref="P6:P22" si="6">O6^2</f>
        <v>224921673.48456788</v>
      </c>
      <c r="Q6" s="12">
        <f t="shared" si="3"/>
        <v>1016.8333333333334</v>
      </c>
      <c r="R6" s="12">
        <f t="shared" ref="R6:R22" si="7">Q6^2</f>
        <v>1033950.0277777779</v>
      </c>
    </row>
    <row r="7" spans="2:18" x14ac:dyDescent="0.3">
      <c r="B7" s="33" t="s">
        <v>49</v>
      </c>
      <c r="C7" s="7" t="s">
        <v>5</v>
      </c>
      <c r="D7" s="7" t="s">
        <v>73</v>
      </c>
      <c r="E7" s="7">
        <f>7305</f>
        <v>7305</v>
      </c>
      <c r="F7" s="7">
        <f>43992</f>
        <v>43992</v>
      </c>
      <c r="G7" s="8" t="s">
        <v>49</v>
      </c>
      <c r="H7" s="7">
        <f>51560</f>
        <v>51560</v>
      </c>
      <c r="I7" s="34">
        <f>298</f>
        <v>298</v>
      </c>
      <c r="J7" s="28" t="s">
        <v>49</v>
      </c>
      <c r="K7" s="12">
        <f t="shared" si="0"/>
        <v>4854.5</v>
      </c>
      <c r="L7" s="12">
        <f t="shared" si="4"/>
        <v>23566170.25</v>
      </c>
      <c r="M7" s="12">
        <f t="shared" si="1"/>
        <v>30379.333333333336</v>
      </c>
      <c r="N7" s="12">
        <f t="shared" si="5"/>
        <v>922903893.77777791</v>
      </c>
      <c r="O7" s="12">
        <f t="shared" si="2"/>
        <v>35771.388888888891</v>
      </c>
      <c r="P7" s="12">
        <f t="shared" si="6"/>
        <v>1279592263.0401235</v>
      </c>
      <c r="Q7" s="12">
        <f t="shared" si="3"/>
        <v>361.83333333333331</v>
      </c>
      <c r="R7" s="12">
        <f t="shared" si="7"/>
        <v>130923.36111111109</v>
      </c>
    </row>
    <row r="8" spans="2:18" x14ac:dyDescent="0.3">
      <c r="B8" s="33" t="s">
        <v>50</v>
      </c>
      <c r="C8" s="7" t="s">
        <v>6</v>
      </c>
      <c r="D8" s="7" t="s">
        <v>15</v>
      </c>
      <c r="E8" s="7">
        <f>5842</f>
        <v>5842</v>
      </c>
      <c r="F8" s="7">
        <f>23150</f>
        <v>23150</v>
      </c>
      <c r="G8" s="8" t="s">
        <v>50</v>
      </c>
      <c r="H8" s="7">
        <f>27773</f>
        <v>27773</v>
      </c>
      <c r="I8" s="35">
        <f>-663</f>
        <v>-663</v>
      </c>
      <c r="J8" s="28" t="s">
        <v>50</v>
      </c>
      <c r="K8" s="12">
        <f t="shared" si="0"/>
        <v>3391.5</v>
      </c>
      <c r="L8" s="12">
        <f t="shared" si="4"/>
        <v>11502272.25</v>
      </c>
      <c r="M8" s="12">
        <f t="shared" si="1"/>
        <v>9537.3333333333339</v>
      </c>
      <c r="N8" s="12">
        <f t="shared" si="5"/>
        <v>90960727.111111119</v>
      </c>
      <c r="O8" s="12">
        <f t="shared" si="2"/>
        <v>11984.388888888889</v>
      </c>
      <c r="P8" s="12">
        <f t="shared" si="6"/>
        <v>143625577.04012346</v>
      </c>
      <c r="Q8" s="12">
        <f t="shared" si="3"/>
        <v>599.16666666666663</v>
      </c>
      <c r="R8" s="12">
        <f t="shared" si="7"/>
        <v>359000.69444444438</v>
      </c>
    </row>
    <row r="9" spans="2:18" x14ac:dyDescent="0.3">
      <c r="B9" s="33" t="s">
        <v>51</v>
      </c>
      <c r="C9" s="7" t="s">
        <v>7</v>
      </c>
      <c r="D9" s="7" t="s">
        <v>74</v>
      </c>
      <c r="E9" s="7">
        <f>3143</f>
        <v>3143</v>
      </c>
      <c r="F9" s="7">
        <f>12941</f>
        <v>12941</v>
      </c>
      <c r="G9" s="8" t="s">
        <v>51</v>
      </c>
      <c r="H9" s="7">
        <f>16501</f>
        <v>16501</v>
      </c>
      <c r="I9" s="35">
        <f>-62</f>
        <v>-62</v>
      </c>
      <c r="J9" s="28" t="s">
        <v>51</v>
      </c>
      <c r="K9" s="12">
        <f t="shared" si="0"/>
        <v>692.5</v>
      </c>
      <c r="L9" s="12">
        <f t="shared" si="4"/>
        <v>479556.25</v>
      </c>
      <c r="M9" s="12">
        <f t="shared" si="1"/>
        <v>671.66666666666606</v>
      </c>
      <c r="N9" s="12">
        <f t="shared" si="5"/>
        <v>451136.11111111031</v>
      </c>
      <c r="O9" s="12">
        <f t="shared" si="2"/>
        <v>712.38888888888869</v>
      </c>
      <c r="P9" s="12">
        <f t="shared" si="6"/>
        <v>507497.92901234538</v>
      </c>
      <c r="Q9" s="12">
        <f t="shared" si="3"/>
        <v>1.8333333333333357</v>
      </c>
      <c r="R9" s="12">
        <f t="shared" si="7"/>
        <v>3.3611111111111196</v>
      </c>
    </row>
    <row r="10" spans="2:18" x14ac:dyDescent="0.3">
      <c r="B10" s="33" t="s">
        <v>52</v>
      </c>
      <c r="C10" s="7" t="s">
        <v>8</v>
      </c>
      <c r="D10" s="7" t="s">
        <v>75</v>
      </c>
      <c r="E10" s="7">
        <f>3768</f>
        <v>3768</v>
      </c>
      <c r="F10" s="7">
        <f>16414</f>
        <v>16414</v>
      </c>
      <c r="G10" s="8" t="s">
        <v>52</v>
      </c>
      <c r="H10" s="7">
        <f>20062</f>
        <v>20062</v>
      </c>
      <c r="I10" s="35">
        <f>-212</f>
        <v>-212</v>
      </c>
      <c r="J10" s="28" t="s">
        <v>52</v>
      </c>
      <c r="K10" s="12">
        <f t="shared" si="0"/>
        <v>1317.5</v>
      </c>
      <c r="L10" s="12">
        <f t="shared" si="4"/>
        <v>1735806.25</v>
      </c>
      <c r="M10" s="12">
        <f t="shared" si="1"/>
        <v>2801.3333333333339</v>
      </c>
      <c r="N10" s="12">
        <f t="shared" si="5"/>
        <v>7847468.4444444478</v>
      </c>
      <c r="O10" s="12">
        <f t="shared" si="2"/>
        <v>4273.3888888888887</v>
      </c>
      <c r="P10" s="12">
        <f t="shared" si="6"/>
        <v>18261852.595679011</v>
      </c>
      <c r="Q10" s="12">
        <f t="shared" si="3"/>
        <v>148.16666666666666</v>
      </c>
      <c r="R10" s="12">
        <f t="shared" si="7"/>
        <v>21953.361111111109</v>
      </c>
    </row>
    <row r="11" spans="2:18" x14ac:dyDescent="0.3">
      <c r="B11" s="33" t="s">
        <v>53</v>
      </c>
      <c r="C11" s="7" t="s">
        <v>9</v>
      </c>
      <c r="D11" s="7" t="s">
        <v>76</v>
      </c>
      <c r="E11" s="7">
        <f>2374</f>
        <v>2374</v>
      </c>
      <c r="F11" s="7">
        <f>9648</f>
        <v>9648</v>
      </c>
      <c r="G11" s="8" t="s">
        <v>53</v>
      </c>
      <c r="H11" s="7">
        <f>10518</f>
        <v>10518</v>
      </c>
      <c r="I11" s="35">
        <f>-1744</f>
        <v>-1744</v>
      </c>
      <c r="J11" s="28" t="s">
        <v>53</v>
      </c>
      <c r="K11" s="12">
        <f t="shared" si="0"/>
        <v>76.5</v>
      </c>
      <c r="L11" s="12">
        <f t="shared" si="4"/>
        <v>5852.25</v>
      </c>
      <c r="M11" s="12">
        <f t="shared" si="1"/>
        <v>3964.6666666666661</v>
      </c>
      <c r="N11" s="12">
        <f t="shared" si="5"/>
        <v>15718581.777777772</v>
      </c>
      <c r="O11" s="12">
        <f t="shared" si="2"/>
        <v>5270.6111111111113</v>
      </c>
      <c r="P11" s="12">
        <f t="shared" si="6"/>
        <v>27779341.484567903</v>
      </c>
      <c r="Q11" s="12">
        <f t="shared" si="3"/>
        <v>1680.1666666666667</v>
      </c>
      <c r="R11" s="12">
        <f t="shared" si="7"/>
        <v>2822960.027777778</v>
      </c>
    </row>
    <row r="12" spans="2:18" x14ac:dyDescent="0.3">
      <c r="B12" s="33" t="s">
        <v>54</v>
      </c>
      <c r="C12" s="7" t="s">
        <v>10</v>
      </c>
      <c r="D12" s="7" t="s">
        <v>77</v>
      </c>
      <c r="E12" s="7">
        <f>3724</f>
        <v>3724</v>
      </c>
      <c r="F12" s="7">
        <f>17447</f>
        <v>17447</v>
      </c>
      <c r="G12" s="8" t="s">
        <v>54</v>
      </c>
      <c r="H12" s="7">
        <f>19528</f>
        <v>19528</v>
      </c>
      <c r="I12" s="35">
        <f>-220</f>
        <v>-220</v>
      </c>
      <c r="J12" s="28" t="s">
        <v>54</v>
      </c>
      <c r="K12" s="12">
        <f t="shared" si="0"/>
        <v>1273.5</v>
      </c>
      <c r="L12" s="12">
        <f t="shared" si="4"/>
        <v>1621802.25</v>
      </c>
      <c r="M12" s="12">
        <f t="shared" si="1"/>
        <v>3834.3333333333339</v>
      </c>
      <c r="N12" s="12">
        <f t="shared" si="5"/>
        <v>14702112.111111116</v>
      </c>
      <c r="O12" s="12">
        <f t="shared" si="2"/>
        <v>3739.3888888888887</v>
      </c>
      <c r="P12" s="12">
        <f t="shared" si="6"/>
        <v>13983029.262345677</v>
      </c>
      <c r="Q12" s="12">
        <f t="shared" si="3"/>
        <v>156.16666666666666</v>
      </c>
      <c r="R12" s="12">
        <f t="shared" si="7"/>
        <v>24388.027777777774</v>
      </c>
    </row>
    <row r="13" spans="2:18" x14ac:dyDescent="0.3">
      <c r="B13" s="33" t="s">
        <v>55</v>
      </c>
      <c r="C13" s="7" t="s">
        <v>11</v>
      </c>
      <c r="D13" s="7" t="s">
        <v>78</v>
      </c>
      <c r="E13" s="7">
        <f>1317</f>
        <v>1317</v>
      </c>
      <c r="F13" s="7">
        <f>23289</f>
        <v>23289</v>
      </c>
      <c r="G13" s="8" t="s">
        <v>55</v>
      </c>
      <c r="H13" s="7">
        <f>25690</f>
        <v>25690</v>
      </c>
      <c r="I13" s="34">
        <f>694</f>
        <v>694</v>
      </c>
      <c r="J13" s="28" t="s">
        <v>55</v>
      </c>
      <c r="K13" s="12">
        <f t="shared" si="0"/>
        <v>1133.5</v>
      </c>
      <c r="L13" s="12">
        <f t="shared" si="4"/>
        <v>1284822.25</v>
      </c>
      <c r="M13" s="12">
        <f t="shared" si="1"/>
        <v>9676.3333333333339</v>
      </c>
      <c r="N13" s="12">
        <f t="shared" si="5"/>
        <v>93631426.777777791</v>
      </c>
      <c r="O13" s="12">
        <f t="shared" si="2"/>
        <v>9901.3888888888887</v>
      </c>
      <c r="P13" s="12">
        <f t="shared" si="6"/>
        <v>98037501.929012343</v>
      </c>
      <c r="Q13" s="12">
        <f t="shared" si="3"/>
        <v>757.83333333333337</v>
      </c>
      <c r="R13" s="12">
        <f t="shared" si="7"/>
        <v>574311.36111111112</v>
      </c>
    </row>
    <row r="14" spans="2:18" x14ac:dyDescent="0.3">
      <c r="B14" s="33" t="s">
        <v>56</v>
      </c>
      <c r="C14" s="7" t="s">
        <v>12</v>
      </c>
      <c r="D14" s="7" t="s">
        <v>16</v>
      </c>
      <c r="E14" s="7">
        <f>3075</f>
        <v>3075</v>
      </c>
      <c r="F14" s="7">
        <f>13582</f>
        <v>13582</v>
      </c>
      <c r="G14" s="8" t="s">
        <v>56</v>
      </c>
      <c r="H14" s="7">
        <f>16416</f>
        <v>16416</v>
      </c>
      <c r="I14" s="34">
        <f>26</f>
        <v>26</v>
      </c>
      <c r="J14" s="28" t="s">
        <v>56</v>
      </c>
      <c r="K14" s="12">
        <f t="shared" si="0"/>
        <v>624.5</v>
      </c>
      <c r="L14" s="12">
        <f t="shared" si="4"/>
        <v>390000.25</v>
      </c>
      <c r="M14" s="12">
        <f t="shared" si="1"/>
        <v>30.66666666666606</v>
      </c>
      <c r="N14" s="12">
        <f t="shared" si="5"/>
        <v>940.44444444440728</v>
      </c>
      <c r="O14" s="12">
        <f t="shared" si="2"/>
        <v>627.38888888888869</v>
      </c>
      <c r="P14" s="12">
        <f t="shared" si="6"/>
        <v>393616.81790123432</v>
      </c>
      <c r="Q14" s="12">
        <f t="shared" si="3"/>
        <v>89.833333333333343</v>
      </c>
      <c r="R14" s="12">
        <f t="shared" si="7"/>
        <v>8070.0277777777792</v>
      </c>
    </row>
    <row r="15" spans="2:18" x14ac:dyDescent="0.3">
      <c r="B15" s="33" t="s">
        <v>57</v>
      </c>
      <c r="C15" s="7" t="s">
        <v>13</v>
      </c>
      <c r="D15" s="7" t="s">
        <v>79</v>
      </c>
      <c r="E15" s="9">
        <f>0</f>
        <v>0</v>
      </c>
      <c r="F15" s="7">
        <f>1831</f>
        <v>1831</v>
      </c>
      <c r="G15" s="8" t="s">
        <v>57</v>
      </c>
      <c r="H15" s="7">
        <f>1672</f>
        <v>1672</v>
      </c>
      <c r="I15" s="35">
        <f>-162</f>
        <v>-162</v>
      </c>
      <c r="J15" s="28" t="s">
        <v>57</v>
      </c>
      <c r="K15" s="12">
        <f t="shared" si="0"/>
        <v>2450.5</v>
      </c>
      <c r="L15" s="12">
        <f t="shared" si="4"/>
        <v>6004950.25</v>
      </c>
      <c r="M15" s="12">
        <f t="shared" si="1"/>
        <v>11781.666666666666</v>
      </c>
      <c r="N15" s="12">
        <f t="shared" si="5"/>
        <v>138807669.44444442</v>
      </c>
      <c r="O15" s="12">
        <f t="shared" si="2"/>
        <v>14116.611111111111</v>
      </c>
      <c r="P15" s="12">
        <f t="shared" si="6"/>
        <v>199278709.26234567</v>
      </c>
      <c r="Q15" s="12">
        <f t="shared" si="3"/>
        <v>98.166666666666657</v>
      </c>
      <c r="R15" s="12">
        <f t="shared" si="7"/>
        <v>9636.6944444444434</v>
      </c>
    </row>
    <row r="16" spans="2:18" x14ac:dyDescent="0.3">
      <c r="B16" s="33" t="s">
        <v>58</v>
      </c>
      <c r="C16" s="7" t="s">
        <v>14</v>
      </c>
      <c r="D16" s="7" t="s">
        <v>80</v>
      </c>
      <c r="E16" s="7">
        <f>1207</f>
        <v>1207</v>
      </c>
      <c r="F16" s="7">
        <f>7133</f>
        <v>7133</v>
      </c>
      <c r="G16" s="8" t="s">
        <v>58</v>
      </c>
      <c r="H16" s="7">
        <f>7738</f>
        <v>7738</v>
      </c>
      <c r="I16" s="35">
        <f>-602</f>
        <v>-602</v>
      </c>
      <c r="J16" s="28" t="s">
        <v>58</v>
      </c>
      <c r="K16" s="12">
        <f t="shared" si="0"/>
        <v>1243.5</v>
      </c>
      <c r="L16" s="12">
        <f t="shared" si="4"/>
        <v>1546292.25</v>
      </c>
      <c r="M16" s="12">
        <f t="shared" si="1"/>
        <v>6479.6666666666661</v>
      </c>
      <c r="N16" s="12">
        <f t="shared" si="5"/>
        <v>41986080.111111104</v>
      </c>
      <c r="O16" s="12">
        <f t="shared" si="2"/>
        <v>8050.6111111111113</v>
      </c>
      <c r="P16" s="12">
        <f t="shared" si="6"/>
        <v>64812339.262345679</v>
      </c>
      <c r="Q16" s="12">
        <f t="shared" si="3"/>
        <v>538.16666666666663</v>
      </c>
      <c r="R16" s="12">
        <f t="shared" si="7"/>
        <v>289623.36111111107</v>
      </c>
    </row>
    <row r="17" spans="2:18" x14ac:dyDescent="0.3">
      <c r="B17" s="33" t="s">
        <v>59</v>
      </c>
      <c r="C17" s="7" t="s">
        <v>17</v>
      </c>
      <c r="D17" s="7" t="s">
        <v>18</v>
      </c>
      <c r="E17" s="7">
        <f>2359</f>
        <v>2359</v>
      </c>
      <c r="F17" s="7">
        <f>10395</f>
        <v>10395</v>
      </c>
      <c r="G17" s="8" t="s">
        <v>59</v>
      </c>
      <c r="H17" s="7">
        <f>13031</f>
        <v>13031</v>
      </c>
      <c r="I17" s="34">
        <f>196</f>
        <v>196</v>
      </c>
      <c r="J17" s="28" t="s">
        <v>59</v>
      </c>
      <c r="K17" s="12">
        <f t="shared" si="0"/>
        <v>91.5</v>
      </c>
      <c r="L17" s="12">
        <f t="shared" si="4"/>
        <v>8372.25</v>
      </c>
      <c r="M17" s="12">
        <f t="shared" si="1"/>
        <v>3217.6666666666661</v>
      </c>
      <c r="N17" s="12">
        <f t="shared" si="5"/>
        <v>10353378.777777774</v>
      </c>
      <c r="O17" s="12">
        <f t="shared" si="2"/>
        <v>2757.6111111111113</v>
      </c>
      <c r="P17" s="12">
        <f t="shared" si="6"/>
        <v>7604419.040123458</v>
      </c>
      <c r="Q17" s="12">
        <f t="shared" si="3"/>
        <v>259.83333333333331</v>
      </c>
      <c r="R17" s="12">
        <f t="shared" si="7"/>
        <v>67513.361111111095</v>
      </c>
    </row>
    <row r="18" spans="2:18" x14ac:dyDescent="0.3">
      <c r="B18" s="33" t="s">
        <v>60</v>
      </c>
      <c r="C18" s="7" t="s">
        <v>19</v>
      </c>
      <c r="D18" s="7" t="s">
        <v>18</v>
      </c>
      <c r="E18" s="7">
        <f>265</f>
        <v>265</v>
      </c>
      <c r="F18" s="7">
        <f>6974</f>
        <v>6974</v>
      </c>
      <c r="G18" s="8" t="s">
        <v>60</v>
      </c>
      <c r="H18" s="7">
        <f>7326</f>
        <v>7326</v>
      </c>
      <c r="I18" s="34">
        <f>31</f>
        <v>31</v>
      </c>
      <c r="J18" s="28" t="s">
        <v>60</v>
      </c>
      <c r="K18" s="12">
        <f t="shared" si="0"/>
        <v>2185.5</v>
      </c>
      <c r="L18" s="12">
        <f t="shared" si="4"/>
        <v>4776410.25</v>
      </c>
      <c r="M18" s="12">
        <f t="shared" si="1"/>
        <v>6638.6666666666661</v>
      </c>
      <c r="N18" s="12">
        <f t="shared" si="5"/>
        <v>44071895.111111104</v>
      </c>
      <c r="O18" s="12">
        <f t="shared" si="2"/>
        <v>8462.6111111111113</v>
      </c>
      <c r="P18" s="12">
        <f t="shared" si="6"/>
        <v>71615786.817901239</v>
      </c>
      <c r="Q18" s="12">
        <f t="shared" si="3"/>
        <v>94.833333333333343</v>
      </c>
      <c r="R18" s="12">
        <f t="shared" si="7"/>
        <v>8993.3611111111131</v>
      </c>
    </row>
    <row r="19" spans="2:18" x14ac:dyDescent="0.3">
      <c r="B19" s="33" t="s">
        <v>61</v>
      </c>
      <c r="C19" s="7" t="s">
        <v>20</v>
      </c>
      <c r="D19" s="7" t="s">
        <v>18</v>
      </c>
      <c r="E19" s="7">
        <f>503</f>
        <v>503</v>
      </c>
      <c r="F19" s="7">
        <f>6620</f>
        <v>6620</v>
      </c>
      <c r="G19" s="8" t="s">
        <v>61</v>
      </c>
      <c r="H19" s="7">
        <f>7400</f>
        <v>7400</v>
      </c>
      <c r="I19" s="34">
        <f>187</f>
        <v>187</v>
      </c>
      <c r="J19" s="28" t="s">
        <v>61</v>
      </c>
      <c r="K19" s="12">
        <f t="shared" si="0"/>
        <v>1947.5</v>
      </c>
      <c r="L19" s="12">
        <f t="shared" si="4"/>
        <v>3792756.25</v>
      </c>
      <c r="M19" s="12">
        <f t="shared" si="1"/>
        <v>6992.6666666666661</v>
      </c>
      <c r="N19" s="12">
        <f t="shared" si="5"/>
        <v>48897387.111111104</v>
      </c>
      <c r="O19" s="12">
        <f t="shared" si="2"/>
        <v>8388.6111111111113</v>
      </c>
      <c r="P19" s="12">
        <f t="shared" si="6"/>
        <v>70368796.373456791</v>
      </c>
      <c r="Q19" s="12">
        <f t="shared" si="3"/>
        <v>250.83333333333334</v>
      </c>
      <c r="R19" s="12">
        <f t="shared" si="7"/>
        <v>62917.361111111117</v>
      </c>
    </row>
    <row r="20" spans="2:18" x14ac:dyDescent="0.3">
      <c r="B20" s="33" t="s">
        <v>62</v>
      </c>
      <c r="C20" s="7" t="s">
        <v>21</v>
      </c>
      <c r="D20" s="7" t="s">
        <v>81</v>
      </c>
      <c r="E20" s="9">
        <f>0</f>
        <v>0</v>
      </c>
      <c r="F20" s="7">
        <f>5218</f>
        <v>5218</v>
      </c>
      <c r="G20" s="8" t="s">
        <v>62</v>
      </c>
      <c r="H20" s="7">
        <f>5325</f>
        <v>5325</v>
      </c>
      <c r="I20" s="34">
        <f>96</f>
        <v>96</v>
      </c>
      <c r="J20" s="28" t="s">
        <v>62</v>
      </c>
      <c r="K20" s="12">
        <f t="shared" si="0"/>
        <v>2450.5</v>
      </c>
      <c r="L20" s="12">
        <f t="shared" si="4"/>
        <v>6004950.25</v>
      </c>
      <c r="M20" s="12">
        <f t="shared" si="1"/>
        <v>8394.6666666666661</v>
      </c>
      <c r="N20" s="12">
        <f t="shared" si="5"/>
        <v>70470428.444444433</v>
      </c>
      <c r="O20" s="12">
        <f t="shared" si="2"/>
        <v>10463.611111111111</v>
      </c>
      <c r="P20" s="12">
        <f t="shared" si="6"/>
        <v>109487157.48456791</v>
      </c>
      <c r="Q20" s="12">
        <f t="shared" si="3"/>
        <v>159.83333333333334</v>
      </c>
      <c r="R20" s="12">
        <f t="shared" si="7"/>
        <v>25546.694444444449</v>
      </c>
    </row>
    <row r="21" spans="2:18" x14ac:dyDescent="0.3">
      <c r="B21" s="33" t="s">
        <v>65</v>
      </c>
      <c r="C21" s="7" t="s">
        <v>36</v>
      </c>
      <c r="D21" s="7" t="s">
        <v>15</v>
      </c>
      <c r="E21" s="7">
        <f>794</f>
        <v>794</v>
      </c>
      <c r="F21" s="7">
        <f>2171</f>
        <v>2171</v>
      </c>
      <c r="G21" s="8" t="s">
        <v>65</v>
      </c>
      <c r="H21" s="7">
        <f>276</f>
        <v>276</v>
      </c>
      <c r="I21" s="35">
        <f>-17</f>
        <v>-17</v>
      </c>
      <c r="J21" s="28" t="s">
        <v>65</v>
      </c>
      <c r="K21" s="12">
        <f t="shared" si="0"/>
        <v>1656.5</v>
      </c>
      <c r="L21" s="12">
        <f t="shared" si="4"/>
        <v>2743992.25</v>
      </c>
      <c r="M21" s="12">
        <f t="shared" si="1"/>
        <v>11441.666666666666</v>
      </c>
      <c r="N21" s="12">
        <f t="shared" si="5"/>
        <v>130911736.1111111</v>
      </c>
      <c r="O21" s="12">
        <f t="shared" si="2"/>
        <v>15512.611111111111</v>
      </c>
      <c r="P21" s="12">
        <f t="shared" si="6"/>
        <v>240641103.48456791</v>
      </c>
      <c r="Q21" s="12">
        <f t="shared" si="3"/>
        <v>46.833333333333336</v>
      </c>
      <c r="R21" s="12">
        <f t="shared" si="7"/>
        <v>2193.3611111111113</v>
      </c>
    </row>
    <row r="22" spans="2:18" ht="15" thickBot="1" x14ac:dyDescent="0.35">
      <c r="B22" s="36" t="s">
        <v>66</v>
      </c>
      <c r="C22" s="37" t="s">
        <v>23</v>
      </c>
      <c r="D22" s="37" t="s">
        <v>24</v>
      </c>
      <c r="E22" s="38">
        <f>0</f>
        <v>0</v>
      </c>
      <c r="F22" s="37">
        <f>3631</f>
        <v>3631</v>
      </c>
      <c r="G22" s="26" t="s">
        <v>66</v>
      </c>
      <c r="H22" s="37">
        <f>3638</f>
        <v>3638</v>
      </c>
      <c r="I22" s="39">
        <f>7</f>
        <v>7</v>
      </c>
      <c r="J22" s="28" t="s">
        <v>66</v>
      </c>
      <c r="K22" s="12">
        <f t="shared" si="0"/>
        <v>2450.5</v>
      </c>
      <c r="L22" s="12">
        <f t="shared" si="4"/>
        <v>6004950.25</v>
      </c>
      <c r="M22" s="12">
        <f t="shared" si="1"/>
        <v>9981.6666666666661</v>
      </c>
      <c r="N22" s="12">
        <f t="shared" si="5"/>
        <v>99633669.444444433</v>
      </c>
      <c r="O22" s="12">
        <f t="shared" si="2"/>
        <v>12150.611111111111</v>
      </c>
      <c r="P22" s="12">
        <f t="shared" si="6"/>
        <v>147637350.37345681</v>
      </c>
      <c r="Q22" s="12">
        <f t="shared" si="3"/>
        <v>70.833333333333343</v>
      </c>
      <c r="R22" s="12">
        <f t="shared" si="7"/>
        <v>5017.3611111111122</v>
      </c>
    </row>
    <row r="24" spans="2:18" x14ac:dyDescent="0.3">
      <c r="B24" s="10" t="s">
        <v>82</v>
      </c>
      <c r="C24">
        <v>3</v>
      </c>
    </row>
    <row r="25" spans="2:18" x14ac:dyDescent="0.3">
      <c r="B25" s="10" t="s">
        <v>83</v>
      </c>
      <c r="C25">
        <v>8</v>
      </c>
    </row>
    <row r="29" spans="2:18" ht="15" thickBot="1" x14ac:dyDescent="0.35">
      <c r="B29" s="184" t="s">
        <v>84</v>
      </c>
      <c r="C29" s="184"/>
      <c r="D29" s="184"/>
      <c r="E29" s="184"/>
      <c r="F29" s="184"/>
      <c r="G29" s="184"/>
      <c r="H29" s="184"/>
      <c r="I29" s="184"/>
      <c r="J29" s="184"/>
      <c r="K29" s="185"/>
    </row>
    <row r="30" spans="2:18" x14ac:dyDescent="0.3">
      <c r="B30" s="98"/>
      <c r="C30" s="180" t="s">
        <v>85</v>
      </c>
      <c r="D30" s="180"/>
      <c r="E30" s="180"/>
      <c r="F30" s="193" t="s">
        <v>86</v>
      </c>
      <c r="G30" s="194"/>
      <c r="H30" s="195"/>
      <c r="I30" s="191"/>
      <c r="J30" s="192"/>
      <c r="K30" s="40"/>
    </row>
    <row r="31" spans="2:18" x14ac:dyDescent="0.3">
      <c r="B31" s="99"/>
      <c r="C31" s="11" t="s">
        <v>87</v>
      </c>
      <c r="D31" s="11" t="s">
        <v>88</v>
      </c>
      <c r="E31" s="11" t="s">
        <v>89</v>
      </c>
      <c r="F31" s="11" t="s">
        <v>90</v>
      </c>
      <c r="G31" s="11" t="s">
        <v>91</v>
      </c>
      <c r="H31" s="11" t="s">
        <v>92</v>
      </c>
      <c r="I31" s="11" t="s">
        <v>97</v>
      </c>
      <c r="J31" s="42" t="s">
        <v>99</v>
      </c>
      <c r="K31" s="23" t="s">
        <v>100</v>
      </c>
    </row>
    <row r="32" spans="2:18" x14ac:dyDescent="0.3">
      <c r="B32" s="43" t="s">
        <v>38</v>
      </c>
      <c r="C32" s="12">
        <f>AVERAGE(E5:E22)</f>
        <v>2450.5</v>
      </c>
      <c r="D32" s="12">
        <f>MEDIAN(E5:E22)</f>
        <v>2025</v>
      </c>
      <c r="E32" s="12">
        <f>MODE(E5:E22)</f>
        <v>0</v>
      </c>
      <c r="F32" s="12">
        <f>AVERAGE(L5:L22)</f>
        <v>5025709.361111111</v>
      </c>
      <c r="G32" s="12">
        <f>MIN(E5:E22)</f>
        <v>0</v>
      </c>
      <c r="H32" s="12">
        <f>MAX(E5:E22)</f>
        <v>7305</v>
      </c>
      <c r="I32" s="12">
        <f>AVERAGE(K5:K22)</f>
        <v>1827.2777777777778</v>
      </c>
      <c r="J32" s="44">
        <f>SQRT(F32)</f>
        <v>2241.8093944649067</v>
      </c>
      <c r="K32" s="41">
        <f>SQRT(SUM(L5:L22)/17)</f>
        <v>2306.8028358594956</v>
      </c>
    </row>
    <row r="33" spans="2:11" x14ac:dyDescent="0.3">
      <c r="B33" s="43" t="s">
        <v>39</v>
      </c>
      <c r="C33" s="12">
        <f>AVERAGE(F5:F22)</f>
        <v>13612.666666666666</v>
      </c>
      <c r="D33" s="12">
        <f>MEDIAN(F5:F22)</f>
        <v>11668</v>
      </c>
      <c r="E33" s="13" t="s">
        <v>93</v>
      </c>
      <c r="F33" s="12">
        <f>AVERAGE(N5:N22)</f>
        <v>102276867.33333333</v>
      </c>
      <c r="G33" s="12">
        <f>MIN(F5:F22)</f>
        <v>1831</v>
      </c>
      <c r="H33" s="12">
        <f>MAX(F5:F22)</f>
        <v>43992</v>
      </c>
      <c r="I33" s="12">
        <f>AVERAGE(M5:M22)</f>
        <v>7732.8148148148175</v>
      </c>
      <c r="J33" s="44">
        <f>SQRT(F33)</f>
        <v>10113.202624951868</v>
      </c>
      <c r="K33" s="41">
        <f>SQRT(SUM(N5:N22)/17)</f>
        <v>10406.39964863251</v>
      </c>
    </row>
    <row r="34" spans="2:11" x14ac:dyDescent="0.3">
      <c r="B34" s="43" t="s">
        <v>40</v>
      </c>
      <c r="C34" s="12">
        <f>AVERAGE(H5:H22)</f>
        <v>15788.611111111111</v>
      </c>
      <c r="D34" s="12">
        <f>MEDIAN(H5:H22)</f>
        <v>14723.5</v>
      </c>
      <c r="E34" s="13" t="s">
        <v>93</v>
      </c>
      <c r="F34" s="12">
        <f>AVERAGE(P5:P22)</f>
        <v>151587446.34876549</v>
      </c>
      <c r="G34" s="12">
        <f>MIN(H5:H22)</f>
        <v>276</v>
      </c>
      <c r="H34" s="12">
        <f>MAX(H5:H22)</f>
        <v>51560</v>
      </c>
      <c r="I34" s="12">
        <f>AVERAGE(O5:O22)</f>
        <v>9463.7222222222263</v>
      </c>
      <c r="J34" s="44">
        <f>SQRT(F34)</f>
        <v>12312.085377740259</v>
      </c>
      <c r="K34" s="41">
        <f>SQRT(SUM(P5:P22)/17)</f>
        <v>12669.031334617355</v>
      </c>
    </row>
    <row r="35" spans="2:11" ht="15" thickBot="1" x14ac:dyDescent="0.35">
      <c r="B35" s="45" t="s">
        <v>41</v>
      </c>
      <c r="C35" s="46">
        <f>AVERAGE(I5:I22)</f>
        <v>-63.833333333333336</v>
      </c>
      <c r="D35" s="46">
        <f>MEDIAN(I5:I22)</f>
        <v>16.5</v>
      </c>
      <c r="E35" s="47" t="s">
        <v>93</v>
      </c>
      <c r="F35" s="46">
        <f>AVERAGE(R5:R22)</f>
        <v>303269.24999999994</v>
      </c>
      <c r="G35" s="46">
        <f>MIN(I5:I22)</f>
        <v>-1744</v>
      </c>
      <c r="H35" s="46">
        <f>MAX(I5:I22)</f>
        <v>953</v>
      </c>
      <c r="I35" s="46">
        <f>AVERAGE(Q5:Q22)</f>
        <v>357.77777777777766</v>
      </c>
      <c r="J35" s="48">
        <f>SQRT(F35)</f>
        <v>550.69887415900894</v>
      </c>
      <c r="K35" s="41">
        <f>SQRT(SUM(R5:R22)/17)</f>
        <v>566.66446654705533</v>
      </c>
    </row>
  </sheetData>
  <sortState xmlns:xlrd2="http://schemas.microsoft.com/office/spreadsheetml/2017/richdata2" ref="B5:I22">
    <sortCondition ref="D5:D22"/>
  </sortState>
  <mergeCells count="8">
    <mergeCell ref="C30:E30"/>
    <mergeCell ref="K3:R3"/>
    <mergeCell ref="B29:K29"/>
    <mergeCell ref="E3:F3"/>
    <mergeCell ref="H3:I3"/>
    <mergeCell ref="B3:D3"/>
    <mergeCell ref="I30:J30"/>
    <mergeCell ref="F30:H30"/>
  </mergeCells>
  <phoneticPr fontId="6" type="noConversion"/>
  <pageMargins left="0.7" right="0.7" top="0.78740157499999996" bottom="0.78740157499999996" header="0.3" footer="0.3"/>
  <pageSetup paperSize="9" orientation="portrait" r:id="rId1"/>
  <ignoredErrors>
    <ignoredError sqref="M5 M6:M22 O5:O22 Q5:Q22 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DE0D-3B55-4AB7-A7F8-A6CE1264C6B0}">
  <dimension ref="A1:H35"/>
  <sheetViews>
    <sheetView showGridLines="0" topLeftCell="A15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4" width="12.6640625" bestFit="1" customWidth="1"/>
    <col min="5" max="5" width="11.554687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204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2.3284468042423503E-4</v>
      </c>
      <c r="E9" s="16">
        <v>0</v>
      </c>
      <c r="F9" s="16">
        <v>0</v>
      </c>
      <c r="G9" s="16">
        <v>0</v>
      </c>
      <c r="H9" s="16">
        <v>167.83648423258867</v>
      </c>
    </row>
    <row r="10" spans="1:8" x14ac:dyDescent="0.3">
      <c r="B10" s="16" t="s">
        <v>129</v>
      </c>
      <c r="C10" s="16" t="s">
        <v>104</v>
      </c>
      <c r="D10" s="16">
        <v>2.7534209730641036E-4</v>
      </c>
      <c r="E10" s="16">
        <v>0</v>
      </c>
      <c r="F10" s="16">
        <v>0</v>
      </c>
      <c r="G10" s="16">
        <v>609414.27424852934</v>
      </c>
      <c r="H10" s="16">
        <v>0</v>
      </c>
    </row>
    <row r="11" spans="1:8" x14ac:dyDescent="0.3">
      <c r="B11" s="16" t="s">
        <v>130</v>
      </c>
      <c r="C11" s="16" t="s">
        <v>105</v>
      </c>
      <c r="D11" s="16">
        <v>2.471431886604498E-4</v>
      </c>
      <c r="E11" s="16">
        <v>0</v>
      </c>
      <c r="F11" s="16">
        <v>3638</v>
      </c>
      <c r="G11" s="16">
        <v>0</v>
      </c>
      <c r="H11" s="16">
        <v>0</v>
      </c>
    </row>
    <row r="12" spans="1:8" ht="15" thickBot="1" x14ac:dyDescent="0.35">
      <c r="B12" s="17" t="s">
        <v>131</v>
      </c>
      <c r="C12" s="17" t="s">
        <v>106</v>
      </c>
      <c r="D12" s="17">
        <v>5.7587374231326289E-5</v>
      </c>
      <c r="E12" s="17">
        <v>0</v>
      </c>
      <c r="F12" s="17">
        <v>1752</v>
      </c>
      <c r="G12" s="17">
        <v>0</v>
      </c>
      <c r="H12" s="17">
        <v>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8" x14ac:dyDescent="0.3">
      <c r="B17" s="16" t="s">
        <v>132</v>
      </c>
      <c r="C17" s="16" t="s">
        <v>133</v>
      </c>
      <c r="D17" s="16">
        <v>-0.31739594325758702</v>
      </c>
      <c r="E17" s="16">
        <v>0</v>
      </c>
      <c r="F17" s="16">
        <v>0</v>
      </c>
      <c r="G17" s="16">
        <v>1E+30</v>
      </c>
      <c r="H17" s="16">
        <v>0.31739594325758635</v>
      </c>
    </row>
    <row r="18" spans="2:8" x14ac:dyDescent="0.3">
      <c r="B18" s="16" t="s">
        <v>134</v>
      </c>
      <c r="C18" s="16" t="s">
        <v>135</v>
      </c>
      <c r="D18" s="16">
        <v>-0.27173386727301807</v>
      </c>
      <c r="E18" s="16">
        <v>0</v>
      </c>
      <c r="F18" s="16">
        <v>0</v>
      </c>
      <c r="G18" s="16">
        <v>1E+30</v>
      </c>
      <c r="H18" s="16">
        <v>0.27173386727301746</v>
      </c>
    </row>
    <row r="19" spans="2:8" x14ac:dyDescent="0.3">
      <c r="B19" s="16" t="s">
        <v>136</v>
      </c>
      <c r="C19" s="16" t="s">
        <v>137</v>
      </c>
      <c r="D19" s="16">
        <v>-0.95365896699567365</v>
      </c>
      <c r="E19" s="16">
        <v>0</v>
      </c>
      <c r="F19" s="16">
        <v>0</v>
      </c>
      <c r="G19" s="16">
        <v>1E+30</v>
      </c>
      <c r="H19" s="16">
        <v>0.95365896699567254</v>
      </c>
    </row>
    <row r="20" spans="2:8" x14ac:dyDescent="0.3">
      <c r="B20" s="16" t="s">
        <v>138</v>
      </c>
      <c r="C20" s="16" t="s">
        <v>139</v>
      </c>
      <c r="D20" s="16">
        <v>-0.808463702777237</v>
      </c>
      <c r="E20" s="16">
        <v>0</v>
      </c>
      <c r="F20" s="16">
        <v>0</v>
      </c>
      <c r="G20" s="16">
        <v>1E+30</v>
      </c>
      <c r="H20" s="16">
        <v>0.80846370277723678</v>
      </c>
    </row>
    <row r="21" spans="2:8" x14ac:dyDescent="0.3">
      <c r="B21" s="16" t="s">
        <v>140</v>
      </c>
      <c r="C21" s="16" t="s">
        <v>141</v>
      </c>
      <c r="D21" s="16">
        <v>-0.12023644957864654</v>
      </c>
      <c r="E21" s="16">
        <v>0</v>
      </c>
      <c r="F21" s="16">
        <v>0</v>
      </c>
      <c r="G21" s="16">
        <v>1E+30</v>
      </c>
      <c r="H21" s="16">
        <v>0.12023644957864678</v>
      </c>
    </row>
    <row r="22" spans="2:8" x14ac:dyDescent="0.3">
      <c r="B22" s="16" t="s">
        <v>142</v>
      </c>
      <c r="C22" s="16" t="s">
        <v>143</v>
      </c>
      <c r="D22" s="16">
        <v>-0.35058869010379468</v>
      </c>
      <c r="E22" s="16">
        <v>0</v>
      </c>
      <c r="F22" s="16">
        <v>0</v>
      </c>
      <c r="G22" s="16">
        <v>1E+30</v>
      </c>
      <c r="H22" s="16">
        <v>0.35058869010379368</v>
      </c>
    </row>
    <row r="23" spans="2:8" x14ac:dyDescent="0.3">
      <c r="B23" s="16" t="s">
        <v>144</v>
      </c>
      <c r="C23" s="16" t="s">
        <v>145</v>
      </c>
      <c r="D23" s="16">
        <v>-0.6099970251149629</v>
      </c>
      <c r="E23" s="16">
        <v>0</v>
      </c>
      <c r="F23" s="16">
        <v>0</v>
      </c>
      <c r="G23" s="16">
        <v>1E+30</v>
      </c>
      <c r="H23" s="16">
        <v>0.60999702511496257</v>
      </c>
    </row>
    <row r="24" spans="2:8" x14ac:dyDescent="0.3">
      <c r="B24" s="16" t="s">
        <v>146</v>
      </c>
      <c r="C24" s="16" t="s">
        <v>147</v>
      </c>
      <c r="D24" s="16">
        <v>-0.75720707242118124</v>
      </c>
      <c r="E24" s="16">
        <v>0</v>
      </c>
      <c r="F24" s="16">
        <v>0</v>
      </c>
      <c r="G24" s="16">
        <v>1E+30</v>
      </c>
      <c r="H24" s="16">
        <v>0.75720707242117979</v>
      </c>
    </row>
    <row r="25" spans="2:8" x14ac:dyDescent="0.3">
      <c r="B25" s="16" t="s">
        <v>148</v>
      </c>
      <c r="C25" s="16" t="s">
        <v>149</v>
      </c>
      <c r="D25" s="16">
        <v>-0.22976727053097257</v>
      </c>
      <c r="E25" s="16">
        <v>0</v>
      </c>
      <c r="F25" s="16">
        <v>0</v>
      </c>
      <c r="G25" s="16">
        <v>1E+30</v>
      </c>
      <c r="H25" s="16">
        <v>0.2297672705309716</v>
      </c>
    </row>
    <row r="26" spans="2:8" x14ac:dyDescent="0.3">
      <c r="B26" s="16" t="s">
        <v>150</v>
      </c>
      <c r="C26" s="16" t="s">
        <v>151</v>
      </c>
      <c r="D26" s="16">
        <v>-0.2968367777869898</v>
      </c>
      <c r="E26" s="16">
        <v>0</v>
      </c>
      <c r="F26" s="16">
        <v>0</v>
      </c>
      <c r="G26" s="16">
        <v>1E+30</v>
      </c>
      <c r="H26" s="16">
        <v>0.29683677778698936</v>
      </c>
    </row>
    <row r="27" spans="2:8" x14ac:dyDescent="0.3">
      <c r="B27" s="16" t="s">
        <v>152</v>
      </c>
      <c r="C27" s="16" t="s">
        <v>153</v>
      </c>
      <c r="D27" s="16">
        <v>0</v>
      </c>
      <c r="E27" s="16">
        <v>0</v>
      </c>
      <c r="F27" s="16">
        <v>0</v>
      </c>
      <c r="G27" s="16">
        <v>1.8613434286908419E-2</v>
      </c>
      <c r="H27" s="16">
        <v>1.6034356401920708E-2</v>
      </c>
    </row>
    <row r="28" spans="2:8" x14ac:dyDescent="0.3">
      <c r="B28" s="16" t="s">
        <v>154</v>
      </c>
      <c r="C28" s="16" t="s">
        <v>155</v>
      </c>
      <c r="D28" s="16">
        <v>-0.26707519143813441</v>
      </c>
      <c r="E28" s="16">
        <v>0</v>
      </c>
      <c r="F28" s="16">
        <v>0</v>
      </c>
      <c r="G28" s="16">
        <v>1E+30</v>
      </c>
      <c r="H28" s="16">
        <v>0.26707519143813424</v>
      </c>
    </row>
    <row r="29" spans="2:8" x14ac:dyDescent="0.3">
      <c r="B29" s="16" t="s">
        <v>156</v>
      </c>
      <c r="C29" s="16" t="s">
        <v>157</v>
      </c>
      <c r="D29" s="16">
        <v>-7.9394562484004449E-2</v>
      </c>
      <c r="E29" s="16">
        <v>0</v>
      </c>
      <c r="F29" s="16">
        <v>0</v>
      </c>
      <c r="G29" s="16">
        <v>1E+30</v>
      </c>
      <c r="H29" s="16">
        <v>7.9394562484004103E-2</v>
      </c>
    </row>
    <row r="30" spans="2:8" x14ac:dyDescent="0.3">
      <c r="B30" s="16" t="s">
        <v>158</v>
      </c>
      <c r="C30" s="16" t="s">
        <v>159</v>
      </c>
      <c r="D30" s="16">
        <v>-6.9326294846461467E-2</v>
      </c>
      <c r="E30" s="16">
        <v>0</v>
      </c>
      <c r="F30" s="16">
        <v>0</v>
      </c>
      <c r="G30" s="16">
        <v>1E+30</v>
      </c>
      <c r="H30" s="16">
        <v>6.9326294846461467E-2</v>
      </c>
    </row>
    <row r="31" spans="2:8" x14ac:dyDescent="0.3">
      <c r="B31" s="16" t="s">
        <v>160</v>
      </c>
      <c r="C31" s="16" t="s">
        <v>161</v>
      </c>
      <c r="D31" s="16">
        <v>0</v>
      </c>
      <c r="E31" s="16">
        <v>0</v>
      </c>
      <c r="F31" s="16">
        <v>0</v>
      </c>
      <c r="G31" s="16">
        <v>1.6929819497044689E-2</v>
      </c>
      <c r="H31" s="16">
        <v>405.18186326733883</v>
      </c>
    </row>
    <row r="32" spans="2:8" x14ac:dyDescent="0.3">
      <c r="B32" s="16" t="s">
        <v>162</v>
      </c>
      <c r="C32" s="16" t="s">
        <v>163</v>
      </c>
      <c r="D32" s="16">
        <v>-1.4912072848506597E-2</v>
      </c>
      <c r="E32" s="16">
        <v>0</v>
      </c>
      <c r="F32" s="16">
        <v>0</v>
      </c>
      <c r="G32" s="16">
        <v>1E+30</v>
      </c>
      <c r="H32" s="16">
        <v>1.4912072848506576E-2</v>
      </c>
    </row>
    <row r="33" spans="2:8" x14ac:dyDescent="0.3">
      <c r="B33" s="16" t="s">
        <v>164</v>
      </c>
      <c r="C33" s="16" t="s">
        <v>165</v>
      </c>
      <c r="D33" s="16">
        <v>-0.61515671144746775</v>
      </c>
      <c r="E33" s="16">
        <v>0</v>
      </c>
      <c r="F33" s="16">
        <v>0</v>
      </c>
      <c r="G33" s="16">
        <v>1E+30</v>
      </c>
      <c r="H33" s="16">
        <v>0.61515671144746775</v>
      </c>
    </row>
    <row r="34" spans="2:8" x14ac:dyDescent="0.3">
      <c r="B34" s="16" t="s">
        <v>166</v>
      </c>
      <c r="C34" s="16" t="s">
        <v>167</v>
      </c>
      <c r="D34" s="16">
        <v>0</v>
      </c>
      <c r="E34" s="16">
        <v>1</v>
      </c>
      <c r="F34" s="16">
        <v>0</v>
      </c>
      <c r="G34" s="16">
        <v>7.8856280942675109E-3</v>
      </c>
      <c r="H34" s="16">
        <v>1.0027658988863182E-2</v>
      </c>
    </row>
    <row r="35" spans="2:8" ht="15" thickBot="1" x14ac:dyDescent="0.35">
      <c r="B35" s="17" t="s">
        <v>205</v>
      </c>
      <c r="C35" s="17" t="s">
        <v>169</v>
      </c>
      <c r="D35" s="17">
        <v>1.0000000000000002</v>
      </c>
      <c r="E35" s="17">
        <v>0.99999999999999989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34190-6BC5-4482-A58F-04F2B67E29D6}">
  <dimension ref="A1:Y145"/>
  <sheetViews>
    <sheetView topLeftCell="H39" zoomScale="70" zoomScaleNormal="70" workbookViewId="0">
      <selection activeCell="X93" sqref="X93:Y111"/>
    </sheetView>
  </sheetViews>
  <sheetFormatPr defaultRowHeight="14.4" x14ac:dyDescent="0.3"/>
  <cols>
    <col min="1" max="1" width="7.33203125" hidden="1" customWidth="1"/>
    <col min="2" max="2" width="18.44140625" hidden="1" customWidth="1"/>
    <col min="3" max="3" width="22" hidden="1" customWidth="1"/>
    <col min="4" max="4" width="7.33203125" hidden="1" customWidth="1"/>
    <col min="5" max="5" width="23.33203125" hidden="1" customWidth="1"/>
    <col min="6" max="6" width="35.33203125" hidden="1" customWidth="1"/>
    <col min="7" max="7" width="0" hidden="1" customWidth="1"/>
    <col min="8" max="8" width="7.33203125" bestFit="1" customWidth="1"/>
    <col min="9" max="9" width="18.44140625" bestFit="1" customWidth="1"/>
    <col min="10" max="10" width="22" bestFit="1" customWidth="1"/>
    <col min="11" max="11" width="10.109375" customWidth="1"/>
    <col min="12" max="12" width="17.6640625" bestFit="1" customWidth="1"/>
    <col min="13" max="13" width="28.88671875" customWidth="1"/>
    <col min="14" max="14" width="30.77734375" bestFit="1" customWidth="1"/>
    <col min="15" max="15" width="34.33203125" bestFit="1" customWidth="1"/>
    <col min="16" max="16" width="21.109375" bestFit="1" customWidth="1"/>
    <col min="17" max="17" width="24.88671875" customWidth="1"/>
    <col min="18" max="18" width="22.77734375" bestFit="1" customWidth="1"/>
    <col min="19" max="19" width="33.33203125" bestFit="1" customWidth="1"/>
    <col min="21" max="21" width="21.5546875" bestFit="1" customWidth="1"/>
    <col min="22" max="22" width="22" bestFit="1" customWidth="1"/>
    <col min="23" max="23" width="23.33203125" bestFit="1" customWidth="1"/>
    <col min="25" max="25" width="34.21875" bestFit="1" customWidth="1"/>
  </cols>
  <sheetData>
    <row r="1" spans="1:25" x14ac:dyDescent="0.3">
      <c r="A1" s="207" t="s">
        <v>101</v>
      </c>
      <c r="B1" s="207"/>
      <c r="C1" s="207"/>
      <c r="D1" s="207"/>
      <c r="E1" s="207"/>
      <c r="F1" s="207"/>
    </row>
    <row r="2" spans="1:25" x14ac:dyDescent="0.3">
      <c r="A2" s="6"/>
      <c r="B2" s="200" t="s">
        <v>94</v>
      </c>
      <c r="C2" s="200"/>
      <c r="D2" s="6"/>
      <c r="E2" s="200" t="s">
        <v>95</v>
      </c>
      <c r="F2" s="200"/>
    </row>
    <row r="3" spans="1:25" x14ac:dyDescent="0.3">
      <c r="A3" s="6" t="s">
        <v>42</v>
      </c>
      <c r="B3" s="6" t="s">
        <v>67</v>
      </c>
      <c r="C3" s="6" t="s">
        <v>68</v>
      </c>
      <c r="D3" s="6" t="s">
        <v>42</v>
      </c>
      <c r="E3" s="6" t="s">
        <v>69</v>
      </c>
      <c r="F3" s="6" t="s">
        <v>70</v>
      </c>
    </row>
    <row r="4" spans="1:25" ht="15" thickBot="1" x14ac:dyDescent="0.35">
      <c r="A4" s="8" t="s">
        <v>47</v>
      </c>
      <c r="B4" s="7">
        <f>1691</f>
        <v>1691</v>
      </c>
      <c r="C4" s="7">
        <f>17110</f>
        <v>17110</v>
      </c>
      <c r="D4" s="8" t="s">
        <v>47</v>
      </c>
      <c r="E4" s="7">
        <f>18955</f>
        <v>18955</v>
      </c>
      <c r="F4" s="7">
        <f>45</f>
        <v>45</v>
      </c>
      <c r="K4" s="199"/>
      <c r="L4" s="199"/>
      <c r="M4" s="199"/>
      <c r="N4" s="199"/>
      <c r="O4" s="199"/>
    </row>
    <row r="5" spans="1:25" ht="15" thickBot="1" x14ac:dyDescent="0.35">
      <c r="A5" s="8" t="s">
        <v>48</v>
      </c>
      <c r="B5" s="7">
        <f>6742</f>
        <v>6742</v>
      </c>
      <c r="C5" s="7">
        <f>23482</f>
        <v>23482</v>
      </c>
      <c r="D5" s="8" t="s">
        <v>48</v>
      </c>
      <c r="E5" s="7">
        <f>30786</f>
        <v>30786</v>
      </c>
      <c r="F5" s="7">
        <f>953</f>
        <v>953</v>
      </c>
      <c r="K5" s="29"/>
      <c r="L5" s="186" t="s">
        <v>94</v>
      </c>
      <c r="M5" s="186"/>
      <c r="N5" s="186" t="s">
        <v>95</v>
      </c>
      <c r="O5" s="187"/>
      <c r="P5" s="208" t="s">
        <v>102</v>
      </c>
      <c r="Q5" s="209"/>
      <c r="S5" s="179"/>
      <c r="T5" s="179"/>
      <c r="U5" s="179"/>
      <c r="W5" s="199"/>
      <c r="X5" s="199"/>
      <c r="Y5" s="199"/>
    </row>
    <row r="6" spans="1:25" x14ac:dyDescent="0.3">
      <c r="A6" s="8" t="s">
        <v>49</v>
      </c>
      <c r="B6" s="7">
        <f>7305</f>
        <v>7305</v>
      </c>
      <c r="C6" s="7">
        <f>43992</f>
        <v>43992</v>
      </c>
      <c r="D6" s="8" t="s">
        <v>49</v>
      </c>
      <c r="E6" s="7">
        <f>51560</f>
        <v>51560</v>
      </c>
      <c r="F6" s="7">
        <f>298</f>
        <v>298</v>
      </c>
      <c r="K6" s="31" t="s">
        <v>42</v>
      </c>
      <c r="L6" s="6" t="s">
        <v>67</v>
      </c>
      <c r="M6" s="6" t="s">
        <v>68</v>
      </c>
      <c r="N6" s="6" t="s">
        <v>69</v>
      </c>
      <c r="O6" s="32" t="s">
        <v>70</v>
      </c>
      <c r="P6" s="43" t="s">
        <v>206</v>
      </c>
      <c r="Q6" s="50" t="s">
        <v>207</v>
      </c>
      <c r="S6" s="59" t="s">
        <v>217</v>
      </c>
      <c r="T6" s="180"/>
      <c r="U6" s="206"/>
    </row>
    <row r="7" spans="1:25" x14ac:dyDescent="0.3">
      <c r="A7" s="8" t="s">
        <v>50</v>
      </c>
      <c r="B7" s="7">
        <f>5842</f>
        <v>5842</v>
      </c>
      <c r="C7" s="7">
        <f>23150</f>
        <v>23150</v>
      </c>
      <c r="D7" s="8" t="s">
        <v>50</v>
      </c>
      <c r="E7" s="7">
        <f>27773</f>
        <v>27773</v>
      </c>
      <c r="F7" s="9">
        <f>-663</f>
        <v>-663</v>
      </c>
      <c r="K7" s="33" t="s">
        <v>47</v>
      </c>
      <c r="L7" s="7">
        <f t="shared" ref="L7:L24" si="0">B4+1</f>
        <v>1692</v>
      </c>
      <c r="M7" s="7">
        <f>17110</f>
        <v>17110</v>
      </c>
      <c r="N7" s="7">
        <f>18955</f>
        <v>18955</v>
      </c>
      <c r="O7" s="34">
        <f t="shared" ref="O7:O24" si="1">F4+1745</f>
        <v>1790</v>
      </c>
      <c r="P7" s="51">
        <f>$N$29*N7+$O$29*O7</f>
        <v>4.7876805409329002</v>
      </c>
      <c r="Q7" s="34">
        <v>0.96996672650162741</v>
      </c>
      <c r="S7" s="53">
        <f t="shared" ref="S7:S24" si="2">$N$29*N7+$O$29*O7-$L$29*L7-$M$29*M7</f>
        <v>-0.31739594325758702</v>
      </c>
      <c r="T7" s="8" t="s">
        <v>108</v>
      </c>
      <c r="U7" s="34">
        <v>0</v>
      </c>
    </row>
    <row r="8" spans="1:25" x14ac:dyDescent="0.3">
      <c r="A8" s="8" t="s">
        <v>51</v>
      </c>
      <c r="B8" s="7">
        <f>3143</f>
        <v>3143</v>
      </c>
      <c r="C8" s="7">
        <f>12941</f>
        <v>12941</v>
      </c>
      <c r="D8" s="8" t="s">
        <v>51</v>
      </c>
      <c r="E8" s="7">
        <f>16501</f>
        <v>16501</v>
      </c>
      <c r="F8" s="9">
        <f>-62</f>
        <v>-62</v>
      </c>
      <c r="K8" s="33" t="s">
        <v>48</v>
      </c>
      <c r="L8" s="7">
        <f t="shared" si="0"/>
        <v>6743</v>
      </c>
      <c r="M8" s="7">
        <f>23482</f>
        <v>23482</v>
      </c>
      <c r="N8" s="7">
        <f>30786</f>
        <v>30786</v>
      </c>
      <c r="O8" s="34">
        <f t="shared" si="1"/>
        <v>2698</v>
      </c>
      <c r="P8" s="51">
        <f t="shared" ref="P8:P24" si="3">$N$29*N8+$O$29*O8</f>
        <v>7.7639209417767265</v>
      </c>
      <c r="Q8" s="34">
        <v>1</v>
      </c>
      <c r="S8" s="53">
        <f t="shared" si="2"/>
        <v>-0.27173386727301807</v>
      </c>
      <c r="T8" s="8" t="s">
        <v>108</v>
      </c>
      <c r="U8" s="34">
        <v>0</v>
      </c>
    </row>
    <row r="9" spans="1:25" x14ac:dyDescent="0.3">
      <c r="A9" s="8" t="s">
        <v>52</v>
      </c>
      <c r="B9" s="7">
        <f>3768</f>
        <v>3768</v>
      </c>
      <c r="C9" s="7">
        <f>16414</f>
        <v>16414</v>
      </c>
      <c r="D9" s="8" t="s">
        <v>52</v>
      </c>
      <c r="E9" s="7">
        <f>20062</f>
        <v>20062</v>
      </c>
      <c r="F9" s="9">
        <f>-212</f>
        <v>-212</v>
      </c>
      <c r="K9" s="33" t="s">
        <v>49</v>
      </c>
      <c r="L9" s="7">
        <f t="shared" si="0"/>
        <v>7306</v>
      </c>
      <c r="M9" s="7">
        <f>43992</f>
        <v>43992</v>
      </c>
      <c r="N9" s="7">
        <f>51560</f>
        <v>51560</v>
      </c>
      <c r="O9" s="34">
        <f t="shared" si="1"/>
        <v>2043</v>
      </c>
      <c r="P9" s="51">
        <f t="shared" si="3"/>
        <v>12.860353812887391</v>
      </c>
      <c r="Q9" s="34">
        <v>0.97333164410744577</v>
      </c>
      <c r="S9" s="53">
        <f t="shared" si="2"/>
        <v>-0.95365896699567365</v>
      </c>
      <c r="T9" s="8" t="s">
        <v>108</v>
      </c>
      <c r="U9" s="34">
        <v>0</v>
      </c>
    </row>
    <row r="10" spans="1:25" x14ac:dyDescent="0.3">
      <c r="A10" s="8" t="s">
        <v>53</v>
      </c>
      <c r="B10" s="7">
        <f>2374</f>
        <v>2374</v>
      </c>
      <c r="C10" s="7">
        <f>9648</f>
        <v>9648</v>
      </c>
      <c r="D10" s="8" t="s">
        <v>53</v>
      </c>
      <c r="E10" s="7">
        <f>10518</f>
        <v>10518</v>
      </c>
      <c r="F10" s="9">
        <f>-1744</f>
        <v>-1744</v>
      </c>
      <c r="K10" s="33" t="s">
        <v>50</v>
      </c>
      <c r="L10" s="7">
        <f t="shared" si="0"/>
        <v>5843</v>
      </c>
      <c r="M10" s="7">
        <f>23150</f>
        <v>23150</v>
      </c>
      <c r="N10" s="7">
        <f>27773</f>
        <v>27773</v>
      </c>
      <c r="O10" s="34">
        <f t="shared" si="1"/>
        <v>1082</v>
      </c>
      <c r="P10" s="51">
        <f t="shared" si="3"/>
        <v>6.9262173175849675</v>
      </c>
      <c r="Q10" s="34">
        <v>0.93523338609372508</v>
      </c>
      <c r="S10" s="53">
        <f t="shared" si="2"/>
        <v>-0.808463702777237</v>
      </c>
      <c r="T10" s="8" t="s">
        <v>108</v>
      </c>
      <c r="U10" s="34">
        <v>0</v>
      </c>
    </row>
    <row r="11" spans="1:25" x14ac:dyDescent="0.3">
      <c r="A11" s="8" t="s">
        <v>54</v>
      </c>
      <c r="B11" s="7">
        <f>3724</f>
        <v>3724</v>
      </c>
      <c r="C11" s="7">
        <f>17447</f>
        <v>17447</v>
      </c>
      <c r="D11" s="8" t="s">
        <v>54</v>
      </c>
      <c r="E11" s="7">
        <f>19528</f>
        <v>19528</v>
      </c>
      <c r="F11" s="9">
        <f>-220</f>
        <v>-220</v>
      </c>
      <c r="K11" s="33" t="s">
        <v>51</v>
      </c>
      <c r="L11" s="7">
        <f t="shared" si="0"/>
        <v>3144</v>
      </c>
      <c r="M11" s="7">
        <f>12941</f>
        <v>12941</v>
      </c>
      <c r="N11" s="7">
        <f>16501</f>
        <v>16501</v>
      </c>
      <c r="O11" s="34">
        <f t="shared" si="1"/>
        <v>1683</v>
      </c>
      <c r="P11" s="51">
        <f t="shared" si="3"/>
        <v>4.1750293069174047</v>
      </c>
      <c r="Q11" s="34">
        <v>1</v>
      </c>
      <c r="S11" s="53">
        <f t="shared" si="2"/>
        <v>-0.12023644957864654</v>
      </c>
      <c r="T11" s="8" t="s">
        <v>108</v>
      </c>
      <c r="U11" s="34">
        <v>0</v>
      </c>
    </row>
    <row r="12" spans="1:25" x14ac:dyDescent="0.3">
      <c r="A12" s="8" t="s">
        <v>55</v>
      </c>
      <c r="B12" s="7">
        <f>1317</f>
        <v>1317</v>
      </c>
      <c r="C12" s="7">
        <f>23289</f>
        <v>23289</v>
      </c>
      <c r="D12" s="8" t="s">
        <v>55</v>
      </c>
      <c r="E12" s="7">
        <f>25690</f>
        <v>25690</v>
      </c>
      <c r="F12" s="7">
        <f>694</f>
        <v>694</v>
      </c>
      <c r="K12" s="33" t="s">
        <v>52</v>
      </c>
      <c r="L12" s="7">
        <f t="shared" si="0"/>
        <v>3769</v>
      </c>
      <c r="M12" s="7">
        <f>16414</f>
        <v>16414</v>
      </c>
      <c r="N12" s="7">
        <f>20062</f>
        <v>20062</v>
      </c>
      <c r="O12" s="34">
        <f t="shared" si="1"/>
        <v>1533</v>
      </c>
      <c r="P12" s="51">
        <f t="shared" si="3"/>
        <v>5.0464680956025667</v>
      </c>
      <c r="Q12" s="34">
        <v>0.96789308537147534</v>
      </c>
      <c r="S12" s="53">
        <f t="shared" si="2"/>
        <v>-0.35058869010379468</v>
      </c>
      <c r="T12" s="8" t="s">
        <v>108</v>
      </c>
      <c r="U12" s="34">
        <v>0</v>
      </c>
    </row>
    <row r="13" spans="1:25" x14ac:dyDescent="0.3">
      <c r="A13" s="8" t="s">
        <v>56</v>
      </c>
      <c r="B13" s="7">
        <f>3075</f>
        <v>3075</v>
      </c>
      <c r="C13" s="7">
        <f>13582</f>
        <v>13582</v>
      </c>
      <c r="D13" s="8" t="s">
        <v>56</v>
      </c>
      <c r="E13" s="7">
        <f>16416</f>
        <v>16416</v>
      </c>
      <c r="F13" s="7">
        <f>26</f>
        <v>26</v>
      </c>
      <c r="K13" s="33" t="s">
        <v>53</v>
      </c>
      <c r="L13" s="7">
        <f t="shared" si="0"/>
        <v>2375</v>
      </c>
      <c r="M13" s="7">
        <f>9648</f>
        <v>9648</v>
      </c>
      <c r="N13" s="7">
        <f>10518</f>
        <v>10518</v>
      </c>
      <c r="O13" s="34">
        <f t="shared" si="1"/>
        <v>1</v>
      </c>
      <c r="P13" s="51">
        <f t="shared" si="3"/>
        <v>2.5995096457048423</v>
      </c>
      <c r="Q13" s="34">
        <v>0.85322480949694735</v>
      </c>
      <c r="S13" s="53">
        <f t="shared" si="2"/>
        <v>-0.6099970251149629</v>
      </c>
      <c r="T13" s="8" t="s">
        <v>108</v>
      </c>
      <c r="U13" s="34">
        <v>0</v>
      </c>
    </row>
    <row r="14" spans="1:25" x14ac:dyDescent="0.3">
      <c r="A14" s="8" t="s">
        <v>57</v>
      </c>
      <c r="B14" s="9">
        <f>0</f>
        <v>0</v>
      </c>
      <c r="C14" s="7">
        <f>1831</f>
        <v>1831</v>
      </c>
      <c r="D14" s="8" t="s">
        <v>57</v>
      </c>
      <c r="E14" s="7">
        <f>1672</f>
        <v>1672</v>
      </c>
      <c r="F14" s="9">
        <f>-162</f>
        <v>-162</v>
      </c>
      <c r="K14" s="33" t="s">
        <v>54</v>
      </c>
      <c r="L14" s="7">
        <f t="shared" si="0"/>
        <v>3725</v>
      </c>
      <c r="M14" s="7">
        <f>17447</f>
        <v>17447</v>
      </c>
      <c r="N14" s="7">
        <f>19528</f>
        <v>19528</v>
      </c>
      <c r="O14" s="34">
        <f t="shared" si="1"/>
        <v>1525</v>
      </c>
      <c r="P14" s="51">
        <f t="shared" si="3"/>
        <v>4.9140329338640356</v>
      </c>
      <c r="Q14" s="34">
        <v>0.89691426053695178</v>
      </c>
      <c r="S14" s="53">
        <f t="shared" si="2"/>
        <v>-0.75720707242118124</v>
      </c>
      <c r="T14" s="8" t="s">
        <v>108</v>
      </c>
      <c r="U14" s="34">
        <v>0</v>
      </c>
    </row>
    <row r="15" spans="1:25" x14ac:dyDescent="0.3">
      <c r="A15" s="8" t="s">
        <v>58</v>
      </c>
      <c r="B15" s="7">
        <f>1207</f>
        <v>1207</v>
      </c>
      <c r="C15" s="7">
        <f>7133</f>
        <v>7133</v>
      </c>
      <c r="D15" s="8" t="s">
        <v>58</v>
      </c>
      <c r="E15" s="7">
        <f>7738</f>
        <v>7738</v>
      </c>
      <c r="F15" s="9">
        <f>-602</f>
        <v>-602</v>
      </c>
      <c r="K15" s="33" t="s">
        <v>55</v>
      </c>
      <c r="L15" s="7">
        <f t="shared" si="0"/>
        <v>1318</v>
      </c>
      <c r="M15" s="7">
        <f>23289</f>
        <v>23289</v>
      </c>
      <c r="N15" s="7">
        <f>25690</f>
        <v>25690</v>
      </c>
      <c r="O15" s="34">
        <f t="shared" si="1"/>
        <v>2439</v>
      </c>
      <c r="P15" s="51">
        <f t="shared" si="3"/>
        <v>6.4895641224371605</v>
      </c>
      <c r="Q15" s="34">
        <v>1</v>
      </c>
      <c r="S15" s="53">
        <f t="shared" si="2"/>
        <v>-0.22976727053097257</v>
      </c>
      <c r="T15" s="8" t="s">
        <v>108</v>
      </c>
      <c r="U15" s="34">
        <v>0</v>
      </c>
    </row>
    <row r="16" spans="1:25" x14ac:dyDescent="0.3">
      <c r="A16" s="8" t="s">
        <v>59</v>
      </c>
      <c r="B16" s="7">
        <f>2359</f>
        <v>2359</v>
      </c>
      <c r="C16" s="7">
        <f>10395</f>
        <v>10395</v>
      </c>
      <c r="D16" s="8" t="s">
        <v>59</v>
      </c>
      <c r="E16" s="7">
        <f>13031</f>
        <v>13031</v>
      </c>
      <c r="F16" s="7">
        <f>196</f>
        <v>196</v>
      </c>
      <c r="K16" s="33" t="s">
        <v>56</v>
      </c>
      <c r="L16" s="7">
        <f t="shared" si="0"/>
        <v>3076</v>
      </c>
      <c r="M16" s="7">
        <f>13582</f>
        <v>13582</v>
      </c>
      <c r="N16" s="7">
        <f>16416</f>
        <v>16416</v>
      </c>
      <c r="O16" s="34">
        <f t="shared" si="1"/>
        <v>1771</v>
      </c>
      <c r="P16" s="51">
        <f t="shared" si="3"/>
        <v>4.1590898248136225</v>
      </c>
      <c r="Q16" s="34">
        <v>0.95944608677813314</v>
      </c>
      <c r="S16" s="53">
        <f t="shared" si="2"/>
        <v>-0.2968367777869898</v>
      </c>
      <c r="T16" s="8" t="s">
        <v>108</v>
      </c>
      <c r="U16" s="34">
        <v>0</v>
      </c>
    </row>
    <row r="17" spans="1:21" x14ac:dyDescent="0.3">
      <c r="A17" s="8" t="s">
        <v>60</v>
      </c>
      <c r="B17" s="7">
        <f>265</f>
        <v>265</v>
      </c>
      <c r="C17" s="7">
        <f>6974</f>
        <v>6974</v>
      </c>
      <c r="D17" s="8" t="s">
        <v>60</v>
      </c>
      <c r="E17" s="7">
        <f>7326</f>
        <v>7326</v>
      </c>
      <c r="F17" s="7">
        <f>31</f>
        <v>31</v>
      </c>
      <c r="K17" s="33" t="s">
        <v>57</v>
      </c>
      <c r="L17" s="7">
        <f t="shared" si="0"/>
        <v>1</v>
      </c>
      <c r="M17" s="7">
        <f>1831</f>
        <v>1831</v>
      </c>
      <c r="N17" s="7">
        <f>1672</f>
        <v>1672</v>
      </c>
      <c r="O17" s="34">
        <f t="shared" si="1"/>
        <v>1583</v>
      </c>
      <c r="P17" s="51">
        <f t="shared" si="3"/>
        <v>0.50438422484846157</v>
      </c>
      <c r="Q17" s="34">
        <v>1</v>
      </c>
      <c r="S17" s="53">
        <f t="shared" si="2"/>
        <v>0</v>
      </c>
      <c r="T17" s="8" t="s">
        <v>108</v>
      </c>
      <c r="U17" s="34">
        <v>0</v>
      </c>
    </row>
    <row r="18" spans="1:21" x14ac:dyDescent="0.3">
      <c r="A18" s="8" t="s">
        <v>61</v>
      </c>
      <c r="B18" s="7">
        <f>503</f>
        <v>503</v>
      </c>
      <c r="C18" s="7">
        <f>6620</f>
        <v>6620</v>
      </c>
      <c r="D18" s="8" t="s">
        <v>61</v>
      </c>
      <c r="E18" s="7">
        <f>7400</f>
        <v>7400</v>
      </c>
      <c r="F18" s="7">
        <f>187</f>
        <v>187</v>
      </c>
      <c r="K18" s="33" t="s">
        <v>58</v>
      </c>
      <c r="L18" s="7">
        <f t="shared" si="0"/>
        <v>1208</v>
      </c>
      <c r="M18" s="7">
        <f>7133</f>
        <v>7133</v>
      </c>
      <c r="N18" s="7">
        <f>7738</f>
        <v>7738</v>
      </c>
      <c r="O18" s="34">
        <f t="shared" si="1"/>
        <v>1143</v>
      </c>
      <c r="P18" s="51">
        <f t="shared" si="3"/>
        <v>1.9782163626009666</v>
      </c>
      <c r="Q18" s="34">
        <v>0.89942114179359411</v>
      </c>
      <c r="S18" s="53">
        <f t="shared" si="2"/>
        <v>-0.26707519143813441</v>
      </c>
      <c r="T18" s="8" t="s">
        <v>108</v>
      </c>
      <c r="U18" s="34">
        <v>0</v>
      </c>
    </row>
    <row r="19" spans="1:21" x14ac:dyDescent="0.3">
      <c r="A19" s="8" t="s">
        <v>62</v>
      </c>
      <c r="B19" s="9">
        <f>0</f>
        <v>0</v>
      </c>
      <c r="C19" s="7">
        <f>5218</f>
        <v>5218</v>
      </c>
      <c r="D19" s="8" t="s">
        <v>62</v>
      </c>
      <c r="E19" s="7">
        <f>5325</f>
        <v>5325</v>
      </c>
      <c r="F19" s="7">
        <f>96</f>
        <v>96</v>
      </c>
      <c r="K19" s="33" t="s">
        <v>59</v>
      </c>
      <c r="L19" s="7">
        <f t="shared" si="0"/>
        <v>2360</v>
      </c>
      <c r="M19" s="7">
        <f>10395</f>
        <v>10395</v>
      </c>
      <c r="N19" s="7">
        <f>13031</f>
        <v>13031</v>
      </c>
      <c r="O19" s="34">
        <f t="shared" si="1"/>
        <v>1941</v>
      </c>
      <c r="P19" s="51">
        <f t="shared" si="3"/>
        <v>3.3322999848173258</v>
      </c>
      <c r="Q19" s="34">
        <v>1</v>
      </c>
      <c r="S19" s="53">
        <f t="shared" si="2"/>
        <v>-7.9394562484004449E-2</v>
      </c>
      <c r="T19" s="8" t="s">
        <v>108</v>
      </c>
      <c r="U19" s="34">
        <v>0</v>
      </c>
    </row>
    <row r="20" spans="1:21" x14ac:dyDescent="0.3">
      <c r="A20" s="8" t="s">
        <v>65</v>
      </c>
      <c r="B20" s="7">
        <f>794</f>
        <v>794</v>
      </c>
      <c r="C20" s="7">
        <f>2171</f>
        <v>2171</v>
      </c>
      <c r="D20" s="8" t="s">
        <v>65</v>
      </c>
      <c r="E20" s="7">
        <f>276</f>
        <v>276</v>
      </c>
      <c r="F20" s="9">
        <f>-17</f>
        <v>-17</v>
      </c>
      <c r="K20" s="33" t="s">
        <v>60</v>
      </c>
      <c r="L20" s="7">
        <f t="shared" si="0"/>
        <v>266</v>
      </c>
      <c r="M20" s="7">
        <f>6974</f>
        <v>6974</v>
      </c>
      <c r="N20" s="7">
        <f>7326</f>
        <v>7326</v>
      </c>
      <c r="O20" s="34">
        <f t="shared" si="1"/>
        <v>1776</v>
      </c>
      <c r="P20" s="51">
        <f t="shared" si="3"/>
        <v>1.9128461767612908</v>
      </c>
      <c r="Q20" s="34">
        <v>0.97963465531842353</v>
      </c>
      <c r="S20" s="53">
        <f t="shared" si="2"/>
        <v>-6.9326294846461467E-2</v>
      </c>
      <c r="T20" s="8" t="s">
        <v>108</v>
      </c>
      <c r="U20" s="34">
        <v>0</v>
      </c>
    </row>
    <row r="21" spans="1:21" x14ac:dyDescent="0.3">
      <c r="A21" s="8" t="s">
        <v>66</v>
      </c>
      <c r="B21" s="9">
        <f>0</f>
        <v>0</v>
      </c>
      <c r="C21" s="7">
        <f>3631</f>
        <v>3631</v>
      </c>
      <c r="D21" s="8" t="s">
        <v>66</v>
      </c>
      <c r="E21" s="7">
        <f>3638</f>
        <v>3638</v>
      </c>
      <c r="F21" s="7">
        <f>7</f>
        <v>7</v>
      </c>
      <c r="K21" s="33" t="s">
        <v>61</v>
      </c>
      <c r="L21" s="7">
        <f t="shared" si="0"/>
        <v>504</v>
      </c>
      <c r="M21" s="7">
        <f>6620</f>
        <v>6620</v>
      </c>
      <c r="N21" s="7">
        <f>7400</f>
        <v>7400</v>
      </c>
      <c r="O21" s="34">
        <f t="shared" si="1"/>
        <v>1932</v>
      </c>
      <c r="P21" s="51">
        <f t="shared" si="3"/>
        <v>1.9401184031022509</v>
      </c>
      <c r="Q21" s="34">
        <v>1</v>
      </c>
      <c r="S21" s="53">
        <f t="shared" si="2"/>
        <v>0</v>
      </c>
      <c r="T21" s="8" t="s">
        <v>108</v>
      </c>
      <c r="U21" s="34">
        <v>0</v>
      </c>
    </row>
    <row r="22" spans="1:21" x14ac:dyDescent="0.3">
      <c r="K22" s="33" t="s">
        <v>62</v>
      </c>
      <c r="L22" s="7">
        <f t="shared" si="0"/>
        <v>1</v>
      </c>
      <c r="M22" s="7">
        <f>5218</f>
        <v>5218</v>
      </c>
      <c r="N22" s="7">
        <f>5325</f>
        <v>5325</v>
      </c>
      <c r="O22" s="34">
        <f t="shared" si="1"/>
        <v>1841</v>
      </c>
      <c r="P22" s="51">
        <f t="shared" si="3"/>
        <v>1.422055835576767</v>
      </c>
      <c r="Q22" s="34">
        <v>1</v>
      </c>
      <c r="S22" s="53">
        <f t="shared" si="2"/>
        <v>-1.4912072848506597E-2</v>
      </c>
      <c r="T22" s="8" t="s">
        <v>108</v>
      </c>
      <c r="U22" s="34">
        <v>0</v>
      </c>
    </row>
    <row r="23" spans="1:21" x14ac:dyDescent="0.3">
      <c r="K23" s="33" t="s">
        <v>65</v>
      </c>
      <c r="L23" s="7">
        <f t="shared" si="0"/>
        <v>795</v>
      </c>
      <c r="M23" s="7">
        <f>2171</f>
        <v>2171</v>
      </c>
      <c r="N23" s="7">
        <f>276</f>
        <v>276</v>
      </c>
      <c r="O23" s="34">
        <f t="shared" si="1"/>
        <v>1728</v>
      </c>
      <c r="P23" s="51">
        <f t="shared" si="3"/>
        <v>0.167722502742016</v>
      </c>
      <c r="Q23" s="34">
        <v>0.92064318808808354</v>
      </c>
      <c r="S23" s="53">
        <f t="shared" si="2"/>
        <v>-0.61515671144746775</v>
      </c>
      <c r="T23" s="8" t="s">
        <v>108</v>
      </c>
      <c r="U23" s="34">
        <v>0</v>
      </c>
    </row>
    <row r="24" spans="1:21" ht="15" thickBot="1" x14ac:dyDescent="0.35">
      <c r="K24" s="36" t="s">
        <v>66</v>
      </c>
      <c r="L24" s="37">
        <f t="shared" si="0"/>
        <v>1</v>
      </c>
      <c r="M24" s="37">
        <f>3631</f>
        <v>3631</v>
      </c>
      <c r="N24" s="37">
        <f>3638</f>
        <v>3638</v>
      </c>
      <c r="O24" s="39">
        <f t="shared" si="1"/>
        <v>1752</v>
      </c>
      <c r="P24" s="52">
        <f t="shared" si="3"/>
        <v>1</v>
      </c>
      <c r="Q24" s="39">
        <v>1</v>
      </c>
      <c r="S24" s="54">
        <f t="shared" si="2"/>
        <v>0</v>
      </c>
      <c r="T24" s="26" t="s">
        <v>108</v>
      </c>
      <c r="U24" s="39">
        <v>0</v>
      </c>
    </row>
    <row r="25" spans="1:21" ht="15" thickBot="1" x14ac:dyDescent="0.35"/>
    <row r="26" spans="1:21" ht="15" thickBot="1" x14ac:dyDescent="0.35">
      <c r="S26" s="29" t="s">
        <v>216</v>
      </c>
      <c r="T26" s="201"/>
      <c r="U26" s="202"/>
    </row>
    <row r="27" spans="1:21" x14ac:dyDescent="0.3">
      <c r="L27" s="188" t="s">
        <v>215</v>
      </c>
      <c r="M27" s="189"/>
      <c r="N27" s="189"/>
      <c r="O27" s="202"/>
      <c r="S27" s="53">
        <f t="shared" ref="S27:S44" si="4">$L$29*L7+$M$29*M7</f>
        <v>5.1050764841904872</v>
      </c>
      <c r="T27" s="14" t="s">
        <v>107</v>
      </c>
      <c r="U27" s="55">
        <v>1</v>
      </c>
    </row>
    <row r="28" spans="1:21" x14ac:dyDescent="0.3">
      <c r="L28" s="33" t="s">
        <v>105</v>
      </c>
      <c r="M28" s="8" t="s">
        <v>214</v>
      </c>
      <c r="N28" s="8" t="s">
        <v>103</v>
      </c>
      <c r="O28" s="57" t="s">
        <v>104</v>
      </c>
      <c r="S28" s="53">
        <f t="shared" si="4"/>
        <v>8.0356548090497455</v>
      </c>
      <c r="T28" s="14" t="s">
        <v>107</v>
      </c>
      <c r="U28" s="55">
        <v>1</v>
      </c>
    </row>
    <row r="29" spans="1:21" ht="15" thickBot="1" x14ac:dyDescent="0.35">
      <c r="L29" s="36">
        <v>2.3284468042423503E-4</v>
      </c>
      <c r="M29" s="26">
        <v>2.7534209730641036E-4</v>
      </c>
      <c r="N29" s="26">
        <v>2.471431886604498E-4</v>
      </c>
      <c r="O29" s="58">
        <v>5.7587374231326289E-5</v>
      </c>
      <c r="S29" s="53">
        <f t="shared" si="4"/>
        <v>13.814012779883065</v>
      </c>
      <c r="T29" s="14" t="s">
        <v>107</v>
      </c>
      <c r="U29" s="55">
        <v>1</v>
      </c>
    </row>
    <row r="30" spans="1:21" x14ac:dyDescent="0.3">
      <c r="S30" s="53">
        <f t="shared" si="4"/>
        <v>7.7346810203622045</v>
      </c>
      <c r="T30" s="14" t="s">
        <v>107</v>
      </c>
      <c r="U30" s="55">
        <v>1</v>
      </c>
    </row>
    <row r="31" spans="1:21" x14ac:dyDescent="0.3">
      <c r="S31" s="53">
        <f t="shared" si="4"/>
        <v>4.2952657564960512</v>
      </c>
      <c r="T31" s="14" t="s">
        <v>107</v>
      </c>
      <c r="U31" s="55">
        <v>1</v>
      </c>
    </row>
    <row r="32" spans="1:21" x14ac:dyDescent="0.3">
      <c r="S32" s="53">
        <f t="shared" si="4"/>
        <v>5.3970567857063614</v>
      </c>
      <c r="T32" s="14" t="s">
        <v>107</v>
      </c>
      <c r="U32" s="55">
        <v>1</v>
      </c>
    </row>
    <row r="33" spans="19:21" x14ac:dyDescent="0.3">
      <c r="S33" s="53">
        <f t="shared" si="4"/>
        <v>3.2095066708198052</v>
      </c>
      <c r="T33" s="14" t="s">
        <v>107</v>
      </c>
      <c r="U33" s="55">
        <v>1</v>
      </c>
    </row>
    <row r="34" spans="19:21" x14ac:dyDescent="0.3">
      <c r="S34" s="53">
        <f t="shared" si="4"/>
        <v>5.6712400062852169</v>
      </c>
      <c r="T34" s="14" t="s">
        <v>107</v>
      </c>
      <c r="U34" s="55">
        <v>1</v>
      </c>
    </row>
    <row r="35" spans="19:21" x14ac:dyDescent="0.3">
      <c r="S35" s="53">
        <f t="shared" si="4"/>
        <v>6.7193313929681331</v>
      </c>
      <c r="T35" s="14" t="s">
        <v>107</v>
      </c>
      <c r="U35" s="55">
        <v>1</v>
      </c>
    </row>
    <row r="36" spans="19:21" x14ac:dyDescent="0.3">
      <c r="S36" s="53">
        <f t="shared" si="4"/>
        <v>4.4559266026006128</v>
      </c>
      <c r="T36" s="14" t="s">
        <v>107</v>
      </c>
      <c r="U36" s="55">
        <v>1</v>
      </c>
    </row>
    <row r="37" spans="19:21" x14ac:dyDescent="0.3">
      <c r="S37" s="53">
        <f t="shared" si="4"/>
        <v>0.50438422484846168</v>
      </c>
      <c r="T37" s="14" t="s">
        <v>107</v>
      </c>
      <c r="U37" s="55">
        <v>1</v>
      </c>
    </row>
    <row r="38" spans="19:21" x14ac:dyDescent="0.3">
      <c r="S38" s="53">
        <f t="shared" si="4"/>
        <v>2.2452915540391007</v>
      </c>
      <c r="T38" s="14" t="s">
        <v>107</v>
      </c>
      <c r="U38" s="55">
        <v>1</v>
      </c>
    </row>
    <row r="39" spans="19:21" x14ac:dyDescent="0.3">
      <c r="S39" s="53">
        <f t="shared" si="4"/>
        <v>3.4116945473013303</v>
      </c>
      <c r="T39" s="14" t="s">
        <v>107</v>
      </c>
      <c r="U39" s="55">
        <v>1</v>
      </c>
    </row>
    <row r="40" spans="19:21" x14ac:dyDescent="0.3">
      <c r="S40" s="53">
        <f t="shared" si="4"/>
        <v>1.9821724716077522</v>
      </c>
      <c r="T40" s="14" t="s">
        <v>107</v>
      </c>
      <c r="U40" s="55">
        <v>1</v>
      </c>
    </row>
    <row r="41" spans="19:21" x14ac:dyDescent="0.3">
      <c r="S41" s="53">
        <f t="shared" si="4"/>
        <v>1.9401184031022511</v>
      </c>
      <c r="T41" s="14" t="s">
        <v>107</v>
      </c>
      <c r="U41" s="55">
        <v>1</v>
      </c>
    </row>
    <row r="42" spans="19:21" x14ac:dyDescent="0.3">
      <c r="S42" s="53">
        <f t="shared" si="4"/>
        <v>1.4369679084252736</v>
      </c>
      <c r="T42" s="14" t="s">
        <v>107</v>
      </c>
      <c r="U42" s="55">
        <v>1</v>
      </c>
    </row>
    <row r="43" spans="19:21" x14ac:dyDescent="0.3">
      <c r="S43" s="53">
        <f t="shared" si="4"/>
        <v>0.78287921418948381</v>
      </c>
      <c r="T43" s="14" t="s">
        <v>107</v>
      </c>
      <c r="U43" s="55">
        <v>1</v>
      </c>
    </row>
    <row r="44" spans="19:21" ht="15" thickBot="1" x14ac:dyDescent="0.35">
      <c r="S44" s="54">
        <f t="shared" si="4"/>
        <v>1.0000000000000002</v>
      </c>
      <c r="T44" s="49" t="s">
        <v>107</v>
      </c>
      <c r="U44" s="56">
        <v>1</v>
      </c>
    </row>
    <row r="49" spans="12:19" ht="15" thickBot="1" x14ac:dyDescent="0.35"/>
    <row r="50" spans="12:19" x14ac:dyDescent="0.3">
      <c r="L50" s="188"/>
      <c r="M50" s="189"/>
      <c r="N50" s="190"/>
      <c r="O50" s="186" t="s">
        <v>94</v>
      </c>
      <c r="P50" s="186"/>
      <c r="Q50" s="30"/>
      <c r="R50" s="186" t="s">
        <v>95</v>
      </c>
      <c r="S50" s="187"/>
    </row>
    <row r="51" spans="12:19" x14ac:dyDescent="0.3">
      <c r="L51" s="31" t="s">
        <v>42</v>
      </c>
      <c r="M51" s="6" t="s">
        <v>64</v>
      </c>
      <c r="N51" s="6" t="s">
        <v>63</v>
      </c>
      <c r="O51" s="6" t="s">
        <v>67</v>
      </c>
      <c r="P51" s="6" t="s">
        <v>68</v>
      </c>
      <c r="Q51" s="6" t="s">
        <v>42</v>
      </c>
      <c r="R51" s="6" t="s">
        <v>69</v>
      </c>
      <c r="S51" s="32" t="s">
        <v>70</v>
      </c>
    </row>
    <row r="52" spans="12:19" x14ac:dyDescent="0.3">
      <c r="L52" s="33" t="s">
        <v>47</v>
      </c>
      <c r="M52" s="7" t="s">
        <v>3</v>
      </c>
      <c r="N52" s="7" t="s">
        <v>71</v>
      </c>
      <c r="O52" s="7">
        <f>1691</f>
        <v>1691</v>
      </c>
      <c r="P52" s="7">
        <f>17110</f>
        <v>17110</v>
      </c>
      <c r="Q52" s="8" t="s">
        <v>47</v>
      </c>
      <c r="R52" s="7">
        <f>18955</f>
        <v>18955</v>
      </c>
      <c r="S52" s="34">
        <f>45</f>
        <v>45</v>
      </c>
    </row>
    <row r="53" spans="12:19" x14ac:dyDescent="0.3">
      <c r="L53" s="33" t="s">
        <v>48</v>
      </c>
      <c r="M53" s="7" t="s">
        <v>4</v>
      </c>
      <c r="N53" s="7" t="s">
        <v>72</v>
      </c>
      <c r="O53" s="7">
        <f>6742</f>
        <v>6742</v>
      </c>
      <c r="P53" s="7">
        <f>23482</f>
        <v>23482</v>
      </c>
      <c r="Q53" s="8" t="s">
        <v>48</v>
      </c>
      <c r="R53" s="7">
        <f>30786</f>
        <v>30786</v>
      </c>
      <c r="S53" s="34">
        <f>953</f>
        <v>953</v>
      </c>
    </row>
    <row r="54" spans="12:19" x14ac:dyDescent="0.3">
      <c r="L54" s="33" t="s">
        <v>49</v>
      </c>
      <c r="M54" s="7" t="s">
        <v>5</v>
      </c>
      <c r="N54" s="7" t="s">
        <v>73</v>
      </c>
      <c r="O54" s="7">
        <f>7305</f>
        <v>7305</v>
      </c>
      <c r="P54" s="7">
        <f>43992</f>
        <v>43992</v>
      </c>
      <c r="Q54" s="8" t="s">
        <v>49</v>
      </c>
      <c r="R54" s="7">
        <f>51560</f>
        <v>51560</v>
      </c>
      <c r="S54" s="34">
        <f>298</f>
        <v>298</v>
      </c>
    </row>
    <row r="55" spans="12:19" x14ac:dyDescent="0.3">
      <c r="L55" s="33" t="s">
        <v>50</v>
      </c>
      <c r="M55" s="7" t="s">
        <v>6</v>
      </c>
      <c r="N55" s="7" t="s">
        <v>15</v>
      </c>
      <c r="O55" s="7">
        <f>5842</f>
        <v>5842</v>
      </c>
      <c r="P55" s="7">
        <f>23150</f>
        <v>23150</v>
      </c>
      <c r="Q55" s="8" t="s">
        <v>50</v>
      </c>
      <c r="R55" s="7">
        <f>27773</f>
        <v>27773</v>
      </c>
      <c r="S55" s="35">
        <f>-663</f>
        <v>-663</v>
      </c>
    </row>
    <row r="56" spans="12:19" x14ac:dyDescent="0.3">
      <c r="L56" s="33" t="s">
        <v>51</v>
      </c>
      <c r="M56" s="7" t="s">
        <v>7</v>
      </c>
      <c r="N56" s="7" t="s">
        <v>74</v>
      </c>
      <c r="O56" s="7">
        <f>3143</f>
        <v>3143</v>
      </c>
      <c r="P56" s="7">
        <f>12941</f>
        <v>12941</v>
      </c>
      <c r="Q56" s="8" t="s">
        <v>51</v>
      </c>
      <c r="R56" s="7">
        <f>16501</f>
        <v>16501</v>
      </c>
      <c r="S56" s="35">
        <f>-62</f>
        <v>-62</v>
      </c>
    </row>
    <row r="57" spans="12:19" x14ac:dyDescent="0.3">
      <c r="L57" s="33" t="s">
        <v>52</v>
      </c>
      <c r="M57" s="7" t="s">
        <v>8</v>
      </c>
      <c r="N57" s="7" t="s">
        <v>75</v>
      </c>
      <c r="O57" s="7">
        <f>3768</f>
        <v>3768</v>
      </c>
      <c r="P57" s="7">
        <f>16414</f>
        <v>16414</v>
      </c>
      <c r="Q57" s="8" t="s">
        <v>52</v>
      </c>
      <c r="R57" s="7">
        <f>20062</f>
        <v>20062</v>
      </c>
      <c r="S57" s="35">
        <f>-212</f>
        <v>-212</v>
      </c>
    </row>
    <row r="58" spans="12:19" x14ac:dyDescent="0.3">
      <c r="L58" s="33" t="s">
        <v>53</v>
      </c>
      <c r="M58" s="7" t="s">
        <v>9</v>
      </c>
      <c r="N58" s="7" t="s">
        <v>76</v>
      </c>
      <c r="O58" s="7">
        <f>2374</f>
        <v>2374</v>
      </c>
      <c r="P58" s="7">
        <f>9648</f>
        <v>9648</v>
      </c>
      <c r="Q58" s="8" t="s">
        <v>53</v>
      </c>
      <c r="R58" s="7">
        <f>10518</f>
        <v>10518</v>
      </c>
      <c r="S58" s="35">
        <f>-1744</f>
        <v>-1744</v>
      </c>
    </row>
    <row r="59" spans="12:19" x14ac:dyDescent="0.3">
      <c r="L59" s="33" t="s">
        <v>54</v>
      </c>
      <c r="M59" s="7" t="s">
        <v>10</v>
      </c>
      <c r="N59" s="7" t="s">
        <v>77</v>
      </c>
      <c r="O59" s="7">
        <f>3724</f>
        <v>3724</v>
      </c>
      <c r="P59" s="7">
        <f>17447</f>
        <v>17447</v>
      </c>
      <c r="Q59" s="8" t="s">
        <v>54</v>
      </c>
      <c r="R59" s="7">
        <f>19528</f>
        <v>19528</v>
      </c>
      <c r="S59" s="35">
        <f>-220</f>
        <v>-220</v>
      </c>
    </row>
    <row r="60" spans="12:19" x14ac:dyDescent="0.3">
      <c r="L60" s="33" t="s">
        <v>55</v>
      </c>
      <c r="M60" s="7" t="s">
        <v>11</v>
      </c>
      <c r="N60" s="7" t="s">
        <v>78</v>
      </c>
      <c r="O60" s="7">
        <f>1317</f>
        <v>1317</v>
      </c>
      <c r="P60" s="7">
        <f>23289</f>
        <v>23289</v>
      </c>
      <c r="Q60" s="8" t="s">
        <v>55</v>
      </c>
      <c r="R60" s="7">
        <f>25690</f>
        <v>25690</v>
      </c>
      <c r="S60" s="34">
        <f>694</f>
        <v>694</v>
      </c>
    </row>
    <row r="61" spans="12:19" x14ac:dyDescent="0.3">
      <c r="L61" s="33" t="s">
        <v>56</v>
      </c>
      <c r="M61" s="7" t="s">
        <v>12</v>
      </c>
      <c r="N61" s="7" t="s">
        <v>16</v>
      </c>
      <c r="O61" s="7">
        <f>3075</f>
        <v>3075</v>
      </c>
      <c r="P61" s="7">
        <f>13582</f>
        <v>13582</v>
      </c>
      <c r="Q61" s="8" t="s">
        <v>56</v>
      </c>
      <c r="R61" s="7">
        <f>16416</f>
        <v>16416</v>
      </c>
      <c r="S61" s="34">
        <f>26</f>
        <v>26</v>
      </c>
    </row>
    <row r="62" spans="12:19" x14ac:dyDescent="0.3">
      <c r="L62" s="33" t="s">
        <v>57</v>
      </c>
      <c r="M62" s="7" t="s">
        <v>13</v>
      </c>
      <c r="N62" s="7" t="s">
        <v>79</v>
      </c>
      <c r="O62" s="9">
        <f>0</f>
        <v>0</v>
      </c>
      <c r="P62" s="7">
        <f>1831</f>
        <v>1831</v>
      </c>
      <c r="Q62" s="8" t="s">
        <v>57</v>
      </c>
      <c r="R62" s="7">
        <f>1672</f>
        <v>1672</v>
      </c>
      <c r="S62" s="35">
        <f>-162</f>
        <v>-162</v>
      </c>
    </row>
    <row r="63" spans="12:19" x14ac:dyDescent="0.3">
      <c r="L63" s="33" t="s">
        <v>58</v>
      </c>
      <c r="M63" s="7" t="s">
        <v>14</v>
      </c>
      <c r="N63" s="7" t="s">
        <v>80</v>
      </c>
      <c r="O63" s="7">
        <f>1207</f>
        <v>1207</v>
      </c>
      <c r="P63" s="7">
        <f>7133</f>
        <v>7133</v>
      </c>
      <c r="Q63" s="8" t="s">
        <v>58</v>
      </c>
      <c r="R63" s="7">
        <f>7738</f>
        <v>7738</v>
      </c>
      <c r="S63" s="35">
        <f>-602</f>
        <v>-602</v>
      </c>
    </row>
    <row r="64" spans="12:19" x14ac:dyDescent="0.3">
      <c r="L64" s="33" t="s">
        <v>59</v>
      </c>
      <c r="M64" s="7" t="s">
        <v>17</v>
      </c>
      <c r="N64" s="7" t="s">
        <v>18</v>
      </c>
      <c r="O64" s="7">
        <f>2359</f>
        <v>2359</v>
      </c>
      <c r="P64" s="7">
        <f>10395</f>
        <v>10395</v>
      </c>
      <c r="Q64" s="8" t="s">
        <v>59</v>
      </c>
      <c r="R64" s="7">
        <f>13031</f>
        <v>13031</v>
      </c>
      <c r="S64" s="34">
        <f>196</f>
        <v>196</v>
      </c>
    </row>
    <row r="65" spans="12:25" x14ac:dyDescent="0.3">
      <c r="L65" s="33" t="s">
        <v>60</v>
      </c>
      <c r="M65" s="7" t="s">
        <v>19</v>
      </c>
      <c r="N65" s="7" t="s">
        <v>18</v>
      </c>
      <c r="O65" s="7">
        <f>265</f>
        <v>265</v>
      </c>
      <c r="P65" s="7">
        <f>6974</f>
        <v>6974</v>
      </c>
      <c r="Q65" s="8" t="s">
        <v>60</v>
      </c>
      <c r="R65" s="7">
        <f>7326</f>
        <v>7326</v>
      </c>
      <c r="S65" s="34">
        <f>31</f>
        <v>31</v>
      </c>
    </row>
    <row r="66" spans="12:25" x14ac:dyDescent="0.3">
      <c r="L66" s="33" t="s">
        <v>61</v>
      </c>
      <c r="M66" s="7" t="s">
        <v>20</v>
      </c>
      <c r="N66" s="7" t="s">
        <v>18</v>
      </c>
      <c r="O66" s="7">
        <f>503</f>
        <v>503</v>
      </c>
      <c r="P66" s="7">
        <f>6620</f>
        <v>6620</v>
      </c>
      <c r="Q66" s="8" t="s">
        <v>61</v>
      </c>
      <c r="R66" s="7">
        <f>7400</f>
        <v>7400</v>
      </c>
      <c r="S66" s="34">
        <f>187</f>
        <v>187</v>
      </c>
    </row>
    <row r="67" spans="12:25" x14ac:dyDescent="0.3">
      <c r="L67" s="33" t="s">
        <v>62</v>
      </c>
      <c r="M67" s="7" t="s">
        <v>21</v>
      </c>
      <c r="N67" s="7" t="s">
        <v>81</v>
      </c>
      <c r="O67" s="9">
        <f>0</f>
        <v>0</v>
      </c>
      <c r="P67" s="7">
        <f>5218</f>
        <v>5218</v>
      </c>
      <c r="Q67" s="8" t="s">
        <v>62</v>
      </c>
      <c r="R67" s="7">
        <f>5325</f>
        <v>5325</v>
      </c>
      <c r="S67" s="34">
        <f>96</f>
        <v>96</v>
      </c>
    </row>
    <row r="68" spans="12:25" x14ac:dyDescent="0.3">
      <c r="L68" s="33" t="s">
        <v>65</v>
      </c>
      <c r="M68" s="7" t="s">
        <v>36</v>
      </c>
      <c r="N68" s="7" t="s">
        <v>15</v>
      </c>
      <c r="O68" s="7">
        <f>794</f>
        <v>794</v>
      </c>
      <c r="P68" s="7">
        <f>2171</f>
        <v>2171</v>
      </c>
      <c r="Q68" s="8" t="s">
        <v>65</v>
      </c>
      <c r="R68" s="7">
        <f>276</f>
        <v>276</v>
      </c>
      <c r="S68" s="35">
        <f>-17</f>
        <v>-17</v>
      </c>
    </row>
    <row r="69" spans="12:25" ht="15" thickBot="1" x14ac:dyDescent="0.35">
      <c r="L69" s="36" t="s">
        <v>66</v>
      </c>
      <c r="M69" s="37" t="s">
        <v>23</v>
      </c>
      <c r="N69" s="37" t="s">
        <v>24</v>
      </c>
      <c r="O69" s="38">
        <f>0</f>
        <v>0</v>
      </c>
      <c r="P69" s="37">
        <f>3631</f>
        <v>3631</v>
      </c>
      <c r="Q69" s="26" t="s">
        <v>66</v>
      </c>
      <c r="R69" s="37">
        <f>3638</f>
        <v>3638</v>
      </c>
      <c r="S69" s="39">
        <f>7</f>
        <v>7</v>
      </c>
    </row>
    <row r="71" spans="12:25" ht="15" thickBot="1" x14ac:dyDescent="0.35"/>
    <row r="72" spans="12:25" x14ac:dyDescent="0.3">
      <c r="Q72" s="29" t="s">
        <v>42</v>
      </c>
      <c r="R72" s="117" t="s">
        <v>67</v>
      </c>
      <c r="T72" s="29" t="s">
        <v>42</v>
      </c>
      <c r="U72" s="117" t="s">
        <v>68</v>
      </c>
      <c r="X72" s="29" t="s">
        <v>42</v>
      </c>
      <c r="Y72" s="117" t="s">
        <v>69</v>
      </c>
    </row>
    <row r="73" spans="12:25" x14ac:dyDescent="0.3">
      <c r="Q73" s="33" t="s">
        <v>47</v>
      </c>
      <c r="R73" s="34">
        <f>1691</f>
        <v>1691</v>
      </c>
      <c r="T73" s="33" t="s">
        <v>47</v>
      </c>
      <c r="U73" s="34">
        <f>17110</f>
        <v>17110</v>
      </c>
      <c r="X73" s="33" t="s">
        <v>47</v>
      </c>
      <c r="Y73" s="34">
        <f>18955</f>
        <v>18955</v>
      </c>
    </row>
    <row r="74" spans="12:25" x14ac:dyDescent="0.3">
      <c r="Q74" s="33" t="s">
        <v>48</v>
      </c>
      <c r="R74" s="34">
        <f>6742</f>
        <v>6742</v>
      </c>
      <c r="T74" s="33" t="s">
        <v>48</v>
      </c>
      <c r="U74" s="34">
        <f>23482</f>
        <v>23482</v>
      </c>
      <c r="X74" s="33" t="s">
        <v>48</v>
      </c>
      <c r="Y74" s="34">
        <f>30786</f>
        <v>30786</v>
      </c>
    </row>
    <row r="75" spans="12:25" x14ac:dyDescent="0.3">
      <c r="Q75" s="33" t="s">
        <v>49</v>
      </c>
      <c r="R75" s="34">
        <f>7305</f>
        <v>7305</v>
      </c>
      <c r="T75" s="33" t="s">
        <v>49</v>
      </c>
      <c r="U75" s="34">
        <f>43992</f>
        <v>43992</v>
      </c>
      <c r="X75" s="33" t="s">
        <v>49</v>
      </c>
      <c r="Y75" s="34">
        <f>51560</f>
        <v>51560</v>
      </c>
    </row>
    <row r="76" spans="12:25" x14ac:dyDescent="0.3">
      <c r="Q76" s="33" t="s">
        <v>50</v>
      </c>
      <c r="R76" s="34">
        <f>5842</f>
        <v>5842</v>
      </c>
      <c r="T76" s="33" t="s">
        <v>50</v>
      </c>
      <c r="U76" s="34">
        <f>23150</f>
        <v>23150</v>
      </c>
      <c r="X76" s="33" t="s">
        <v>50</v>
      </c>
      <c r="Y76" s="34">
        <f>27773</f>
        <v>27773</v>
      </c>
    </row>
    <row r="77" spans="12:25" x14ac:dyDescent="0.3">
      <c r="Q77" s="33" t="s">
        <v>51</v>
      </c>
      <c r="R77" s="34">
        <f>3143</f>
        <v>3143</v>
      </c>
      <c r="T77" s="33" t="s">
        <v>51</v>
      </c>
      <c r="U77" s="34">
        <f>12941</f>
        <v>12941</v>
      </c>
      <c r="X77" s="33" t="s">
        <v>51</v>
      </c>
      <c r="Y77" s="34">
        <f>16501</f>
        <v>16501</v>
      </c>
    </row>
    <row r="78" spans="12:25" x14ac:dyDescent="0.3">
      <c r="Q78" s="33" t="s">
        <v>52</v>
      </c>
      <c r="R78" s="34">
        <f>3768</f>
        <v>3768</v>
      </c>
      <c r="T78" s="33" t="s">
        <v>52</v>
      </c>
      <c r="U78" s="34">
        <f>16414</f>
        <v>16414</v>
      </c>
      <c r="X78" s="33" t="s">
        <v>52</v>
      </c>
      <c r="Y78" s="34">
        <f>20062</f>
        <v>20062</v>
      </c>
    </row>
    <row r="79" spans="12:25" x14ac:dyDescent="0.3">
      <c r="Q79" s="33" t="s">
        <v>53</v>
      </c>
      <c r="R79" s="34">
        <f>2374</f>
        <v>2374</v>
      </c>
      <c r="T79" s="33" t="s">
        <v>53</v>
      </c>
      <c r="U79" s="34">
        <f>9648</f>
        <v>9648</v>
      </c>
      <c r="X79" s="33" t="s">
        <v>53</v>
      </c>
      <c r="Y79" s="34">
        <f>10518</f>
        <v>10518</v>
      </c>
    </row>
    <row r="80" spans="12:25" x14ac:dyDescent="0.3">
      <c r="Q80" s="33" t="s">
        <v>54</v>
      </c>
      <c r="R80" s="34">
        <f>3724</f>
        <v>3724</v>
      </c>
      <c r="T80" s="33" t="s">
        <v>54</v>
      </c>
      <c r="U80" s="34">
        <f>17447</f>
        <v>17447</v>
      </c>
      <c r="X80" s="33" t="s">
        <v>54</v>
      </c>
      <c r="Y80" s="34">
        <f>19528</f>
        <v>19528</v>
      </c>
    </row>
    <row r="81" spans="17:25" x14ac:dyDescent="0.3">
      <c r="Q81" s="33" t="s">
        <v>55</v>
      </c>
      <c r="R81" s="34">
        <f>1317</f>
        <v>1317</v>
      </c>
      <c r="T81" s="33" t="s">
        <v>55</v>
      </c>
      <c r="U81" s="34">
        <f>23289</f>
        <v>23289</v>
      </c>
      <c r="X81" s="33" t="s">
        <v>55</v>
      </c>
      <c r="Y81" s="34">
        <f>25690</f>
        <v>25690</v>
      </c>
    </row>
    <row r="82" spans="17:25" x14ac:dyDescent="0.3">
      <c r="Q82" s="33" t="s">
        <v>56</v>
      </c>
      <c r="R82" s="34">
        <f>3075</f>
        <v>3075</v>
      </c>
      <c r="T82" s="33" t="s">
        <v>56</v>
      </c>
      <c r="U82" s="34">
        <f>13582</f>
        <v>13582</v>
      </c>
      <c r="X82" s="33" t="s">
        <v>56</v>
      </c>
      <c r="Y82" s="34">
        <f>16416</f>
        <v>16416</v>
      </c>
    </row>
    <row r="83" spans="17:25" x14ac:dyDescent="0.3">
      <c r="Q83" s="33" t="s">
        <v>57</v>
      </c>
      <c r="R83" s="35">
        <f>0</f>
        <v>0</v>
      </c>
      <c r="T83" s="33" t="s">
        <v>57</v>
      </c>
      <c r="U83" s="34">
        <f>1831</f>
        <v>1831</v>
      </c>
      <c r="X83" s="33" t="s">
        <v>57</v>
      </c>
      <c r="Y83" s="34">
        <f>1672</f>
        <v>1672</v>
      </c>
    </row>
    <row r="84" spans="17:25" x14ac:dyDescent="0.3">
      <c r="Q84" s="33" t="s">
        <v>58</v>
      </c>
      <c r="R84" s="34">
        <f>1207</f>
        <v>1207</v>
      </c>
      <c r="T84" s="33" t="s">
        <v>58</v>
      </c>
      <c r="U84" s="34">
        <f>7133</f>
        <v>7133</v>
      </c>
      <c r="X84" s="33" t="s">
        <v>58</v>
      </c>
      <c r="Y84" s="34">
        <f>7738</f>
        <v>7738</v>
      </c>
    </row>
    <row r="85" spans="17:25" x14ac:dyDescent="0.3">
      <c r="Q85" s="33" t="s">
        <v>59</v>
      </c>
      <c r="R85" s="34">
        <f>2359</f>
        <v>2359</v>
      </c>
      <c r="T85" s="33" t="s">
        <v>59</v>
      </c>
      <c r="U85" s="34">
        <f>10395</f>
        <v>10395</v>
      </c>
      <c r="X85" s="33" t="s">
        <v>59</v>
      </c>
      <c r="Y85" s="34">
        <f>13031</f>
        <v>13031</v>
      </c>
    </row>
    <row r="86" spans="17:25" x14ac:dyDescent="0.3">
      <c r="Q86" s="33" t="s">
        <v>60</v>
      </c>
      <c r="R86" s="34">
        <f>265</f>
        <v>265</v>
      </c>
      <c r="T86" s="33" t="s">
        <v>60</v>
      </c>
      <c r="U86" s="34">
        <f>6974</f>
        <v>6974</v>
      </c>
      <c r="X86" s="33" t="s">
        <v>60</v>
      </c>
      <c r="Y86" s="34">
        <f>7326</f>
        <v>7326</v>
      </c>
    </row>
    <row r="87" spans="17:25" x14ac:dyDescent="0.3">
      <c r="Q87" s="33" t="s">
        <v>61</v>
      </c>
      <c r="R87" s="34">
        <f>503</f>
        <v>503</v>
      </c>
      <c r="T87" s="33" t="s">
        <v>61</v>
      </c>
      <c r="U87" s="34">
        <f>6620</f>
        <v>6620</v>
      </c>
      <c r="X87" s="33" t="s">
        <v>61</v>
      </c>
      <c r="Y87" s="34">
        <f>7400</f>
        <v>7400</v>
      </c>
    </row>
    <row r="88" spans="17:25" x14ac:dyDescent="0.3">
      <c r="Q88" s="33" t="s">
        <v>62</v>
      </c>
      <c r="R88" s="35">
        <f>0</f>
        <v>0</v>
      </c>
      <c r="T88" s="33" t="s">
        <v>62</v>
      </c>
      <c r="U88" s="34">
        <f>5218</f>
        <v>5218</v>
      </c>
      <c r="X88" s="33" t="s">
        <v>62</v>
      </c>
      <c r="Y88" s="34">
        <f>5325</f>
        <v>5325</v>
      </c>
    </row>
    <row r="89" spans="17:25" x14ac:dyDescent="0.3">
      <c r="Q89" s="33" t="s">
        <v>65</v>
      </c>
      <c r="R89" s="34">
        <f>794</f>
        <v>794</v>
      </c>
      <c r="T89" s="33" t="s">
        <v>65</v>
      </c>
      <c r="U89" s="34">
        <f>2171</f>
        <v>2171</v>
      </c>
      <c r="X89" s="33" t="s">
        <v>65</v>
      </c>
      <c r="Y89" s="34">
        <f>276</f>
        <v>276</v>
      </c>
    </row>
    <row r="90" spans="17:25" ht="15" thickBot="1" x14ac:dyDescent="0.35">
      <c r="Q90" s="36" t="s">
        <v>66</v>
      </c>
      <c r="R90" s="163">
        <f>0</f>
        <v>0</v>
      </c>
      <c r="T90" s="36" t="s">
        <v>66</v>
      </c>
      <c r="U90" s="39">
        <f>3631</f>
        <v>3631</v>
      </c>
      <c r="X90" s="36" t="s">
        <v>66</v>
      </c>
      <c r="Y90" s="39">
        <f>3638</f>
        <v>3638</v>
      </c>
    </row>
    <row r="92" spans="17:25" ht="15" thickBot="1" x14ac:dyDescent="0.35"/>
    <row r="93" spans="17:25" x14ac:dyDescent="0.3">
      <c r="X93" s="29" t="s">
        <v>42</v>
      </c>
      <c r="Y93" s="117" t="s">
        <v>70</v>
      </c>
    </row>
    <row r="94" spans="17:25" x14ac:dyDescent="0.3">
      <c r="X94" s="33" t="s">
        <v>47</v>
      </c>
      <c r="Y94" s="34">
        <f>45</f>
        <v>45</v>
      </c>
    </row>
    <row r="95" spans="17:25" x14ac:dyDescent="0.3">
      <c r="X95" s="33" t="s">
        <v>48</v>
      </c>
      <c r="Y95" s="34">
        <f>953</f>
        <v>953</v>
      </c>
    </row>
    <row r="96" spans="17:25" x14ac:dyDescent="0.3">
      <c r="X96" s="33" t="s">
        <v>49</v>
      </c>
      <c r="Y96" s="34">
        <f>298</f>
        <v>298</v>
      </c>
    </row>
    <row r="97" spans="24:25" x14ac:dyDescent="0.3">
      <c r="X97" s="33" t="s">
        <v>50</v>
      </c>
      <c r="Y97" s="35">
        <f>-663</f>
        <v>-663</v>
      </c>
    </row>
    <row r="98" spans="24:25" x14ac:dyDescent="0.3">
      <c r="X98" s="33" t="s">
        <v>51</v>
      </c>
      <c r="Y98" s="35">
        <f>-62</f>
        <v>-62</v>
      </c>
    </row>
    <row r="99" spans="24:25" x14ac:dyDescent="0.3">
      <c r="X99" s="33" t="s">
        <v>52</v>
      </c>
      <c r="Y99" s="35">
        <f>-212</f>
        <v>-212</v>
      </c>
    </row>
    <row r="100" spans="24:25" x14ac:dyDescent="0.3">
      <c r="X100" s="33" t="s">
        <v>53</v>
      </c>
      <c r="Y100" s="35">
        <f>-1744</f>
        <v>-1744</v>
      </c>
    </row>
    <row r="101" spans="24:25" x14ac:dyDescent="0.3">
      <c r="X101" s="33" t="s">
        <v>54</v>
      </c>
      <c r="Y101" s="35">
        <f>-220</f>
        <v>-220</v>
      </c>
    </row>
    <row r="102" spans="24:25" x14ac:dyDescent="0.3">
      <c r="X102" s="33" t="s">
        <v>55</v>
      </c>
      <c r="Y102" s="34">
        <f>694</f>
        <v>694</v>
      </c>
    </row>
    <row r="103" spans="24:25" x14ac:dyDescent="0.3">
      <c r="X103" s="33" t="s">
        <v>56</v>
      </c>
      <c r="Y103" s="34">
        <f>26</f>
        <v>26</v>
      </c>
    </row>
    <row r="104" spans="24:25" x14ac:dyDescent="0.3">
      <c r="X104" s="33" t="s">
        <v>57</v>
      </c>
      <c r="Y104" s="35">
        <f>-162</f>
        <v>-162</v>
      </c>
    </row>
    <row r="105" spans="24:25" x14ac:dyDescent="0.3">
      <c r="X105" s="33" t="s">
        <v>58</v>
      </c>
      <c r="Y105" s="35">
        <f>-602</f>
        <v>-602</v>
      </c>
    </row>
    <row r="106" spans="24:25" x14ac:dyDescent="0.3">
      <c r="X106" s="33" t="s">
        <v>59</v>
      </c>
      <c r="Y106" s="34">
        <f>196</f>
        <v>196</v>
      </c>
    </row>
    <row r="107" spans="24:25" x14ac:dyDescent="0.3">
      <c r="X107" s="33" t="s">
        <v>60</v>
      </c>
      <c r="Y107" s="34">
        <f>31</f>
        <v>31</v>
      </c>
    </row>
    <row r="108" spans="24:25" x14ac:dyDescent="0.3">
      <c r="X108" s="33" t="s">
        <v>61</v>
      </c>
      <c r="Y108" s="34">
        <f>187</f>
        <v>187</v>
      </c>
    </row>
    <row r="109" spans="24:25" x14ac:dyDescent="0.3">
      <c r="X109" s="33" t="s">
        <v>62</v>
      </c>
      <c r="Y109" s="34">
        <f>96</f>
        <v>96</v>
      </c>
    </row>
    <row r="110" spans="24:25" x14ac:dyDescent="0.3">
      <c r="X110" s="33" t="s">
        <v>65</v>
      </c>
      <c r="Y110" s="35">
        <f>-17</f>
        <v>-17</v>
      </c>
    </row>
    <row r="111" spans="24:25" ht="15" thickBot="1" x14ac:dyDescent="0.35">
      <c r="X111" s="36" t="s">
        <v>66</v>
      </c>
      <c r="Y111" s="39">
        <f>7</f>
        <v>7</v>
      </c>
    </row>
    <row r="141" spans="13:18" ht="15" thickBot="1" x14ac:dyDescent="0.35"/>
    <row r="142" spans="13:18" ht="15" customHeight="1" x14ac:dyDescent="0.3">
      <c r="N142" s="198" t="s">
        <v>212</v>
      </c>
      <c r="O142" s="203" t="s">
        <v>280</v>
      </c>
      <c r="P142" s="196" t="s">
        <v>210</v>
      </c>
      <c r="Q142" s="197"/>
      <c r="R142" s="100"/>
    </row>
    <row r="143" spans="13:18" ht="42.75" customHeight="1" x14ac:dyDescent="0.3">
      <c r="M143" s="101"/>
      <c r="N143" s="198"/>
      <c r="O143" s="204"/>
      <c r="P143" s="196"/>
      <c r="Q143" s="197"/>
      <c r="R143" s="100"/>
    </row>
    <row r="144" spans="13:18" ht="14.4" customHeight="1" x14ac:dyDescent="0.3">
      <c r="N144" s="198" t="s">
        <v>213</v>
      </c>
      <c r="O144" s="204"/>
      <c r="P144" s="196" t="s">
        <v>211</v>
      </c>
      <c r="Q144" s="197"/>
      <c r="R144" s="100"/>
    </row>
    <row r="145" spans="13:18" ht="45.75" customHeight="1" thickBot="1" x14ac:dyDescent="0.35">
      <c r="M145" s="101"/>
      <c r="N145" s="198"/>
      <c r="O145" s="205"/>
      <c r="P145" s="196"/>
      <c r="Q145" s="197"/>
      <c r="R145" s="100"/>
    </row>
  </sheetData>
  <mergeCells count="20">
    <mergeCell ref="A1:F1"/>
    <mergeCell ref="L5:M5"/>
    <mergeCell ref="N5:O5"/>
    <mergeCell ref="K4:O4"/>
    <mergeCell ref="P5:Q5"/>
    <mergeCell ref="P144:Q145"/>
    <mergeCell ref="N142:N143"/>
    <mergeCell ref="N144:N145"/>
    <mergeCell ref="W5:Y5"/>
    <mergeCell ref="B2:C2"/>
    <mergeCell ref="E2:F2"/>
    <mergeCell ref="T26:U26"/>
    <mergeCell ref="O142:O145"/>
    <mergeCell ref="L50:N50"/>
    <mergeCell ref="O50:P50"/>
    <mergeCell ref="R50:S50"/>
    <mergeCell ref="S5:U5"/>
    <mergeCell ref="L27:O27"/>
    <mergeCell ref="T6:U6"/>
    <mergeCell ref="P142:Q143"/>
  </mergeCells>
  <pageMargins left="0.7" right="0.7" top="0.78740157499999996" bottom="0.78740157499999996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65372-0CD7-441F-B945-3E2F891EE16D}">
  <dimension ref="B8:J29"/>
  <sheetViews>
    <sheetView topLeftCell="A7" zoomScaleNormal="100" workbookViewId="0">
      <selection activeCell="C10" sqref="C10:C28"/>
    </sheetView>
  </sheetViews>
  <sheetFormatPr defaultRowHeight="14.4" x14ac:dyDescent="0.3"/>
  <cols>
    <col min="2" max="2" width="14.21875" style="24" customWidth="1"/>
    <col min="3" max="3" width="13.5546875" style="24" customWidth="1"/>
    <col min="4" max="4" width="16.6640625" style="22" customWidth="1"/>
    <col min="5" max="5" width="18.77734375" customWidth="1"/>
    <col min="6" max="6" width="11.88671875" bestFit="1" customWidth="1"/>
    <col min="7" max="7" width="9.77734375" customWidth="1"/>
    <col min="8" max="8" width="29.77734375" customWidth="1"/>
    <col min="9" max="9" width="24.5546875" style="25" bestFit="1" customWidth="1"/>
    <col min="10" max="10" width="10.88671875" customWidth="1"/>
    <col min="13" max="13" width="9.44140625" bestFit="1" customWidth="1"/>
  </cols>
  <sheetData>
    <row r="8" spans="2:10" ht="15" thickBot="1" x14ac:dyDescent="0.35"/>
    <row r="9" spans="2:10" ht="15" thickBot="1" x14ac:dyDescent="0.35">
      <c r="G9" s="210" t="s">
        <v>209</v>
      </c>
      <c r="H9" s="211"/>
      <c r="I9" s="211"/>
      <c r="J9" s="212"/>
    </row>
    <row r="10" spans="2:10" ht="15" thickBot="1" x14ac:dyDescent="0.35">
      <c r="B10" s="60" t="s">
        <v>42</v>
      </c>
      <c r="C10" s="84" t="s">
        <v>207</v>
      </c>
      <c r="D10" s="84" t="s">
        <v>102</v>
      </c>
      <c r="E10" s="62" t="s">
        <v>208</v>
      </c>
      <c r="G10" s="60" t="s">
        <v>42</v>
      </c>
      <c r="H10" s="61" t="s">
        <v>64</v>
      </c>
      <c r="I10" s="61" t="s">
        <v>63</v>
      </c>
      <c r="J10" s="62" t="s">
        <v>102</v>
      </c>
    </row>
    <row r="11" spans="2:10" x14ac:dyDescent="0.3">
      <c r="B11" s="81" t="s">
        <v>47</v>
      </c>
      <c r="C11" s="72">
        <v>0.96996672650162741</v>
      </c>
      <c r="D11" s="82">
        <f t="shared" ref="D11:D28" si="0">C11</f>
        <v>0.96996672650162741</v>
      </c>
      <c r="E11" s="83" t="str">
        <f t="shared" ref="E11:E28" si="1">IF(C11=1,"efektivní","neefektivní")</f>
        <v>neefektivní</v>
      </c>
      <c r="G11" s="63" t="s">
        <v>48</v>
      </c>
      <c r="H11" s="64" t="s">
        <v>4</v>
      </c>
      <c r="I11" s="64" t="s">
        <v>72</v>
      </c>
      <c r="J11" s="118">
        <f>'Výpočty CCR'!Q8</f>
        <v>1</v>
      </c>
    </row>
    <row r="12" spans="2:10" x14ac:dyDescent="0.3">
      <c r="B12" s="33" t="s">
        <v>48</v>
      </c>
      <c r="C12" s="71">
        <v>1</v>
      </c>
      <c r="D12" s="80">
        <f t="shared" si="0"/>
        <v>1</v>
      </c>
      <c r="E12" s="57" t="str">
        <f t="shared" si="1"/>
        <v>efektivní</v>
      </c>
      <c r="G12" s="63" t="s">
        <v>51</v>
      </c>
      <c r="H12" s="65" t="s">
        <v>7</v>
      </c>
      <c r="I12" s="65" t="s">
        <v>74</v>
      </c>
      <c r="J12" s="118">
        <f>'Výpočty CCR'!Q11</f>
        <v>1</v>
      </c>
    </row>
    <row r="13" spans="2:10" x14ac:dyDescent="0.3">
      <c r="B13" s="53" t="s">
        <v>49</v>
      </c>
      <c r="C13" s="71">
        <v>0.97333164410744577</v>
      </c>
      <c r="D13" s="80">
        <f t="shared" si="0"/>
        <v>0.97333164410744577</v>
      </c>
      <c r="E13" s="55" t="str">
        <f t="shared" si="1"/>
        <v>neefektivní</v>
      </c>
      <c r="G13" s="63" t="s">
        <v>55</v>
      </c>
      <c r="H13" s="65" t="s">
        <v>11</v>
      </c>
      <c r="I13" s="65" t="s">
        <v>78</v>
      </c>
      <c r="J13" s="118">
        <f>'Výpočty CCR'!Q15</f>
        <v>1</v>
      </c>
    </row>
    <row r="14" spans="2:10" x14ac:dyDescent="0.3">
      <c r="B14" s="53" t="s">
        <v>50</v>
      </c>
      <c r="C14" s="71">
        <v>0.93523338609372508</v>
      </c>
      <c r="D14" s="80">
        <f t="shared" si="0"/>
        <v>0.93523338609372508</v>
      </c>
      <c r="E14" s="55" t="str">
        <f t="shared" si="1"/>
        <v>neefektivní</v>
      </c>
      <c r="G14" s="63" t="s">
        <v>57</v>
      </c>
      <c r="H14" s="65" t="s">
        <v>13</v>
      </c>
      <c r="I14" s="65" t="s">
        <v>79</v>
      </c>
      <c r="J14" s="118">
        <f>'Výpočty CCR'!Q17</f>
        <v>1</v>
      </c>
    </row>
    <row r="15" spans="2:10" x14ac:dyDescent="0.3">
      <c r="B15" s="33" t="s">
        <v>51</v>
      </c>
      <c r="C15" s="71">
        <v>1</v>
      </c>
      <c r="D15" s="80">
        <f t="shared" si="0"/>
        <v>1</v>
      </c>
      <c r="E15" s="57" t="str">
        <f t="shared" si="1"/>
        <v>efektivní</v>
      </c>
      <c r="G15" s="63" t="s">
        <v>59</v>
      </c>
      <c r="H15" s="65" t="s">
        <v>17</v>
      </c>
      <c r="I15" s="65" t="s">
        <v>18</v>
      </c>
      <c r="J15" s="118">
        <f>'Výpočty CCR'!Q19</f>
        <v>1</v>
      </c>
    </row>
    <row r="16" spans="2:10" x14ac:dyDescent="0.3">
      <c r="B16" s="53" t="s">
        <v>52</v>
      </c>
      <c r="C16" s="71">
        <v>0.96789308537147534</v>
      </c>
      <c r="D16" s="80">
        <f t="shared" si="0"/>
        <v>0.96789308537147534</v>
      </c>
      <c r="E16" s="55" t="str">
        <f t="shared" si="1"/>
        <v>neefektivní</v>
      </c>
      <c r="G16" s="63" t="s">
        <v>61</v>
      </c>
      <c r="H16" s="65" t="s">
        <v>20</v>
      </c>
      <c r="I16" s="65" t="s">
        <v>18</v>
      </c>
      <c r="J16" s="118">
        <f>'Výpočty CCR'!Q21</f>
        <v>1</v>
      </c>
    </row>
    <row r="17" spans="2:10" x14ac:dyDescent="0.3">
      <c r="B17" s="53" t="s">
        <v>53</v>
      </c>
      <c r="C17" s="71">
        <v>0.85322480949694735</v>
      </c>
      <c r="D17" s="80">
        <f t="shared" si="0"/>
        <v>0.85322480949694735</v>
      </c>
      <c r="E17" s="55" t="str">
        <f t="shared" si="1"/>
        <v>neefektivní</v>
      </c>
      <c r="G17" s="63" t="s">
        <v>62</v>
      </c>
      <c r="H17" s="65" t="s">
        <v>21</v>
      </c>
      <c r="I17" s="65" t="s">
        <v>81</v>
      </c>
      <c r="J17" s="118">
        <f>'Výpočty CCR'!Q22</f>
        <v>1</v>
      </c>
    </row>
    <row r="18" spans="2:10" x14ac:dyDescent="0.3">
      <c r="B18" s="53" t="s">
        <v>54</v>
      </c>
      <c r="C18" s="71">
        <v>0.89691426053695178</v>
      </c>
      <c r="D18" s="80">
        <f t="shared" si="0"/>
        <v>0.89691426053695178</v>
      </c>
      <c r="E18" s="55" t="str">
        <f t="shared" si="1"/>
        <v>neefektivní</v>
      </c>
      <c r="G18" s="63" t="s">
        <v>66</v>
      </c>
      <c r="H18" s="65" t="s">
        <v>23</v>
      </c>
      <c r="I18" s="65" t="s">
        <v>24</v>
      </c>
      <c r="J18" s="118">
        <f>'Výpočty CCR'!Q24</f>
        <v>1</v>
      </c>
    </row>
    <row r="19" spans="2:10" x14ac:dyDescent="0.3">
      <c r="B19" s="33" t="s">
        <v>55</v>
      </c>
      <c r="C19" s="71">
        <v>1</v>
      </c>
      <c r="D19" s="80">
        <f t="shared" si="0"/>
        <v>1</v>
      </c>
      <c r="E19" s="57" t="str">
        <f t="shared" si="1"/>
        <v>efektivní</v>
      </c>
      <c r="G19" s="66" t="s">
        <v>60</v>
      </c>
      <c r="H19" s="9" t="s">
        <v>19</v>
      </c>
      <c r="I19" s="9" t="s">
        <v>18</v>
      </c>
      <c r="J19" s="119">
        <f>'Výpočty CCR'!Q20</f>
        <v>0.97963465531842353</v>
      </c>
    </row>
    <row r="20" spans="2:10" x14ac:dyDescent="0.3">
      <c r="B20" s="53" t="s">
        <v>56</v>
      </c>
      <c r="C20" s="71">
        <v>0.95944608677813314</v>
      </c>
      <c r="D20" s="80">
        <f t="shared" si="0"/>
        <v>0.95944608677813314</v>
      </c>
      <c r="E20" s="55" t="str">
        <f t="shared" si="1"/>
        <v>neefektivní</v>
      </c>
      <c r="G20" s="66" t="s">
        <v>49</v>
      </c>
      <c r="H20" s="9" t="s">
        <v>5</v>
      </c>
      <c r="I20" s="9" t="s">
        <v>73</v>
      </c>
      <c r="J20" s="119">
        <f>'Výpočty CCR'!Q9</f>
        <v>0.97333164410744577</v>
      </c>
    </row>
    <row r="21" spans="2:10" x14ac:dyDescent="0.3">
      <c r="B21" s="33" t="s">
        <v>57</v>
      </c>
      <c r="C21" s="71">
        <v>1</v>
      </c>
      <c r="D21" s="80">
        <f t="shared" si="0"/>
        <v>1</v>
      </c>
      <c r="E21" s="57" t="str">
        <f t="shared" si="1"/>
        <v>efektivní</v>
      </c>
      <c r="G21" s="66" t="s">
        <v>47</v>
      </c>
      <c r="H21" s="9" t="s">
        <v>3</v>
      </c>
      <c r="I21" s="9" t="s">
        <v>71</v>
      </c>
      <c r="J21" s="119">
        <f>'Výpočty CCR'!Q7</f>
        <v>0.96996672650162741</v>
      </c>
    </row>
    <row r="22" spans="2:10" x14ac:dyDescent="0.3">
      <c r="B22" s="53" t="s">
        <v>58</v>
      </c>
      <c r="C22" s="71">
        <v>0.89942114179359411</v>
      </c>
      <c r="D22" s="80">
        <f t="shared" si="0"/>
        <v>0.89942114179359411</v>
      </c>
      <c r="E22" s="55" t="str">
        <f t="shared" si="1"/>
        <v>neefektivní</v>
      </c>
      <c r="G22" s="66" t="s">
        <v>52</v>
      </c>
      <c r="H22" s="9" t="s">
        <v>8</v>
      </c>
      <c r="I22" s="9" t="s">
        <v>75</v>
      </c>
      <c r="J22" s="119">
        <f>'Výpočty CCR'!Q12</f>
        <v>0.96789308537147534</v>
      </c>
    </row>
    <row r="23" spans="2:10" x14ac:dyDescent="0.3">
      <c r="B23" s="33" t="s">
        <v>59</v>
      </c>
      <c r="C23" s="71">
        <v>1</v>
      </c>
      <c r="D23" s="80">
        <f t="shared" si="0"/>
        <v>1</v>
      </c>
      <c r="E23" s="57" t="str">
        <f t="shared" si="1"/>
        <v>efektivní</v>
      </c>
      <c r="G23" s="66" t="s">
        <v>56</v>
      </c>
      <c r="H23" s="9" t="s">
        <v>12</v>
      </c>
      <c r="I23" s="9" t="s">
        <v>16</v>
      </c>
      <c r="J23" s="119">
        <f>'Výpočty CCR'!Q16</f>
        <v>0.95944608677813314</v>
      </c>
    </row>
    <row r="24" spans="2:10" x14ac:dyDescent="0.3">
      <c r="B24" s="53" t="s">
        <v>60</v>
      </c>
      <c r="C24" s="71">
        <v>0.97963465531842353</v>
      </c>
      <c r="D24" s="80">
        <f t="shared" si="0"/>
        <v>0.97963465531842353</v>
      </c>
      <c r="E24" s="55" t="str">
        <f t="shared" si="1"/>
        <v>neefektivní</v>
      </c>
      <c r="G24" s="66" t="s">
        <v>50</v>
      </c>
      <c r="H24" s="9" t="s">
        <v>6</v>
      </c>
      <c r="I24" s="9" t="s">
        <v>15</v>
      </c>
      <c r="J24" s="119">
        <f>'Výpočty CCR'!Q10</f>
        <v>0.93523338609372508</v>
      </c>
    </row>
    <row r="25" spans="2:10" x14ac:dyDescent="0.3">
      <c r="B25" s="33" t="s">
        <v>61</v>
      </c>
      <c r="C25" s="71">
        <v>1</v>
      </c>
      <c r="D25" s="80">
        <f t="shared" si="0"/>
        <v>1</v>
      </c>
      <c r="E25" s="57" t="str">
        <f t="shared" si="1"/>
        <v>efektivní</v>
      </c>
      <c r="G25" s="66" t="s">
        <v>65</v>
      </c>
      <c r="H25" s="9" t="s">
        <v>36</v>
      </c>
      <c r="I25" s="9" t="s">
        <v>15</v>
      </c>
      <c r="J25" s="119">
        <f>'Výpočty CCR'!Q23</f>
        <v>0.92064318808808354</v>
      </c>
    </row>
    <row r="26" spans="2:10" x14ac:dyDescent="0.3">
      <c r="B26" s="33" t="s">
        <v>62</v>
      </c>
      <c r="C26" s="71">
        <v>1</v>
      </c>
      <c r="D26" s="80">
        <f t="shared" si="0"/>
        <v>1</v>
      </c>
      <c r="E26" s="57" t="str">
        <f t="shared" si="1"/>
        <v>efektivní</v>
      </c>
      <c r="G26" s="66" t="s">
        <v>58</v>
      </c>
      <c r="H26" s="9" t="s">
        <v>14</v>
      </c>
      <c r="I26" s="9" t="s">
        <v>80</v>
      </c>
      <c r="J26" s="119">
        <f>'Výpočty CCR'!Q18</f>
        <v>0.89942114179359411</v>
      </c>
    </row>
    <row r="27" spans="2:10" x14ac:dyDescent="0.3">
      <c r="B27" s="53" t="s">
        <v>65</v>
      </c>
      <c r="C27" s="71">
        <v>0.92064318808808354</v>
      </c>
      <c r="D27" s="80">
        <f t="shared" si="0"/>
        <v>0.92064318808808354</v>
      </c>
      <c r="E27" s="55" t="str">
        <f t="shared" si="1"/>
        <v>neefektivní</v>
      </c>
      <c r="G27" s="66" t="s">
        <v>54</v>
      </c>
      <c r="H27" s="9" t="s">
        <v>10</v>
      </c>
      <c r="I27" s="9" t="s">
        <v>77</v>
      </c>
      <c r="J27" s="119">
        <f>'Výpočty CCR'!Q14</f>
        <v>0.89691426053695178</v>
      </c>
    </row>
    <row r="28" spans="2:10" ht="15" thickBot="1" x14ac:dyDescent="0.35">
      <c r="B28" s="36" t="s">
        <v>66</v>
      </c>
      <c r="C28" s="70">
        <v>1</v>
      </c>
      <c r="D28" s="85">
        <f t="shared" si="0"/>
        <v>1</v>
      </c>
      <c r="E28" s="58" t="str">
        <f t="shared" si="1"/>
        <v>efektivní</v>
      </c>
      <c r="G28" s="67" t="s">
        <v>53</v>
      </c>
      <c r="H28" s="38" t="s">
        <v>9</v>
      </c>
      <c r="I28" s="38" t="s">
        <v>76</v>
      </c>
      <c r="J28" s="120">
        <f>'Výpočty CCR'!Q13</f>
        <v>0.85322480949694735</v>
      </c>
    </row>
    <row r="29" spans="2:10" x14ac:dyDescent="0.3">
      <c r="D29" s="24"/>
      <c r="E29" s="24"/>
      <c r="I29"/>
    </row>
  </sheetData>
  <sortState xmlns:xlrd2="http://schemas.microsoft.com/office/spreadsheetml/2017/richdata2" ref="G11:J28">
    <sortCondition descending="1" ref="J11:J28"/>
  </sortState>
  <mergeCells count="1">
    <mergeCell ref="G9:J9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5F6F0-287F-4256-B5BB-49F1BC4D2ED7}">
  <dimension ref="A1:L39"/>
  <sheetViews>
    <sheetView topLeftCell="A22" workbookViewId="0">
      <selection activeCell="G37" sqref="G37"/>
    </sheetView>
  </sheetViews>
  <sheetFormatPr defaultRowHeight="14.4" x14ac:dyDescent="0.3"/>
  <cols>
    <col min="1" max="1" width="10.44140625" customWidth="1"/>
    <col min="2" max="2" width="9.6640625" customWidth="1"/>
    <col min="3" max="3" width="8.88671875" customWidth="1"/>
    <col min="4" max="4" width="8.44140625" customWidth="1"/>
    <col min="5" max="5" width="8.5546875" customWidth="1"/>
    <col min="6" max="6" width="8.77734375" customWidth="1"/>
    <col min="7" max="7" width="8.88671875" customWidth="1"/>
    <col min="8" max="8" width="8.6640625" customWidth="1"/>
    <col min="9" max="9" width="8.33203125" customWidth="1"/>
    <col min="10" max="10" width="8.5546875" customWidth="1"/>
    <col min="11" max="11" width="9.109375" customWidth="1"/>
    <col min="12" max="12" width="8.6640625" customWidth="1"/>
  </cols>
  <sheetData>
    <row r="1" spans="1:6" x14ac:dyDescent="0.3">
      <c r="B1" t="s">
        <v>94</v>
      </c>
      <c r="D1" t="s">
        <v>95</v>
      </c>
    </row>
    <row r="2" spans="1:6" x14ac:dyDescent="0.3">
      <c r="A2" t="s">
        <v>42</v>
      </c>
      <c r="B2" t="s">
        <v>67</v>
      </c>
      <c r="C2" t="s">
        <v>68</v>
      </c>
      <c r="D2" t="s">
        <v>69</v>
      </c>
      <c r="E2" t="s">
        <v>70</v>
      </c>
      <c r="F2" t="s">
        <v>218</v>
      </c>
    </row>
    <row r="3" spans="1:6" x14ac:dyDescent="0.3">
      <c r="A3" t="s">
        <v>47</v>
      </c>
      <c r="B3">
        <v>1692</v>
      </c>
      <c r="C3">
        <v>17110</v>
      </c>
      <c r="D3">
        <v>18955</v>
      </c>
      <c r="E3">
        <v>1790</v>
      </c>
      <c r="F3">
        <v>0.96996672650162741</v>
      </c>
    </row>
    <row r="4" spans="1:6" x14ac:dyDescent="0.3">
      <c r="A4" s="69" t="s">
        <v>48</v>
      </c>
      <c r="B4" s="69">
        <v>6743</v>
      </c>
      <c r="C4" s="69">
        <v>23482</v>
      </c>
      <c r="D4" s="69">
        <v>30786</v>
      </c>
      <c r="E4" s="69">
        <v>2698</v>
      </c>
      <c r="F4" s="69">
        <v>1</v>
      </c>
    </row>
    <row r="5" spans="1:6" x14ac:dyDescent="0.3">
      <c r="A5" t="s">
        <v>49</v>
      </c>
      <c r="B5">
        <v>7306</v>
      </c>
      <c r="C5">
        <v>43992</v>
      </c>
      <c r="D5">
        <v>51560</v>
      </c>
      <c r="E5">
        <v>2043</v>
      </c>
      <c r="F5">
        <v>0.97333164410744577</v>
      </c>
    </row>
    <row r="6" spans="1:6" x14ac:dyDescent="0.3">
      <c r="A6" t="s">
        <v>50</v>
      </c>
      <c r="B6">
        <v>5843</v>
      </c>
      <c r="C6">
        <v>23150</v>
      </c>
      <c r="D6">
        <v>27773</v>
      </c>
      <c r="E6">
        <v>1082</v>
      </c>
      <c r="F6">
        <v>0.93523338609372508</v>
      </c>
    </row>
    <row r="7" spans="1:6" x14ac:dyDescent="0.3">
      <c r="A7" s="69" t="s">
        <v>51</v>
      </c>
      <c r="B7" s="69">
        <v>3144</v>
      </c>
      <c r="C7" s="69">
        <v>12941</v>
      </c>
      <c r="D7" s="69">
        <v>16501</v>
      </c>
      <c r="E7" s="69">
        <v>1683</v>
      </c>
      <c r="F7" s="69">
        <v>1</v>
      </c>
    </row>
    <row r="8" spans="1:6" x14ac:dyDescent="0.3">
      <c r="A8" t="s">
        <v>52</v>
      </c>
      <c r="B8">
        <v>3769</v>
      </c>
      <c r="C8">
        <v>16414</v>
      </c>
      <c r="D8">
        <v>20062</v>
      </c>
      <c r="E8">
        <v>1533</v>
      </c>
      <c r="F8">
        <v>0.96789308537147534</v>
      </c>
    </row>
    <row r="9" spans="1:6" x14ac:dyDescent="0.3">
      <c r="A9" t="s">
        <v>53</v>
      </c>
      <c r="B9">
        <v>2375</v>
      </c>
      <c r="C9">
        <v>9648</v>
      </c>
      <c r="D9">
        <v>10518</v>
      </c>
      <c r="E9">
        <v>1</v>
      </c>
      <c r="F9">
        <v>0.85322480949694735</v>
      </c>
    </row>
    <row r="10" spans="1:6" x14ac:dyDescent="0.3">
      <c r="A10" t="s">
        <v>54</v>
      </c>
      <c r="B10">
        <v>3725</v>
      </c>
      <c r="C10">
        <v>17447</v>
      </c>
      <c r="D10">
        <v>19528</v>
      </c>
      <c r="E10">
        <v>1525</v>
      </c>
      <c r="F10">
        <v>0.89691426053695178</v>
      </c>
    </row>
    <row r="11" spans="1:6" x14ac:dyDescent="0.3">
      <c r="A11" s="69" t="s">
        <v>55</v>
      </c>
      <c r="B11" s="69">
        <v>1318</v>
      </c>
      <c r="C11" s="69">
        <v>23289</v>
      </c>
      <c r="D11" s="69">
        <v>25690</v>
      </c>
      <c r="E11" s="69">
        <v>2439</v>
      </c>
      <c r="F11" s="69">
        <v>1</v>
      </c>
    </row>
    <row r="12" spans="1:6" x14ac:dyDescent="0.3">
      <c r="A12" t="s">
        <v>56</v>
      </c>
      <c r="B12">
        <v>3076</v>
      </c>
      <c r="C12">
        <v>13582</v>
      </c>
      <c r="D12">
        <v>16416</v>
      </c>
      <c r="E12">
        <v>1771</v>
      </c>
      <c r="F12">
        <v>0.95944608677813314</v>
      </c>
    </row>
    <row r="13" spans="1:6" x14ac:dyDescent="0.3">
      <c r="A13" s="69" t="s">
        <v>57</v>
      </c>
      <c r="B13" s="69">
        <v>1</v>
      </c>
      <c r="C13" s="69">
        <v>1831</v>
      </c>
      <c r="D13" s="69">
        <v>1672</v>
      </c>
      <c r="E13" s="69">
        <v>1583</v>
      </c>
      <c r="F13" s="69">
        <v>1</v>
      </c>
    </row>
    <row r="14" spans="1:6" x14ac:dyDescent="0.3">
      <c r="A14" t="s">
        <v>58</v>
      </c>
      <c r="B14">
        <v>1208</v>
      </c>
      <c r="C14">
        <v>7133</v>
      </c>
      <c r="D14">
        <v>7738</v>
      </c>
      <c r="E14">
        <v>1143</v>
      </c>
      <c r="F14">
        <v>0.89942114179359411</v>
      </c>
    </row>
    <row r="15" spans="1:6" x14ac:dyDescent="0.3">
      <c r="A15" s="69" t="s">
        <v>59</v>
      </c>
      <c r="B15" s="69">
        <v>2360</v>
      </c>
      <c r="C15" s="69">
        <v>10395</v>
      </c>
      <c r="D15" s="69">
        <v>13031</v>
      </c>
      <c r="E15" s="69">
        <v>1941</v>
      </c>
      <c r="F15" s="69">
        <v>1</v>
      </c>
    </row>
    <row r="16" spans="1:6" x14ac:dyDescent="0.3">
      <c r="A16" t="s">
        <v>60</v>
      </c>
      <c r="B16">
        <v>266</v>
      </c>
      <c r="C16">
        <v>6974</v>
      </c>
      <c r="D16">
        <v>7326</v>
      </c>
      <c r="E16">
        <v>1776</v>
      </c>
      <c r="F16">
        <v>0.97963465531842353</v>
      </c>
    </row>
    <row r="17" spans="1:12" x14ac:dyDescent="0.3">
      <c r="A17" s="69" t="s">
        <v>61</v>
      </c>
      <c r="B17" s="69">
        <v>504</v>
      </c>
      <c r="C17" s="69">
        <v>6620</v>
      </c>
      <c r="D17" s="69">
        <v>7400</v>
      </c>
      <c r="E17" s="69">
        <v>1932</v>
      </c>
      <c r="F17" s="69">
        <v>1</v>
      </c>
    </row>
    <row r="18" spans="1:12" x14ac:dyDescent="0.3">
      <c r="A18" s="69" t="s">
        <v>62</v>
      </c>
      <c r="B18" s="69">
        <v>1</v>
      </c>
      <c r="C18" s="69">
        <v>5218</v>
      </c>
      <c r="D18" s="69">
        <v>5325</v>
      </c>
      <c r="E18" s="69">
        <v>1841</v>
      </c>
      <c r="F18" s="69">
        <v>1</v>
      </c>
    </row>
    <row r="19" spans="1:12" x14ac:dyDescent="0.3">
      <c r="A19" t="s">
        <v>65</v>
      </c>
      <c r="B19">
        <v>795</v>
      </c>
      <c r="C19">
        <v>2171</v>
      </c>
      <c r="D19">
        <v>276</v>
      </c>
      <c r="E19">
        <v>1728</v>
      </c>
      <c r="F19">
        <v>0.92064318808808354</v>
      </c>
    </row>
    <row r="20" spans="1:12" x14ac:dyDescent="0.3">
      <c r="A20" s="69" t="s">
        <v>66</v>
      </c>
      <c r="B20" s="69">
        <v>1</v>
      </c>
      <c r="C20" s="69">
        <v>3631</v>
      </c>
      <c r="D20" s="69">
        <v>3638</v>
      </c>
      <c r="E20" s="69">
        <v>1752</v>
      </c>
      <c r="F20" s="69">
        <v>1</v>
      </c>
    </row>
    <row r="22" spans="1:12" x14ac:dyDescent="0.3">
      <c r="B22" s="213" t="s">
        <v>42</v>
      </c>
      <c r="C22" s="213" t="s">
        <v>47</v>
      </c>
      <c r="D22" s="213" t="s">
        <v>49</v>
      </c>
      <c r="E22" s="213" t="s">
        <v>50</v>
      </c>
      <c r="F22" s="213" t="s">
        <v>52</v>
      </c>
      <c r="G22" s="213" t="s">
        <v>53</v>
      </c>
      <c r="H22" s="213" t="s">
        <v>54</v>
      </c>
      <c r="I22" s="213" t="s">
        <v>56</v>
      </c>
      <c r="J22" s="213" t="s">
        <v>58</v>
      </c>
      <c r="K22" s="213" t="s">
        <v>60</v>
      </c>
      <c r="L22" s="213" t="s">
        <v>65</v>
      </c>
    </row>
    <row r="23" spans="1:12" x14ac:dyDescent="0.3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</row>
    <row r="24" spans="1:12" x14ac:dyDescent="0.3">
      <c r="B24" s="123" t="s">
        <v>48</v>
      </c>
      <c r="C24" s="121">
        <v>0</v>
      </c>
      <c r="D24" s="121">
        <v>0</v>
      </c>
      <c r="E24" s="122">
        <v>0.19706556672949749</v>
      </c>
      <c r="F24" s="121">
        <v>0</v>
      </c>
      <c r="G24" s="122">
        <v>2.5504671938413492E-2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</row>
    <row r="25" spans="1:12" x14ac:dyDescent="0.3">
      <c r="B25" s="123" t="s">
        <v>51</v>
      </c>
      <c r="C25" s="122">
        <v>0.29107109435436485</v>
      </c>
      <c r="D25" s="122">
        <v>1.9438769969632341</v>
      </c>
      <c r="E25" s="122">
        <v>1.3154438799264099</v>
      </c>
      <c r="F25" s="122">
        <v>1.1398497912977406</v>
      </c>
      <c r="G25" s="122">
        <v>0.5898317174537302</v>
      </c>
      <c r="H25" s="122">
        <v>1.0181543455408457</v>
      </c>
      <c r="I25" s="122">
        <v>0.91332924546657357</v>
      </c>
      <c r="J25" s="122">
        <v>0.28359769412462821</v>
      </c>
      <c r="K25" s="121">
        <v>0</v>
      </c>
      <c r="L25" s="121">
        <v>0</v>
      </c>
    </row>
    <row r="26" spans="1:12" x14ac:dyDescent="0.3">
      <c r="B26" s="123" t="s">
        <v>55</v>
      </c>
      <c r="C26" s="122">
        <v>0.55087722351337542</v>
      </c>
      <c r="D26" s="122">
        <v>0.75843073854066589</v>
      </c>
      <c r="E26" s="121">
        <v>0</v>
      </c>
      <c r="F26" s="122">
        <v>4.8787021946126323E-2</v>
      </c>
      <c r="G26" s="121">
        <v>0</v>
      </c>
      <c r="H26" s="122">
        <v>0.10616719128962686</v>
      </c>
      <c r="I26" s="122">
        <v>2.7488907520533061E-2</v>
      </c>
      <c r="J26" s="122">
        <v>3.1107784523189911E-2</v>
      </c>
      <c r="K26" s="122">
        <v>9.0250608103124033E-2</v>
      </c>
      <c r="L26" s="121">
        <v>0</v>
      </c>
    </row>
    <row r="27" spans="1:12" x14ac:dyDescent="0.3">
      <c r="B27" s="123" t="s">
        <v>57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2">
        <v>1.0915982312065697</v>
      </c>
    </row>
    <row r="28" spans="1:12" x14ac:dyDescent="0.3">
      <c r="B28" s="123" t="s">
        <v>59</v>
      </c>
      <c r="C28" s="121">
        <v>0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</row>
    <row r="29" spans="1:12" x14ac:dyDescent="0.3">
      <c r="B29" s="123" t="s">
        <v>61</v>
      </c>
      <c r="C29" s="121">
        <v>0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2">
        <v>8.634649815588849E-2</v>
      </c>
      <c r="J29" s="122">
        <v>0.30529668443902219</v>
      </c>
      <c r="K29" s="122">
        <v>0.27992291520975521</v>
      </c>
      <c r="L29" s="121">
        <v>0</v>
      </c>
    </row>
    <row r="30" spans="1:12" x14ac:dyDescent="0.3">
      <c r="B30" s="123" t="s">
        <v>62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2">
        <v>0.55136756906639517</v>
      </c>
      <c r="L30" s="121">
        <v>0</v>
      </c>
    </row>
    <row r="31" spans="1:12" x14ac:dyDescent="0.3">
      <c r="B31" s="123" t="s">
        <v>66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</row>
    <row r="34" spans="2:12" ht="15" thickBot="1" x14ac:dyDescent="0.35"/>
    <row r="35" spans="2:12" ht="15" thickBot="1" x14ac:dyDescent="0.35">
      <c r="B35" s="136"/>
      <c r="C35" s="132" t="s">
        <v>47</v>
      </c>
      <c r="D35" s="126" t="s">
        <v>49</v>
      </c>
      <c r="E35" s="126" t="s">
        <v>50</v>
      </c>
      <c r="F35" s="126" t="s">
        <v>52</v>
      </c>
      <c r="G35" s="126" t="s">
        <v>53</v>
      </c>
      <c r="H35" s="126" t="s">
        <v>54</v>
      </c>
      <c r="I35" s="126" t="s">
        <v>56</v>
      </c>
      <c r="J35" s="126" t="s">
        <v>58</v>
      </c>
      <c r="K35" s="126" t="s">
        <v>60</v>
      </c>
      <c r="L35" s="127" t="s">
        <v>65</v>
      </c>
    </row>
    <row r="36" spans="2:12" x14ac:dyDescent="0.3">
      <c r="B36" s="137" t="s">
        <v>43</v>
      </c>
      <c r="C36" s="133">
        <f>C25*B7+C26*B11</f>
        <v>1641.1837012407518</v>
      </c>
      <c r="D36" s="125">
        <f>D25*B7+D26*B11</f>
        <v>7111.1609918490067</v>
      </c>
      <c r="E36" s="125">
        <f>E24*B4+E25*B7</f>
        <v>5464.5686749456336</v>
      </c>
      <c r="F36" s="125">
        <f>F25*B7+F26*B11</f>
        <v>3647.9890387650908</v>
      </c>
      <c r="G36" s="125">
        <f>G24*B4+G25*B7</f>
        <v>2026.40892255525</v>
      </c>
      <c r="H36" s="125">
        <f>H25*B7+H26*B11</f>
        <v>3341.0056205001474</v>
      </c>
      <c r="I36" s="125">
        <f>I25*B7+I26*B11+I29*B17</f>
        <v>2951.2561629295374</v>
      </c>
      <c r="J36" s="125">
        <f>J25*B7+J26*B11+J29*B17</f>
        <v>1086.5007392866626</v>
      </c>
      <c r="K36" s="125">
        <f>K26*B11+K29*B17+K30*B18</f>
        <v>260.58281831470043</v>
      </c>
      <c r="L36" s="128">
        <f>L27*B13</f>
        <v>1.0915982312065697</v>
      </c>
    </row>
    <row r="37" spans="2:12" x14ac:dyDescent="0.3">
      <c r="B37" s="138" t="s">
        <v>44</v>
      </c>
      <c r="C37" s="134">
        <f>C25*C7+C26*C11</f>
        <v>16596.130690442835</v>
      </c>
      <c r="D37" s="124">
        <f>D25*C7+D26*C11</f>
        <v>42818.805687574786</v>
      </c>
      <c r="E37" s="124">
        <f>E24*C4+E25*C7</f>
        <v>21650.65288806973</v>
      </c>
      <c r="F37" s="124">
        <f>F25*C7+F26*C11</f>
        <v>15886.997103287396</v>
      </c>
      <c r="G37" s="124">
        <f>G24*C4+G25*C7</f>
        <v>8231.9129620265485</v>
      </c>
      <c r="H37" s="124">
        <f>H25*C7+H26*C11</f>
        <v>15648.463103588205</v>
      </c>
      <c r="I37" s="124">
        <f>I25*C7+I26*C11+I29*C17</f>
        <v>13031.196750620606</v>
      </c>
      <c r="J37" s="124">
        <f>J25*C7+J26*C11+J29*C17</f>
        <v>6415.5710044137104</v>
      </c>
      <c r="K37" s="124">
        <f>K26*C11+K29*C17+K30*C18</f>
        <v>6831.9720861906853</v>
      </c>
      <c r="L37" s="129">
        <f>L27*C13</f>
        <v>1998.7163613392293</v>
      </c>
    </row>
    <row r="38" spans="2:12" x14ac:dyDescent="0.3">
      <c r="B38" s="138" t="s">
        <v>303</v>
      </c>
      <c r="C38" s="134">
        <f>B3-C36</f>
        <v>50.816298759248184</v>
      </c>
      <c r="D38" s="124">
        <f>B5-D36</f>
        <v>194.83900815099332</v>
      </c>
      <c r="E38" s="124">
        <f>B6-E36</f>
        <v>378.43132505436643</v>
      </c>
      <c r="F38" s="124">
        <f>B8-F36</f>
        <v>121.01096123490925</v>
      </c>
      <c r="G38" s="124">
        <f>B9-G36</f>
        <v>348.59107744475</v>
      </c>
      <c r="H38" s="124">
        <f>B10-H36</f>
        <v>383.99437949985258</v>
      </c>
      <c r="I38" s="124">
        <f>B12-I36</f>
        <v>124.74383707046263</v>
      </c>
      <c r="J38" s="124">
        <f>B14-J36</f>
        <v>121.49926071333743</v>
      </c>
      <c r="K38" s="124">
        <f>B16-K36</f>
        <v>5.4171816852995676</v>
      </c>
      <c r="L38" s="129">
        <f>B19-L36</f>
        <v>793.9084017687934</v>
      </c>
    </row>
    <row r="39" spans="2:12" ht="15" thickBot="1" x14ac:dyDescent="0.35">
      <c r="B39" s="139" t="s">
        <v>304</v>
      </c>
      <c r="C39" s="135">
        <f>C3-C37</f>
        <v>513.86930955716525</v>
      </c>
      <c r="D39" s="130">
        <f>C5-D37</f>
        <v>1173.1943124252139</v>
      </c>
      <c r="E39" s="130">
        <f>C6-E37</f>
        <v>1499.3471119302703</v>
      </c>
      <c r="F39" s="130">
        <f>C8-F37</f>
        <v>527.00289671260362</v>
      </c>
      <c r="G39" s="130">
        <f>C9-G37</f>
        <v>1416.0870379734515</v>
      </c>
      <c r="H39" s="130">
        <f>C10-H37</f>
        <v>1798.5368964117952</v>
      </c>
      <c r="I39" s="130">
        <f>C12-I37</f>
        <v>550.8032493793944</v>
      </c>
      <c r="J39" s="130">
        <f>C14-J37</f>
        <v>717.4289955862896</v>
      </c>
      <c r="K39" s="130">
        <f>C16-K37</f>
        <v>142.02791380931467</v>
      </c>
      <c r="L39" s="131">
        <f>C19-L37</f>
        <v>172.28363866077075</v>
      </c>
    </row>
  </sheetData>
  <mergeCells count="11">
    <mergeCell ref="H22:H23"/>
    <mergeCell ref="I22:I23"/>
    <mergeCell ref="J22:J23"/>
    <mergeCell ref="K22:K23"/>
    <mergeCell ref="L22:L23"/>
    <mergeCell ref="G22:G23"/>
    <mergeCell ref="B22:B23"/>
    <mergeCell ref="C22:C23"/>
    <mergeCell ref="D22:D23"/>
    <mergeCell ref="E22:E23"/>
    <mergeCell ref="F22:F23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071F-F4A1-40E3-810D-B13D7519CB12}">
  <dimension ref="A1:H36"/>
  <sheetViews>
    <sheetView showGridLines="0" topLeftCell="A15" workbookViewId="0">
      <selection activeCell="E19" sqref="E19:E36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284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4.7461304232372122E-5</v>
      </c>
      <c r="E9" s="16">
        <v>0</v>
      </c>
      <c r="F9" s="16">
        <v>0</v>
      </c>
      <c r="G9" s="16">
        <v>677.78778885154077</v>
      </c>
      <c r="H9" s="16">
        <v>1103.3384855307188</v>
      </c>
    </row>
    <row r="10" spans="1:8" x14ac:dyDescent="0.3">
      <c r="B10" s="16" t="s">
        <v>241</v>
      </c>
      <c r="C10" s="16" t="s">
        <v>214</v>
      </c>
      <c r="D10" s="16">
        <v>5.3751927132602368E-5</v>
      </c>
      <c r="E10" s="16">
        <v>0</v>
      </c>
      <c r="F10" s="16">
        <v>0</v>
      </c>
      <c r="G10" s="16">
        <v>11157.282202973205</v>
      </c>
      <c r="H10" s="16">
        <v>6853.9888104313595</v>
      </c>
    </row>
    <row r="11" spans="1:8" x14ac:dyDescent="0.3">
      <c r="B11" s="16" t="s">
        <v>242</v>
      </c>
      <c r="C11" s="16" t="s">
        <v>103</v>
      </c>
      <c r="D11" s="16">
        <v>5.1100293877446678E-5</v>
      </c>
      <c r="E11" s="16">
        <v>0</v>
      </c>
      <c r="F11" s="16">
        <v>18955</v>
      </c>
      <c r="G11" s="16">
        <v>3558.258352964112</v>
      </c>
      <c r="H11" s="16">
        <v>10874.548796545976</v>
      </c>
    </row>
    <row r="12" spans="1:8" x14ac:dyDescent="0.3">
      <c r="B12" s="16" t="s">
        <v>243</v>
      </c>
      <c r="C12" s="16" t="s">
        <v>104</v>
      </c>
      <c r="D12" s="16">
        <v>0</v>
      </c>
      <c r="E12" s="16">
        <v>-322.49188286096523</v>
      </c>
      <c r="F12" s="16">
        <v>1790</v>
      </c>
      <c r="G12" s="16">
        <v>322.49188286096523</v>
      </c>
      <c r="H12" s="16">
        <v>1E+30</v>
      </c>
    </row>
    <row r="13" spans="1:8" ht="15" thickBot="1" x14ac:dyDescent="0.35">
      <c r="B13" s="17" t="s">
        <v>244</v>
      </c>
      <c r="C13" s="17" t="s">
        <v>281</v>
      </c>
      <c r="D13" s="17">
        <v>1.6160802578376839E-3</v>
      </c>
      <c r="E13" s="17">
        <v>0</v>
      </c>
      <c r="F13" s="17">
        <v>1</v>
      </c>
      <c r="G13" s="17">
        <v>1.3457848482393657</v>
      </c>
      <c r="H13" s="17">
        <v>0.15805168213225923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245</v>
      </c>
      <c r="C18" s="16" t="s">
        <v>282</v>
      </c>
      <c r="D18" s="16">
        <v>1.0000000000000002</v>
      </c>
      <c r="E18" s="16">
        <v>0.97022215070483953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-2.9777849295160672E-2</v>
      </c>
      <c r="E19" s="16">
        <v>0</v>
      </c>
      <c r="F19" s="16">
        <v>0</v>
      </c>
      <c r="G19" s="16">
        <v>1E+30</v>
      </c>
      <c r="H19" s="16">
        <v>2.9777849295160582E-2</v>
      </c>
    </row>
    <row r="20" spans="2:8" x14ac:dyDescent="0.3">
      <c r="B20" s="16" t="s">
        <v>247</v>
      </c>
      <c r="C20" s="16" t="s">
        <v>222</v>
      </c>
      <c r="D20" s="16">
        <v>-7.4445997977428992E-3</v>
      </c>
      <c r="E20" s="16">
        <v>0</v>
      </c>
      <c r="F20" s="16">
        <v>0</v>
      </c>
      <c r="G20" s="16">
        <v>1E+30</v>
      </c>
      <c r="H20" s="16">
        <v>7.4445997977424811E-3</v>
      </c>
    </row>
    <row r="21" spans="2:8" x14ac:dyDescent="0.3">
      <c r="B21" s="16" t="s">
        <v>248</v>
      </c>
      <c r="C21" s="16" t="s">
        <v>223</v>
      </c>
      <c r="D21" s="16">
        <v>-7.5059834560165711E-2</v>
      </c>
      <c r="E21" s="16">
        <v>0</v>
      </c>
      <c r="F21" s="16">
        <v>0</v>
      </c>
      <c r="G21" s="16">
        <v>1E+30</v>
      </c>
      <c r="H21" s="16">
        <v>7.5059834560164435E-2</v>
      </c>
    </row>
    <row r="22" spans="2:8" x14ac:dyDescent="0.3">
      <c r="B22" s="16" t="s">
        <v>249</v>
      </c>
      <c r="C22" s="16" t="s">
        <v>224</v>
      </c>
      <c r="D22" s="16">
        <v>-0.10084897163333104</v>
      </c>
      <c r="E22" s="16">
        <v>0</v>
      </c>
      <c r="F22" s="16">
        <v>0</v>
      </c>
      <c r="G22" s="16">
        <v>1E+30</v>
      </c>
      <c r="H22" s="16">
        <v>0.10084897163333026</v>
      </c>
    </row>
    <row r="23" spans="2:8" x14ac:dyDescent="0.3">
      <c r="B23" s="16" t="s">
        <v>250</v>
      </c>
      <c r="C23" s="16" t="s">
        <v>225</v>
      </c>
      <c r="D23" s="16">
        <v>1.3509159069169385E-16</v>
      </c>
      <c r="E23" s="21">
        <v>0.278912756964803</v>
      </c>
      <c r="F23" s="16">
        <v>0</v>
      </c>
      <c r="G23" s="16">
        <v>3.2085684729457006E-3</v>
      </c>
      <c r="H23" s="16">
        <v>3.599946445568504E-2</v>
      </c>
    </row>
    <row r="24" spans="2:8" x14ac:dyDescent="0.3">
      <c r="B24" s="16" t="s">
        <v>251</v>
      </c>
      <c r="C24" s="16" t="s">
        <v>226</v>
      </c>
      <c r="D24" s="16">
        <v>-3.4375611579172884E-2</v>
      </c>
      <c r="E24" s="16">
        <v>0</v>
      </c>
      <c r="F24" s="16">
        <v>0</v>
      </c>
      <c r="G24" s="16">
        <v>1E+30</v>
      </c>
      <c r="H24" s="16">
        <v>3.4375611579172807E-2</v>
      </c>
    </row>
    <row r="25" spans="2:8" x14ac:dyDescent="0.3">
      <c r="B25" s="16" t="s">
        <v>252</v>
      </c>
      <c r="C25" s="16" t="s">
        <v>227</v>
      </c>
      <c r="D25" s="16">
        <v>-9.2230219266409591E-2</v>
      </c>
      <c r="E25" s="16">
        <v>0</v>
      </c>
      <c r="F25" s="16">
        <v>0</v>
      </c>
      <c r="G25" s="16">
        <v>1E+30</v>
      </c>
      <c r="H25" s="16">
        <v>9.2230219266409286E-2</v>
      </c>
    </row>
    <row r="26" spans="2:8" x14ac:dyDescent="0.3">
      <c r="B26" s="16" t="s">
        <v>253</v>
      </c>
      <c r="C26" s="16" t="s">
        <v>228</v>
      </c>
      <c r="D26" s="16">
        <v>-0.11510061185148321</v>
      </c>
      <c r="E26" s="16">
        <v>0</v>
      </c>
      <c r="F26" s="16">
        <v>0</v>
      </c>
      <c r="G26" s="16">
        <v>1E+30</v>
      </c>
      <c r="H26" s="16">
        <v>0.11510061185148245</v>
      </c>
    </row>
    <row r="27" spans="2:8" x14ac:dyDescent="0.3">
      <c r="B27" s="16" t="s">
        <v>254</v>
      </c>
      <c r="C27" s="16" t="s">
        <v>229</v>
      </c>
      <c r="D27" s="16">
        <v>-8.6953014233337456E-17</v>
      </c>
      <c r="E27" s="21">
        <v>0.49298059042445747</v>
      </c>
      <c r="F27" s="16">
        <v>0</v>
      </c>
      <c r="G27" s="16">
        <v>4.4117281020417693E-3</v>
      </c>
      <c r="H27" s="16">
        <v>4.4989709740776089E-2</v>
      </c>
    </row>
    <row r="28" spans="2:8" x14ac:dyDescent="0.3">
      <c r="B28" s="16" t="s">
        <v>255</v>
      </c>
      <c r="C28" s="16" t="s">
        <v>230</v>
      </c>
      <c r="D28" s="16">
        <v>-3.5571141583779699E-2</v>
      </c>
      <c r="E28" s="16">
        <v>0</v>
      </c>
      <c r="F28" s="16">
        <v>0</v>
      </c>
      <c r="G28" s="16">
        <v>1E+30</v>
      </c>
      <c r="H28" s="16">
        <v>3.5571141583779234E-2</v>
      </c>
    </row>
    <row r="29" spans="2:8" x14ac:dyDescent="0.3">
      <c r="B29" s="16" t="s">
        <v>256</v>
      </c>
      <c r="C29" s="16" t="s">
        <v>231</v>
      </c>
      <c r="D29" s="16">
        <v>-1.1411468263098776E-2</v>
      </c>
      <c r="E29" s="16">
        <v>0</v>
      </c>
      <c r="F29" s="16">
        <v>0</v>
      </c>
      <c r="G29" s="16">
        <v>1E+30</v>
      </c>
      <c r="H29" s="16">
        <v>1.141146826309879E-2</v>
      </c>
    </row>
    <row r="30" spans="2:8" x14ac:dyDescent="0.3">
      <c r="B30" s="16" t="s">
        <v>257</v>
      </c>
      <c r="C30" s="16" t="s">
        <v>232</v>
      </c>
      <c r="D30" s="16">
        <v>-4.3715597468038138E-2</v>
      </c>
      <c r="E30" s="16">
        <v>0</v>
      </c>
      <c r="F30" s="16">
        <v>0</v>
      </c>
      <c r="G30" s="16">
        <v>1E+30</v>
      </c>
      <c r="H30" s="16">
        <v>4.3715597468038186E-2</v>
      </c>
    </row>
    <row r="31" spans="2:8" x14ac:dyDescent="0.3">
      <c r="B31" s="16" t="s">
        <v>258</v>
      </c>
      <c r="C31" s="16" t="s">
        <v>233</v>
      </c>
      <c r="D31" s="16">
        <v>-3.2559507569543712E-3</v>
      </c>
      <c r="E31" s="16">
        <v>0</v>
      </c>
      <c r="F31" s="16">
        <v>0</v>
      </c>
      <c r="G31" s="16">
        <v>1E+30</v>
      </c>
      <c r="H31" s="16">
        <v>3.2559507569541704E-3</v>
      </c>
    </row>
    <row r="32" spans="2:8" x14ac:dyDescent="0.3">
      <c r="B32" s="16" t="s">
        <v>259</v>
      </c>
      <c r="C32" s="16" t="s">
        <v>234</v>
      </c>
      <c r="D32" s="16">
        <v>-1.1513813544567795E-2</v>
      </c>
      <c r="E32" s="16">
        <v>0</v>
      </c>
      <c r="F32" s="16">
        <v>0</v>
      </c>
      <c r="G32" s="16">
        <v>1E+30</v>
      </c>
      <c r="H32" s="16">
        <v>1.1513813544567852E-2</v>
      </c>
    </row>
    <row r="33" spans="2:8" x14ac:dyDescent="0.3">
      <c r="B33" s="16" t="s">
        <v>260</v>
      </c>
      <c r="C33" s="16" t="s">
        <v>235</v>
      </c>
      <c r="D33" s="16">
        <v>-8.6953014233337456E-17</v>
      </c>
      <c r="E33" s="21">
        <v>0.22810665261073967</v>
      </c>
      <c r="F33" s="16">
        <v>0</v>
      </c>
      <c r="G33" s="16">
        <v>5.6274098197780465E-3</v>
      </c>
      <c r="H33" s="16">
        <v>1.1197577987690629E-3</v>
      </c>
    </row>
    <row r="34" spans="2:8" x14ac:dyDescent="0.3">
      <c r="B34" s="16" t="s">
        <v>261</v>
      </c>
      <c r="C34" s="16" t="s">
        <v>236</v>
      </c>
      <c r="D34" s="16">
        <v>-6.7998719269103149E-3</v>
      </c>
      <c r="E34" s="16">
        <v>0</v>
      </c>
      <c r="F34" s="16">
        <v>0</v>
      </c>
      <c r="G34" s="16">
        <v>1E+30</v>
      </c>
      <c r="H34" s="16">
        <v>6.7998719269102845E-3</v>
      </c>
    </row>
    <row r="35" spans="2:8" x14ac:dyDescent="0.3">
      <c r="B35" s="16" t="s">
        <v>262</v>
      </c>
      <c r="C35" s="16" t="s">
        <v>237</v>
      </c>
      <c r="D35" s="16">
        <v>-0.13870740930160261</v>
      </c>
      <c r="E35" s="16">
        <v>0</v>
      </c>
      <c r="F35" s="16">
        <v>0</v>
      </c>
      <c r="G35" s="16">
        <v>1E+30</v>
      </c>
      <c r="H35" s="16">
        <v>0.13870740930160252</v>
      </c>
    </row>
    <row r="36" spans="2:8" ht="15" thickBot="1" x14ac:dyDescent="0.35">
      <c r="B36" s="17" t="s">
        <v>263</v>
      </c>
      <c r="C36" s="17" t="s">
        <v>238</v>
      </c>
      <c r="D36" s="17">
        <v>-7.7017593387228613E-3</v>
      </c>
      <c r="E36" s="17">
        <v>0</v>
      </c>
      <c r="F36" s="17">
        <v>0</v>
      </c>
      <c r="G36" s="17">
        <v>1E+30</v>
      </c>
      <c r="H36" s="17">
        <v>7.7017593387228231E-3</v>
      </c>
    </row>
  </sheetData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DCE82-7D18-4B4A-83DF-5ED3D08B6B35}">
  <dimension ref="A1:H36"/>
  <sheetViews>
    <sheetView showGridLines="0" topLeftCell="A15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4" width="12.6640625" bestFit="1" customWidth="1"/>
    <col min="5" max="5" width="12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285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2.6416573310536248E-5</v>
      </c>
      <c r="E9" s="16">
        <v>0</v>
      </c>
      <c r="F9" s="16">
        <v>0</v>
      </c>
      <c r="G9" s="16">
        <v>1067.3462794317495</v>
      </c>
      <c r="H9" s="16">
        <v>0</v>
      </c>
    </row>
    <row r="10" spans="1:8" x14ac:dyDescent="0.3">
      <c r="B10" s="16" t="s">
        <v>241</v>
      </c>
      <c r="C10" s="16" t="s">
        <v>214</v>
      </c>
      <c r="D10" s="16">
        <v>3.5000129723492633E-5</v>
      </c>
      <c r="E10" s="16">
        <v>0</v>
      </c>
      <c r="F10" s="16">
        <v>0</v>
      </c>
      <c r="G10" s="16">
        <v>0</v>
      </c>
      <c r="H10" s="16">
        <v>3716.9546690814664</v>
      </c>
    </row>
    <row r="11" spans="1:8" x14ac:dyDescent="0.3">
      <c r="B11" s="16" t="s">
        <v>242</v>
      </c>
      <c r="C11" s="16" t="s">
        <v>103</v>
      </c>
      <c r="D11" s="16">
        <v>3.2482297148054309E-5</v>
      </c>
      <c r="E11" s="16">
        <v>0</v>
      </c>
      <c r="F11" s="16">
        <v>30786</v>
      </c>
      <c r="G11" s="16">
        <v>1E+30</v>
      </c>
      <c r="H11" s="16">
        <v>0</v>
      </c>
    </row>
    <row r="12" spans="1:8" x14ac:dyDescent="0.3">
      <c r="B12" s="16" t="s">
        <v>243</v>
      </c>
      <c r="C12" s="16" t="s">
        <v>104</v>
      </c>
      <c r="D12" s="16">
        <v>0</v>
      </c>
      <c r="E12" s="16">
        <v>0</v>
      </c>
      <c r="F12" s="16">
        <v>2698</v>
      </c>
      <c r="G12" s="16">
        <v>0</v>
      </c>
      <c r="H12" s="16">
        <v>1E+30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0</v>
      </c>
      <c r="F13" s="17">
        <v>1</v>
      </c>
      <c r="G13" s="17">
        <v>0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264</v>
      </c>
      <c r="C18" s="16" t="s">
        <v>216</v>
      </c>
      <c r="D18" s="16">
        <v>1</v>
      </c>
      <c r="E18" s="16">
        <v>1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-2.7847119169016832E-2</v>
      </c>
      <c r="E19" s="16">
        <v>0</v>
      </c>
      <c r="F19" s="16">
        <v>0</v>
      </c>
      <c r="G19" s="16">
        <v>1E+30</v>
      </c>
      <c r="H19" s="16">
        <v>2.7847119169016898E-2</v>
      </c>
    </row>
    <row r="20" spans="2:8" x14ac:dyDescent="0.3">
      <c r="B20" s="16" t="s">
        <v>247</v>
      </c>
      <c r="C20" s="16" t="s">
        <v>222</v>
      </c>
      <c r="D20" s="16">
        <v>0</v>
      </c>
      <c r="E20" s="16">
        <v>0.99999999999999623</v>
      </c>
      <c r="F20" s="16">
        <v>0</v>
      </c>
      <c r="G20" s="16">
        <v>2.8195631238337026E-2</v>
      </c>
      <c r="H20" s="16">
        <v>3.6853498941665807E-3</v>
      </c>
    </row>
    <row r="21" spans="2:8" x14ac:dyDescent="0.3">
      <c r="B21" s="16" t="s">
        <v>248</v>
      </c>
      <c r="C21" s="16" t="s">
        <v>223</v>
      </c>
      <c r="D21" s="16">
        <v>-5.793795044898542E-2</v>
      </c>
      <c r="E21" s="16">
        <v>0</v>
      </c>
      <c r="F21" s="16">
        <v>0</v>
      </c>
      <c r="G21" s="16">
        <v>1E+30</v>
      </c>
      <c r="H21" s="16">
        <v>5.7937950448985837E-2</v>
      </c>
    </row>
    <row r="22" spans="2:8" x14ac:dyDescent="0.3">
      <c r="B22" s="16" t="s">
        <v>249</v>
      </c>
      <c r="C22" s="16" t="s">
        <v>224</v>
      </c>
      <c r="D22" s="16">
        <v>-6.2474202259405365E-2</v>
      </c>
      <c r="E22" s="16">
        <v>0</v>
      </c>
      <c r="F22" s="16">
        <v>0</v>
      </c>
      <c r="G22" s="16">
        <v>1E+30</v>
      </c>
      <c r="H22" s="16">
        <v>6.2474202259405545E-2</v>
      </c>
    </row>
    <row r="23" spans="2:8" x14ac:dyDescent="0.3">
      <c r="B23" s="16" t="s">
        <v>250</v>
      </c>
      <c r="C23" s="16" t="s">
        <v>225</v>
      </c>
      <c r="D23" s="16">
        <v>0</v>
      </c>
      <c r="E23" s="16">
        <v>7.9936057773011271E-15</v>
      </c>
      <c r="F23" s="16">
        <v>0</v>
      </c>
      <c r="G23" s="16">
        <v>1.6476609718740847E-3</v>
      </c>
      <c r="H23" s="16">
        <v>1.5112587249522516E-2</v>
      </c>
    </row>
    <row r="24" spans="2:8" x14ac:dyDescent="0.3">
      <c r="B24" s="16" t="s">
        <v>251</v>
      </c>
      <c r="C24" s="16" t="s">
        <v>226</v>
      </c>
      <c r="D24" s="16">
        <v>-2.2396348704553537E-2</v>
      </c>
      <c r="E24" s="16">
        <v>0</v>
      </c>
      <c r="F24" s="16">
        <v>0</v>
      </c>
      <c r="G24" s="16">
        <v>1E+30</v>
      </c>
      <c r="H24" s="16">
        <v>2.2396348704553731E-2</v>
      </c>
    </row>
    <row r="25" spans="2:8" x14ac:dyDescent="0.3">
      <c r="B25" s="16" t="s">
        <v>252</v>
      </c>
      <c r="C25" s="16" t="s">
        <v>227</v>
      </c>
      <c r="D25" s="16">
        <v>-5.877181178154528E-2</v>
      </c>
      <c r="E25" s="16">
        <v>0</v>
      </c>
      <c r="F25" s="16">
        <v>0</v>
      </c>
      <c r="G25" s="16">
        <v>1E+30</v>
      </c>
      <c r="H25" s="16">
        <v>5.8771811781545232E-2</v>
      </c>
    </row>
    <row r="26" spans="2:8" x14ac:dyDescent="0.3">
      <c r="B26" s="16" t="s">
        <v>253</v>
      </c>
      <c r="C26" s="16" t="s">
        <v>228</v>
      </c>
      <c r="D26" s="16">
        <v>-7.4734700160318912E-2</v>
      </c>
      <c r="E26" s="16">
        <v>0</v>
      </c>
      <c r="F26" s="16">
        <v>0</v>
      </c>
      <c r="G26" s="16">
        <v>1E+30</v>
      </c>
      <c r="H26" s="16">
        <v>7.4734700160319092E-2</v>
      </c>
    </row>
    <row r="27" spans="2:8" x14ac:dyDescent="0.3">
      <c r="B27" s="16" t="s">
        <v>254</v>
      </c>
      <c r="C27" s="16" t="s">
        <v>229</v>
      </c>
      <c r="D27" s="16">
        <v>-1.5464851020191572E-2</v>
      </c>
      <c r="E27" s="16">
        <v>0</v>
      </c>
      <c r="F27" s="16">
        <v>0</v>
      </c>
      <c r="G27" s="16">
        <v>1E+30</v>
      </c>
      <c r="H27" s="16">
        <v>1.5464851020191711E-2</v>
      </c>
    </row>
    <row r="28" spans="2:8" x14ac:dyDescent="0.3">
      <c r="B28" s="16" t="s">
        <v>255</v>
      </c>
      <c r="C28" s="16" t="s">
        <v>230</v>
      </c>
      <c r="D28" s="16">
        <v>-2.3399751425226933E-2</v>
      </c>
      <c r="E28" s="16">
        <v>0</v>
      </c>
      <c r="F28" s="16">
        <v>0</v>
      </c>
      <c r="G28" s="16">
        <v>1E+30</v>
      </c>
      <c r="H28" s="16">
        <v>2.3399751425226944E-2</v>
      </c>
    </row>
    <row r="29" spans="2:8" x14ac:dyDescent="0.3">
      <c r="B29" s="16" t="s">
        <v>256</v>
      </c>
      <c r="C29" s="16" t="s">
        <v>231</v>
      </c>
      <c r="D29" s="16">
        <v>-9.801253265478739E-3</v>
      </c>
      <c r="E29" s="16">
        <v>0</v>
      </c>
      <c r="F29" s="16">
        <v>0</v>
      </c>
      <c r="G29" s="16">
        <v>1E+30</v>
      </c>
      <c r="H29" s="16">
        <v>9.8012532654787252E-3</v>
      </c>
    </row>
    <row r="30" spans="2:8" x14ac:dyDescent="0.3">
      <c r="B30" s="16" t="s">
        <v>257</v>
      </c>
      <c r="C30" s="16" t="s">
        <v>232</v>
      </c>
      <c r="D30" s="16">
        <v>-3.0219130545156486E-2</v>
      </c>
      <c r="E30" s="16">
        <v>0</v>
      </c>
      <c r="F30" s="16">
        <v>0</v>
      </c>
      <c r="G30" s="16">
        <v>1E+30</v>
      </c>
      <c r="H30" s="16">
        <v>3.0219130545156524E-2</v>
      </c>
    </row>
    <row r="31" spans="2:8" x14ac:dyDescent="0.3">
      <c r="B31" s="16" t="s">
        <v>258</v>
      </c>
      <c r="C31" s="16" t="s">
        <v>233</v>
      </c>
      <c r="D31" s="16">
        <v>-2.8926473522757901E-3</v>
      </c>
      <c r="E31" s="16">
        <v>0</v>
      </c>
      <c r="F31" s="16">
        <v>0</v>
      </c>
      <c r="G31" s="16">
        <v>1E+30</v>
      </c>
      <c r="H31" s="16">
        <v>2.8926473522757892E-3</v>
      </c>
    </row>
    <row r="32" spans="2:8" x14ac:dyDescent="0.3">
      <c r="B32" s="16" t="s">
        <v>259</v>
      </c>
      <c r="C32" s="16" t="s">
        <v>234</v>
      </c>
      <c r="D32" s="16">
        <v>-1.3152404285594388E-2</v>
      </c>
      <c r="E32" s="16">
        <v>0</v>
      </c>
      <c r="F32" s="16">
        <v>0</v>
      </c>
      <c r="G32" s="16">
        <v>1E+30</v>
      </c>
      <c r="H32" s="16">
        <v>1.3152404285594428E-2</v>
      </c>
    </row>
    <row r="33" spans="2:8" x14ac:dyDescent="0.3">
      <c r="B33" s="16" t="s">
        <v>260</v>
      </c>
      <c r="C33" s="16" t="s">
        <v>235</v>
      </c>
      <c r="D33" s="16">
        <v>-4.6458128224295958E-3</v>
      </c>
      <c r="E33" s="16">
        <v>0</v>
      </c>
      <c r="F33" s="16">
        <v>0</v>
      </c>
      <c r="G33" s="16">
        <v>1E+30</v>
      </c>
      <c r="H33" s="16">
        <v>4.6458128224296288E-3</v>
      </c>
    </row>
    <row r="34" spans="2:8" x14ac:dyDescent="0.3">
      <c r="B34" s="16" t="s">
        <v>261</v>
      </c>
      <c r="C34" s="16" t="s">
        <v>236</v>
      </c>
      <c r="D34" s="16">
        <v>-9.6888611571059047E-3</v>
      </c>
      <c r="E34" s="16">
        <v>0</v>
      </c>
      <c r="F34" s="16">
        <v>0</v>
      </c>
      <c r="G34" s="16">
        <v>1E+30</v>
      </c>
      <c r="H34" s="16">
        <v>9.6888611571059012E-3</v>
      </c>
    </row>
    <row r="35" spans="2:8" x14ac:dyDescent="0.3">
      <c r="B35" s="16" t="s">
        <v>262</v>
      </c>
      <c r="C35" s="16" t="s">
        <v>237</v>
      </c>
      <c r="D35" s="16">
        <v>-8.8021343398715826E-2</v>
      </c>
      <c r="E35" s="16">
        <v>0</v>
      </c>
      <c r="F35" s="16">
        <v>0</v>
      </c>
      <c r="G35" s="16">
        <v>1E+30</v>
      </c>
      <c r="H35" s="16">
        <v>8.8021343398715826E-2</v>
      </c>
    </row>
    <row r="36" spans="2:8" ht="15" thickBot="1" x14ac:dyDescent="0.35">
      <c r="B36" s="17" t="s">
        <v>263</v>
      </c>
      <c r="C36" s="17" t="s">
        <v>238</v>
      </c>
      <c r="D36" s="17">
        <v>-8.9412905746907301E-3</v>
      </c>
      <c r="E36" s="17">
        <v>0</v>
      </c>
      <c r="F36" s="17">
        <v>0</v>
      </c>
      <c r="G36" s="17">
        <v>1E+30</v>
      </c>
      <c r="H36" s="17">
        <v>8.9412905746907162E-3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6BE74-17A0-4132-9205-EE38A296157C}">
  <dimension ref="A1:H36"/>
  <sheetViews>
    <sheetView showGridLines="0" topLeftCell="A15" workbookViewId="0">
      <selection activeCell="E19" sqref="E19:E36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287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1.742332432060758E-5</v>
      </c>
      <c r="E9" s="16">
        <v>0</v>
      </c>
      <c r="F9" s="16">
        <v>0</v>
      </c>
      <c r="G9" s="16">
        <v>5117.3366544368355</v>
      </c>
      <c r="H9" s="16">
        <v>3108.4577910100215</v>
      </c>
    </row>
    <row r="10" spans="1:8" x14ac:dyDescent="0.3">
      <c r="B10" s="16" t="s">
        <v>241</v>
      </c>
      <c r="C10" s="16" t="s">
        <v>214</v>
      </c>
      <c r="D10" s="16">
        <v>1.9837815796363907E-5</v>
      </c>
      <c r="E10" s="16">
        <v>0</v>
      </c>
      <c r="F10" s="16">
        <v>0</v>
      </c>
      <c r="G10" s="16">
        <v>18717.119510280987</v>
      </c>
      <c r="H10" s="16">
        <v>30813.286901448842</v>
      </c>
    </row>
    <row r="11" spans="1:8" x14ac:dyDescent="0.3">
      <c r="B11" s="16" t="s">
        <v>242</v>
      </c>
      <c r="C11" s="16" t="s">
        <v>103</v>
      </c>
      <c r="D11" s="16">
        <v>1.8877650196032698E-5</v>
      </c>
      <c r="E11" s="16">
        <v>0</v>
      </c>
      <c r="F11" s="16">
        <v>51560</v>
      </c>
      <c r="G11" s="16">
        <v>1E+30</v>
      </c>
      <c r="H11" s="16">
        <v>30991.8051759306</v>
      </c>
    </row>
    <row r="12" spans="1:8" x14ac:dyDescent="0.3">
      <c r="B12" s="16" t="s">
        <v>243</v>
      </c>
      <c r="C12" s="16" t="s">
        <v>104</v>
      </c>
      <c r="D12" s="16">
        <v>0</v>
      </c>
      <c r="E12" s="16">
        <v>-3078.3575571898014</v>
      </c>
      <c r="F12" s="16">
        <v>2043</v>
      </c>
      <c r="G12" s="16">
        <v>3078.3575571898014</v>
      </c>
      <c r="H12" s="16">
        <v>1E+30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-1.7023077355038967</v>
      </c>
      <c r="F13" s="17">
        <v>1</v>
      </c>
      <c r="G13" s="17">
        <v>1.7023077355038967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265</v>
      </c>
      <c r="C18" s="16" t="s">
        <v>216</v>
      </c>
      <c r="D18" s="16">
        <v>1</v>
      </c>
      <c r="E18" s="16">
        <v>0.97333164410744577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-1.1079433560454655E-2</v>
      </c>
      <c r="E19" s="16">
        <v>0</v>
      </c>
      <c r="F19" s="16">
        <v>0</v>
      </c>
      <c r="G19" s="16">
        <v>1E+30</v>
      </c>
      <c r="H19" s="16">
        <v>1.1079433560454753E-2</v>
      </c>
    </row>
    <row r="20" spans="2:8" x14ac:dyDescent="0.3">
      <c r="B20" s="16" t="s">
        <v>247</v>
      </c>
      <c r="C20" s="16" t="s">
        <v>222</v>
      </c>
      <c r="D20" s="16">
        <v>-2.1497274890115436E-3</v>
      </c>
      <c r="E20" s="16">
        <v>0</v>
      </c>
      <c r="F20" s="16">
        <v>0</v>
      </c>
      <c r="G20" s="16">
        <v>1E+30</v>
      </c>
      <c r="H20" s="16">
        <v>2.1497274890116278E-3</v>
      </c>
    </row>
    <row r="21" spans="2:8" x14ac:dyDescent="0.3">
      <c r="B21" s="16" t="s">
        <v>248</v>
      </c>
      <c r="C21" s="16" t="s">
        <v>223</v>
      </c>
      <c r="D21" s="16">
        <v>-2.6668355892554119E-2</v>
      </c>
      <c r="E21" s="16">
        <v>0</v>
      </c>
      <c r="F21" s="16">
        <v>0</v>
      </c>
      <c r="G21" s="16">
        <v>1E+30</v>
      </c>
      <c r="H21" s="16">
        <v>2.6668355892554223E-2</v>
      </c>
    </row>
    <row r="22" spans="2:8" x14ac:dyDescent="0.3">
      <c r="B22" s="16" t="s">
        <v>249</v>
      </c>
      <c r="C22" s="16" t="s">
        <v>224</v>
      </c>
      <c r="D22" s="16">
        <v>-3.6760940796718322E-2</v>
      </c>
      <c r="E22" s="16">
        <v>0</v>
      </c>
      <c r="F22" s="16">
        <v>0</v>
      </c>
      <c r="G22" s="16">
        <v>1E+30</v>
      </c>
      <c r="H22" s="16">
        <v>3.676094079671853E-2</v>
      </c>
    </row>
    <row r="23" spans="2:8" x14ac:dyDescent="0.3">
      <c r="B23" s="16" t="s">
        <v>250</v>
      </c>
      <c r="C23" s="16" t="s">
        <v>225</v>
      </c>
      <c r="D23" s="16">
        <v>0</v>
      </c>
      <c r="E23" s="21">
        <v>1.9438769969632324</v>
      </c>
      <c r="F23" s="16">
        <v>0</v>
      </c>
      <c r="G23" s="16">
        <v>9.5940149454397253E-4</v>
      </c>
      <c r="H23" s="16">
        <v>2.3489631443787014E-2</v>
      </c>
    </row>
    <row r="24" spans="2:8" x14ac:dyDescent="0.3">
      <c r="B24" s="16" t="s">
        <v>251</v>
      </c>
      <c r="C24" s="16" t="s">
        <v>226</v>
      </c>
      <c r="D24" s="16">
        <v>-1.2562999613079162E-2</v>
      </c>
      <c r="E24" s="16">
        <v>0</v>
      </c>
      <c r="F24" s="16">
        <v>0</v>
      </c>
      <c r="G24" s="16">
        <v>1E+30</v>
      </c>
      <c r="H24" s="16">
        <v>1.2562999613079259E-2</v>
      </c>
    </row>
    <row r="25" spans="2:8" x14ac:dyDescent="0.3">
      <c r="B25" s="16" t="s">
        <v>252</v>
      </c>
      <c r="C25" s="16" t="s">
        <v>227</v>
      </c>
      <c r="D25" s="16">
        <v>-3.4220517302890024E-2</v>
      </c>
      <c r="E25" s="16">
        <v>0</v>
      </c>
      <c r="F25" s="16">
        <v>0</v>
      </c>
      <c r="G25" s="16">
        <v>1E+30</v>
      </c>
      <c r="H25" s="16">
        <v>3.4220517302890059E-2</v>
      </c>
    </row>
    <row r="26" spans="2:8" x14ac:dyDescent="0.3">
      <c r="B26" s="16" t="s">
        <v>253</v>
      </c>
      <c r="C26" s="16" t="s">
        <v>228</v>
      </c>
      <c r="D26" s="16">
        <v>-4.2369502265297787E-2</v>
      </c>
      <c r="E26" s="16">
        <v>0</v>
      </c>
      <c r="F26" s="16">
        <v>0</v>
      </c>
      <c r="G26" s="16">
        <v>1E+30</v>
      </c>
      <c r="H26" s="16">
        <v>4.2369502265297961E-2</v>
      </c>
    </row>
    <row r="27" spans="2:8" x14ac:dyDescent="0.3">
      <c r="B27" s="16" t="s">
        <v>254</v>
      </c>
      <c r="C27" s="16" t="s">
        <v>229</v>
      </c>
      <c r="D27" s="16">
        <v>2.2204460492503131E-16</v>
      </c>
      <c r="E27" s="21">
        <v>0.75843073854066689</v>
      </c>
      <c r="F27" s="16">
        <v>0</v>
      </c>
      <c r="G27" s="16">
        <v>1.6254984606238721E-3</v>
      </c>
      <c r="H27" s="16">
        <v>8.9251608373476198E-3</v>
      </c>
    </row>
    <row r="28" spans="2:8" x14ac:dyDescent="0.3">
      <c r="B28" s="16" t="s">
        <v>255</v>
      </c>
      <c r="C28" s="16" t="s">
        <v>230</v>
      </c>
      <c r="D28" s="16">
        <v>-1.3135854138330738E-2</v>
      </c>
      <c r="E28" s="16">
        <v>0</v>
      </c>
      <c r="F28" s="16">
        <v>0</v>
      </c>
      <c r="G28" s="16">
        <v>1E+30</v>
      </c>
      <c r="H28" s="16">
        <v>1.3135854138330854E-2</v>
      </c>
    </row>
    <row r="29" spans="2:8" x14ac:dyDescent="0.3">
      <c r="B29" s="16" t="s">
        <v>256</v>
      </c>
      <c r="C29" s="16" t="s">
        <v>231</v>
      </c>
      <c r="D29" s="16">
        <v>-4.7770329196962502E-3</v>
      </c>
      <c r="E29" s="16">
        <v>0</v>
      </c>
      <c r="F29" s="16">
        <v>0</v>
      </c>
      <c r="G29" s="16">
        <v>1E+30</v>
      </c>
      <c r="H29" s="16">
        <v>4.7770329196962485E-3</v>
      </c>
    </row>
    <row r="30" spans="2:8" x14ac:dyDescent="0.3">
      <c r="B30" s="16" t="s">
        <v>257</v>
      </c>
      <c r="C30" s="16" t="s">
        <v>232</v>
      </c>
      <c r="D30" s="16">
        <v>-1.6475258637856677E-2</v>
      </c>
      <c r="E30" s="16">
        <v>0</v>
      </c>
      <c r="F30" s="16">
        <v>0</v>
      </c>
      <c r="G30" s="16">
        <v>1E+30</v>
      </c>
      <c r="H30" s="16">
        <v>1.6475258637856684E-2</v>
      </c>
    </row>
    <row r="31" spans="2:8" x14ac:dyDescent="0.3">
      <c r="B31" s="16" t="s">
        <v>258</v>
      </c>
      <c r="C31" s="16" t="s">
        <v>233</v>
      </c>
      <c r="D31" s="16">
        <v>-1.3384808953345873E-3</v>
      </c>
      <c r="E31" s="16">
        <v>0</v>
      </c>
      <c r="F31" s="16">
        <v>0</v>
      </c>
      <c r="G31" s="16">
        <v>1E+30</v>
      </c>
      <c r="H31" s="16">
        <v>1.338480895334736E-3</v>
      </c>
    </row>
    <row r="32" spans="2:8" x14ac:dyDescent="0.3">
      <c r="B32" s="16" t="s">
        <v>259</v>
      </c>
      <c r="C32" s="16" t="s">
        <v>234</v>
      </c>
      <c r="D32" s="16">
        <v>-4.685866296987945E-3</v>
      </c>
      <c r="E32" s="16">
        <v>0</v>
      </c>
      <c r="F32" s="16">
        <v>0</v>
      </c>
      <c r="G32" s="16">
        <v>1E+30</v>
      </c>
      <c r="H32" s="16">
        <v>4.6858662969880092E-3</v>
      </c>
    </row>
    <row r="33" spans="2:8" x14ac:dyDescent="0.3">
      <c r="B33" s="16" t="s">
        <v>260</v>
      </c>
      <c r="C33" s="16" t="s">
        <v>235</v>
      </c>
      <c r="D33" s="16">
        <v>-4.130845788733184E-4</v>
      </c>
      <c r="E33" s="16">
        <v>0</v>
      </c>
      <c r="F33" s="16">
        <v>0</v>
      </c>
      <c r="G33" s="16">
        <v>1E+30</v>
      </c>
      <c r="H33" s="16">
        <v>4.1308457887335683E-4</v>
      </c>
    </row>
    <row r="34" spans="2:8" x14ac:dyDescent="0.3">
      <c r="B34" s="16" t="s">
        <v>261</v>
      </c>
      <c r="C34" s="16" t="s">
        <v>236</v>
      </c>
      <c r="D34" s="16">
        <v>-3.0076588558733547E-3</v>
      </c>
      <c r="E34" s="16">
        <v>0</v>
      </c>
      <c r="F34" s="16">
        <v>0</v>
      </c>
      <c r="G34" s="16">
        <v>1E+30</v>
      </c>
      <c r="H34" s="16">
        <v>3.0076588558733955E-3</v>
      </c>
    </row>
    <row r="35" spans="2:8" x14ac:dyDescent="0.3">
      <c r="B35" s="16" t="s">
        <v>262</v>
      </c>
      <c r="C35" s="16" t="s">
        <v>237</v>
      </c>
      <c r="D35" s="16">
        <v>-5.1709209474684048E-2</v>
      </c>
      <c r="E35" s="16">
        <v>0</v>
      </c>
      <c r="F35" s="16">
        <v>0</v>
      </c>
      <c r="G35" s="16">
        <v>1E+30</v>
      </c>
      <c r="H35" s="16">
        <v>5.1709209474684034E-2</v>
      </c>
    </row>
    <row r="36" spans="2:8" ht="15" thickBot="1" x14ac:dyDescent="0.35">
      <c r="B36" s="17" t="s">
        <v>263</v>
      </c>
      <c r="C36" s="17" t="s">
        <v>238</v>
      </c>
      <c r="D36" s="17">
        <v>-3.3716410677509939E-3</v>
      </c>
      <c r="E36" s="17">
        <v>0</v>
      </c>
      <c r="F36" s="17">
        <v>0</v>
      </c>
      <c r="G36" s="17">
        <v>1E+30</v>
      </c>
      <c r="H36" s="17">
        <v>3.3716410677510152E-3</v>
      </c>
    </row>
  </sheetData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227D3-E6A8-4841-A749-67174021E4AB}">
  <dimension ref="A1:H36"/>
  <sheetViews>
    <sheetView showGridLines="0" topLeftCell="A15" workbookViewId="0">
      <selection activeCell="E19" sqref="E19:E36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288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2.7385895977130992E-5</v>
      </c>
      <c r="E9" s="16">
        <v>0</v>
      </c>
      <c r="F9" s="16">
        <v>0</v>
      </c>
      <c r="G9" s="16">
        <v>205.80205296544239</v>
      </c>
      <c r="H9" s="16">
        <v>618.25957421542557</v>
      </c>
    </row>
    <row r="10" spans="1:8" x14ac:dyDescent="0.3">
      <c r="B10" s="16" t="s">
        <v>241</v>
      </c>
      <c r="C10" s="16" t="s">
        <v>214</v>
      </c>
      <c r="D10" s="16">
        <v>3.6284415110394104E-5</v>
      </c>
      <c r="E10" s="16">
        <v>0</v>
      </c>
      <c r="F10" s="16">
        <v>0</v>
      </c>
      <c r="G10" s="16">
        <v>2449.5480306498553</v>
      </c>
      <c r="H10" s="16">
        <v>815.38893139654158</v>
      </c>
    </row>
    <row r="11" spans="1:8" x14ac:dyDescent="0.3">
      <c r="B11" s="16" t="s">
        <v>242</v>
      </c>
      <c r="C11" s="16" t="s">
        <v>103</v>
      </c>
      <c r="D11" s="16">
        <v>3.3674193860718131E-5</v>
      </c>
      <c r="E11" s="16">
        <v>0</v>
      </c>
      <c r="F11" s="16">
        <v>27773</v>
      </c>
      <c r="G11" s="16">
        <v>1E+30</v>
      </c>
      <c r="H11" s="16">
        <v>9410.8006356225196</v>
      </c>
    </row>
    <row r="12" spans="1:8" x14ac:dyDescent="0.3">
      <c r="B12" s="16" t="s">
        <v>243</v>
      </c>
      <c r="C12" s="16" t="s">
        <v>104</v>
      </c>
      <c r="D12" s="16">
        <v>0</v>
      </c>
      <c r="E12" s="16">
        <v>-1663.5749489523359</v>
      </c>
      <c r="F12" s="16">
        <v>1082</v>
      </c>
      <c r="G12" s="16">
        <v>1663.5749489523359</v>
      </c>
      <c r="H12" s="16">
        <v>1E+30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-0.51250944665590736</v>
      </c>
      <c r="F13" s="17">
        <v>1</v>
      </c>
      <c r="G13" s="17">
        <v>0.51250944665590736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220</v>
      </c>
      <c r="C18" s="16" t="s">
        <v>216</v>
      </c>
      <c r="D18" s="16">
        <v>0.99999999999999989</v>
      </c>
      <c r="E18" s="16">
        <v>0.93523338609372464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-2.886893390223666E-2</v>
      </c>
      <c r="E19" s="16">
        <v>0</v>
      </c>
      <c r="F19" s="16">
        <v>0</v>
      </c>
      <c r="G19" s="16">
        <v>1E+30</v>
      </c>
      <c r="H19" s="16">
        <v>2.8868933902236486E-2</v>
      </c>
    </row>
    <row r="20" spans="2:8" x14ac:dyDescent="0.3">
      <c r="B20" s="16" t="s">
        <v>247</v>
      </c>
      <c r="C20" s="16" t="s">
        <v>222</v>
      </c>
      <c r="D20" s="16">
        <v>-3.3306690738754696E-16</v>
      </c>
      <c r="E20" s="21">
        <v>0.19706556672950115</v>
      </c>
      <c r="F20" s="16">
        <v>0</v>
      </c>
      <c r="G20" s="16">
        <v>2.859999191095557E-2</v>
      </c>
      <c r="H20" s="16">
        <v>3.8316153582106469E-3</v>
      </c>
    </row>
    <row r="21" spans="2:8" x14ac:dyDescent="0.3">
      <c r="B21" s="16" t="s">
        <v>248</v>
      </c>
      <c r="C21" s="16" t="s">
        <v>223</v>
      </c>
      <c r="D21" s="16">
        <v>-6.0063910086749495E-2</v>
      </c>
      <c r="E21" s="16">
        <v>0</v>
      </c>
      <c r="F21" s="16">
        <v>0</v>
      </c>
      <c r="G21" s="16">
        <v>1E+30</v>
      </c>
      <c r="H21" s="16">
        <v>6.0063910086749481E-2</v>
      </c>
    </row>
    <row r="22" spans="2:8" x14ac:dyDescent="0.3">
      <c r="B22" s="16" t="s">
        <v>249</v>
      </c>
      <c r="C22" s="16" t="s">
        <v>224</v>
      </c>
      <c r="D22" s="16">
        <v>-6.476661390627525E-2</v>
      </c>
      <c r="E22" s="16">
        <v>0</v>
      </c>
      <c r="F22" s="16">
        <v>0</v>
      </c>
      <c r="G22" s="16">
        <v>1E+30</v>
      </c>
      <c r="H22" s="16">
        <v>6.4766613906275167E-2</v>
      </c>
    </row>
    <row r="23" spans="2:8" x14ac:dyDescent="0.3">
      <c r="B23" s="16" t="s">
        <v>250</v>
      </c>
      <c r="C23" s="16" t="s">
        <v>225</v>
      </c>
      <c r="D23" s="16">
        <v>-5.5511151231257827E-17</v>
      </c>
      <c r="E23" s="21">
        <v>1.3154438799264017</v>
      </c>
      <c r="F23" s="16">
        <v>0</v>
      </c>
      <c r="G23" s="16">
        <v>1.712233512048914E-3</v>
      </c>
      <c r="H23" s="16">
        <v>1.5329320682215208E-2</v>
      </c>
    </row>
    <row r="24" spans="2:8" x14ac:dyDescent="0.3">
      <c r="B24" s="16" t="s">
        <v>251</v>
      </c>
      <c r="C24" s="16" t="s">
        <v>226</v>
      </c>
      <c r="D24" s="16">
        <v>-2.3218154326088425E-2</v>
      </c>
      <c r="E24" s="16">
        <v>0</v>
      </c>
      <c r="F24" s="16">
        <v>0</v>
      </c>
      <c r="G24" s="16">
        <v>1E+30</v>
      </c>
      <c r="H24" s="16">
        <v>2.3218154326088328E-2</v>
      </c>
    </row>
    <row r="25" spans="2:8" x14ac:dyDescent="0.3">
      <c r="B25" s="16" t="s">
        <v>252</v>
      </c>
      <c r="C25" s="16" t="s">
        <v>227</v>
      </c>
      <c r="D25" s="16">
        <v>-6.0928368903735153E-2</v>
      </c>
      <c r="E25" s="16">
        <v>0</v>
      </c>
      <c r="F25" s="16">
        <v>0</v>
      </c>
      <c r="G25" s="16">
        <v>1E+30</v>
      </c>
      <c r="H25" s="16">
        <v>6.0928368903735007E-2</v>
      </c>
    </row>
    <row r="26" spans="2:8" x14ac:dyDescent="0.3">
      <c r="B26" s="16" t="s">
        <v>253</v>
      </c>
      <c r="C26" s="16" t="s">
        <v>228</v>
      </c>
      <c r="D26" s="16">
        <v>-7.7476995233755175E-2</v>
      </c>
      <c r="E26" s="16">
        <v>0</v>
      </c>
      <c r="F26" s="16">
        <v>0</v>
      </c>
      <c r="G26" s="16">
        <v>1E+30</v>
      </c>
      <c r="H26" s="16">
        <v>7.7476995233755064E-2</v>
      </c>
    </row>
    <row r="27" spans="2:8" x14ac:dyDescent="0.3">
      <c r="B27" s="16" t="s">
        <v>254</v>
      </c>
      <c r="C27" s="16" t="s">
        <v>229</v>
      </c>
      <c r="D27" s="16">
        <v>-1.6032314121978253E-2</v>
      </c>
      <c r="E27" s="16">
        <v>0</v>
      </c>
      <c r="F27" s="16">
        <v>0</v>
      </c>
      <c r="G27" s="16">
        <v>1E+30</v>
      </c>
      <c r="H27" s="16">
        <v>1.60323141219781E-2</v>
      </c>
    </row>
    <row r="28" spans="2:8" x14ac:dyDescent="0.3">
      <c r="B28" s="16" t="s">
        <v>255</v>
      </c>
      <c r="C28" s="16" t="s">
        <v>230</v>
      </c>
      <c r="D28" s="16">
        <v>-2.4258375637478846E-2</v>
      </c>
      <c r="E28" s="16">
        <v>0</v>
      </c>
      <c r="F28" s="16">
        <v>0</v>
      </c>
      <c r="G28" s="16">
        <v>1E+30</v>
      </c>
      <c r="H28" s="16">
        <v>2.4258375637478728E-2</v>
      </c>
    </row>
    <row r="29" spans="2:8" x14ac:dyDescent="0.3">
      <c r="B29" s="16" t="s">
        <v>256</v>
      </c>
      <c r="C29" s="16" t="s">
        <v>231</v>
      </c>
      <c r="D29" s="16">
        <v>-1.0160897827988014E-2</v>
      </c>
      <c r="E29" s="16">
        <v>0</v>
      </c>
      <c r="F29" s="16">
        <v>0</v>
      </c>
      <c r="G29" s="16">
        <v>1E+30</v>
      </c>
      <c r="H29" s="16">
        <v>1.0160897827988026E-2</v>
      </c>
    </row>
    <row r="30" spans="2:8" x14ac:dyDescent="0.3">
      <c r="B30" s="16" t="s">
        <v>257</v>
      </c>
      <c r="C30" s="16" t="s">
        <v>232</v>
      </c>
      <c r="D30" s="16">
        <v>-3.1327983228578493E-2</v>
      </c>
      <c r="E30" s="16">
        <v>0</v>
      </c>
      <c r="F30" s="16">
        <v>0</v>
      </c>
      <c r="G30" s="16">
        <v>1E+30</v>
      </c>
      <c r="H30" s="16">
        <v>3.1327983228578472E-2</v>
      </c>
    </row>
    <row r="31" spans="2:8" x14ac:dyDescent="0.3">
      <c r="B31" s="16" t="s">
        <v>258</v>
      </c>
      <c r="C31" s="16" t="s">
        <v>233</v>
      </c>
      <c r="D31" s="16">
        <v>-2.9987893795578868E-3</v>
      </c>
      <c r="E31" s="16">
        <v>0</v>
      </c>
      <c r="F31" s="16">
        <v>0</v>
      </c>
      <c r="G31" s="16">
        <v>1E+30</v>
      </c>
      <c r="H31" s="16">
        <v>2.9987893795579324E-3</v>
      </c>
    </row>
    <row r="32" spans="2:8" x14ac:dyDescent="0.3">
      <c r="B32" s="16" t="s">
        <v>259</v>
      </c>
      <c r="C32" s="16" t="s">
        <v>234</v>
      </c>
      <c r="D32" s="16">
        <v>-1.363501508618431E-2</v>
      </c>
      <c r="E32" s="16">
        <v>0</v>
      </c>
      <c r="F32" s="16">
        <v>0</v>
      </c>
      <c r="G32" s="16">
        <v>1E+30</v>
      </c>
      <c r="H32" s="16">
        <v>1.3635015086184305E-2</v>
      </c>
    </row>
    <row r="33" spans="2:8" x14ac:dyDescent="0.3">
      <c r="B33" s="16" t="s">
        <v>260</v>
      </c>
      <c r="C33" s="16" t="s">
        <v>235</v>
      </c>
      <c r="D33" s="16">
        <v>-4.8162850339688035E-3</v>
      </c>
      <c r="E33" s="16">
        <v>0</v>
      </c>
      <c r="F33" s="16">
        <v>0</v>
      </c>
      <c r="G33" s="16">
        <v>1E+30</v>
      </c>
      <c r="H33" s="16">
        <v>4.8162850339687775E-3</v>
      </c>
    </row>
    <row r="34" spans="2:8" x14ac:dyDescent="0.3">
      <c r="B34" s="16" t="s">
        <v>261</v>
      </c>
      <c r="C34" s="16" t="s">
        <v>236</v>
      </c>
      <c r="D34" s="16">
        <v>-1.0044381633689536E-2</v>
      </c>
      <c r="E34" s="16">
        <v>0</v>
      </c>
      <c r="F34" s="16">
        <v>0</v>
      </c>
      <c r="G34" s="16">
        <v>1E+30</v>
      </c>
      <c r="H34" s="16">
        <v>1.0044381633689523E-2</v>
      </c>
    </row>
    <row r="35" spans="2:8" x14ac:dyDescent="0.3">
      <c r="B35" s="16" t="s">
        <v>262</v>
      </c>
      <c r="C35" s="16" t="s">
        <v>237</v>
      </c>
      <c r="D35" s="16">
        <v>-9.125117500092654E-2</v>
      </c>
      <c r="E35" s="16">
        <v>0</v>
      </c>
      <c r="F35" s="16">
        <v>0</v>
      </c>
      <c r="G35" s="16">
        <v>1E+30</v>
      </c>
      <c r="H35" s="16">
        <v>9.1251175000926554E-2</v>
      </c>
    </row>
    <row r="36" spans="2:8" ht="15" thickBot="1" x14ac:dyDescent="0.35">
      <c r="B36" s="17" t="s">
        <v>263</v>
      </c>
      <c r="C36" s="17" t="s">
        <v>238</v>
      </c>
      <c r="D36" s="17">
        <v>-9.2693798965255703E-3</v>
      </c>
      <c r="E36" s="17">
        <v>0</v>
      </c>
      <c r="F36" s="17">
        <v>0</v>
      </c>
      <c r="G36" s="17">
        <v>1E+30</v>
      </c>
      <c r="H36" s="17">
        <v>9.2693798965255546E-3</v>
      </c>
    </row>
  </sheetData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2C8D-3F44-4576-8869-11C4C57E7864}">
  <dimension ref="A1:H36"/>
  <sheetViews>
    <sheetView showGridLines="0" topLeftCell="A12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289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5.5978869410429749E-5</v>
      </c>
      <c r="E9" s="16">
        <v>0</v>
      </c>
      <c r="F9" s="16">
        <v>0</v>
      </c>
      <c r="G9" s="16">
        <v>1.6974328570585168E-11</v>
      </c>
      <c r="H9" s="16">
        <v>0</v>
      </c>
    </row>
    <row r="10" spans="1:8" x14ac:dyDescent="0.3">
      <c r="B10" s="16" t="s">
        <v>241</v>
      </c>
      <c r="C10" s="16" t="s">
        <v>214</v>
      </c>
      <c r="D10" s="16">
        <v>6.3673783677738112E-5</v>
      </c>
      <c r="E10" s="16">
        <v>0</v>
      </c>
      <c r="F10" s="16">
        <v>0</v>
      </c>
      <c r="G10" s="16">
        <v>0</v>
      </c>
      <c r="H10" s="16">
        <v>6.9867934488531496E-11</v>
      </c>
    </row>
    <row r="11" spans="1:8" x14ac:dyDescent="0.3">
      <c r="B11" s="16" t="s">
        <v>242</v>
      </c>
      <c r="C11" s="16" t="s">
        <v>103</v>
      </c>
      <c r="D11" s="16">
        <v>6.0491826910207565E-5</v>
      </c>
      <c r="E11" s="16">
        <v>0</v>
      </c>
      <c r="F11" s="16">
        <v>16501</v>
      </c>
      <c r="G11" s="16">
        <v>0</v>
      </c>
      <c r="H11" s="16">
        <v>0</v>
      </c>
    </row>
    <row r="12" spans="1:8" x14ac:dyDescent="0.3">
      <c r="B12" s="16" t="s">
        <v>243</v>
      </c>
      <c r="C12" s="16" t="s">
        <v>104</v>
      </c>
      <c r="D12" s="16">
        <v>1.0839953384818329E-6</v>
      </c>
      <c r="E12" s="16">
        <v>0</v>
      </c>
      <c r="F12" s="16">
        <v>1683</v>
      </c>
      <c r="G12" s="16">
        <v>0</v>
      </c>
      <c r="H12" s="16">
        <v>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-1.7763568394002505E-15</v>
      </c>
      <c r="F13" s="17">
        <v>1</v>
      </c>
      <c r="G13" s="17">
        <v>1.7763568394002505E-15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266</v>
      </c>
      <c r="C18" s="16" t="s">
        <v>216</v>
      </c>
      <c r="D18" s="16">
        <v>1</v>
      </c>
      <c r="E18" s="16">
        <v>0.99999999999999978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-3.5611755029679282E-2</v>
      </c>
      <c r="E19" s="16">
        <v>0</v>
      </c>
      <c r="F19" s="16">
        <v>0</v>
      </c>
      <c r="G19" s="16">
        <v>1E+30</v>
      </c>
      <c r="H19" s="16">
        <v>3.5611755029679379E-2</v>
      </c>
    </row>
    <row r="20" spans="2:8" x14ac:dyDescent="0.3">
      <c r="B20" s="16" t="s">
        <v>247</v>
      </c>
      <c r="C20" s="16" t="s">
        <v>222</v>
      </c>
      <c r="D20" s="16">
        <v>-7.4273020743000906E-3</v>
      </c>
      <c r="E20" s="16">
        <v>0</v>
      </c>
      <c r="F20" s="16">
        <v>0</v>
      </c>
      <c r="G20" s="16">
        <v>1E+30</v>
      </c>
      <c r="H20" s="16">
        <v>7.427302074300049E-3</v>
      </c>
    </row>
    <row r="21" spans="2:8" x14ac:dyDescent="0.3">
      <c r="B21" s="16" t="s">
        <v>248</v>
      </c>
      <c r="C21" s="16" t="s">
        <v>223</v>
      </c>
      <c r="D21" s="16">
        <v>-8.8945513496834216E-2</v>
      </c>
      <c r="E21" s="16">
        <v>0</v>
      </c>
      <c r="F21" s="16">
        <v>0</v>
      </c>
      <c r="G21" s="16">
        <v>1E+30</v>
      </c>
      <c r="H21" s="16">
        <v>8.8945513496834439E-2</v>
      </c>
    </row>
    <row r="22" spans="2:8" x14ac:dyDescent="0.3">
      <c r="B22" s="16" t="s">
        <v>249</v>
      </c>
      <c r="C22" s="16" t="s">
        <v>224</v>
      </c>
      <c r="D22" s="16">
        <v>-0.11992023437134613</v>
      </c>
      <c r="E22" s="16">
        <v>0</v>
      </c>
      <c r="F22" s="16">
        <v>0</v>
      </c>
      <c r="G22" s="16">
        <v>1E+30</v>
      </c>
      <c r="H22" s="16">
        <v>0.11992023437134626</v>
      </c>
    </row>
    <row r="23" spans="2:8" x14ac:dyDescent="0.3">
      <c r="B23" s="16" t="s">
        <v>250</v>
      </c>
      <c r="C23" s="16" t="s">
        <v>225</v>
      </c>
      <c r="D23" s="16">
        <v>-1.1102230246251565E-16</v>
      </c>
      <c r="E23" s="16">
        <v>1</v>
      </c>
      <c r="F23" s="16">
        <v>0</v>
      </c>
      <c r="G23" s="16">
        <v>3.2881027955033136E-3</v>
      </c>
      <c r="H23" s="16">
        <v>4.3236549456407078E-2</v>
      </c>
    </row>
    <row r="24" spans="2:8" x14ac:dyDescent="0.3">
      <c r="B24" s="16" t="s">
        <v>251</v>
      </c>
      <c r="C24" s="16" t="s">
        <v>226</v>
      </c>
      <c r="D24" s="16">
        <v>-4.0877047767826413E-2</v>
      </c>
      <c r="E24" s="16">
        <v>0</v>
      </c>
      <c r="F24" s="16">
        <v>0</v>
      </c>
      <c r="G24" s="16">
        <v>1E+30</v>
      </c>
      <c r="H24" s="16">
        <v>4.087704776782633E-2</v>
      </c>
    </row>
    <row r="25" spans="2:8" x14ac:dyDescent="0.3">
      <c r="B25" s="16" t="s">
        <v>252</v>
      </c>
      <c r="C25" s="16" t="s">
        <v>227</v>
      </c>
      <c r="D25" s="16">
        <v>-0.1110203603356863</v>
      </c>
      <c r="E25" s="16">
        <v>0</v>
      </c>
      <c r="F25" s="16">
        <v>0</v>
      </c>
      <c r="G25" s="16">
        <v>1E+30</v>
      </c>
      <c r="H25" s="16">
        <v>0.11102036033568619</v>
      </c>
    </row>
    <row r="26" spans="2:8" x14ac:dyDescent="0.3">
      <c r="B26" s="16" t="s">
        <v>253</v>
      </c>
      <c r="C26" s="16" t="s">
        <v>228</v>
      </c>
      <c r="D26" s="16">
        <v>-0.13650030358562937</v>
      </c>
      <c r="E26" s="16">
        <v>0</v>
      </c>
      <c r="F26" s="16">
        <v>0</v>
      </c>
      <c r="G26" s="16">
        <v>1E+30</v>
      </c>
      <c r="H26" s="16">
        <v>0.1365003035856297</v>
      </c>
    </row>
    <row r="27" spans="2:8" x14ac:dyDescent="0.3">
      <c r="B27" s="16" t="s">
        <v>254</v>
      </c>
      <c r="C27" s="16" t="s">
        <v>229</v>
      </c>
      <c r="D27" s="16">
        <v>2.2204460492503131E-16</v>
      </c>
      <c r="E27" s="16">
        <v>0</v>
      </c>
      <c r="F27" s="16">
        <v>0</v>
      </c>
      <c r="G27" s="16">
        <v>5.2116906794855413E-3</v>
      </c>
      <c r="H27" s="16">
        <v>4.0027683688166213E-2</v>
      </c>
    </row>
    <row r="28" spans="2:8" x14ac:dyDescent="0.3">
      <c r="B28" s="16" t="s">
        <v>255</v>
      </c>
      <c r="C28" s="16" t="s">
        <v>230</v>
      </c>
      <c r="D28" s="16">
        <v>-4.2054745915102165E-2</v>
      </c>
      <c r="E28" s="16">
        <v>0</v>
      </c>
      <c r="F28" s="16">
        <v>0</v>
      </c>
      <c r="G28" s="16">
        <v>1E+30</v>
      </c>
      <c r="H28" s="16">
        <v>4.2054745915102394E-2</v>
      </c>
    </row>
    <row r="29" spans="2:8" x14ac:dyDescent="0.3">
      <c r="B29" s="16" t="s">
        <v>256</v>
      </c>
      <c r="C29" s="16" t="s">
        <v>231</v>
      </c>
      <c r="D29" s="16">
        <v>-1.3784377568665115E-2</v>
      </c>
      <c r="E29" s="16">
        <v>0</v>
      </c>
      <c r="F29" s="16">
        <v>0</v>
      </c>
      <c r="G29" s="16">
        <v>1E+30</v>
      </c>
      <c r="H29" s="16">
        <v>1.3784377568665105E-2</v>
      </c>
    </row>
    <row r="30" spans="2:8" x14ac:dyDescent="0.3">
      <c r="B30" s="16" t="s">
        <v>257</v>
      </c>
      <c r="C30" s="16" t="s">
        <v>232</v>
      </c>
      <c r="D30" s="16">
        <v>-5.2482809918034223E-2</v>
      </c>
      <c r="E30" s="16">
        <v>0</v>
      </c>
      <c r="F30" s="16">
        <v>0</v>
      </c>
      <c r="G30" s="16">
        <v>1E+30</v>
      </c>
      <c r="H30" s="16">
        <v>5.2482809918034209E-2</v>
      </c>
    </row>
    <row r="31" spans="2:8" x14ac:dyDescent="0.3">
      <c r="B31" s="16" t="s">
        <v>258</v>
      </c>
      <c r="C31" s="16" t="s">
        <v>233</v>
      </c>
      <c r="D31" s="16">
        <v>-3.6260817197939499E-3</v>
      </c>
      <c r="E31" s="16">
        <v>0</v>
      </c>
      <c r="F31" s="16">
        <v>0</v>
      </c>
      <c r="G31" s="16">
        <v>1E+30</v>
      </c>
      <c r="H31" s="16">
        <v>3.6260817197939915E-3</v>
      </c>
    </row>
    <row r="32" spans="2:8" x14ac:dyDescent="0.3">
      <c r="B32" s="16" t="s">
        <v>259</v>
      </c>
      <c r="C32" s="16" t="s">
        <v>234</v>
      </c>
      <c r="D32" s="16">
        <v>-1.3863046966395565E-2</v>
      </c>
      <c r="E32" s="16">
        <v>0</v>
      </c>
      <c r="F32" s="16">
        <v>0</v>
      </c>
      <c r="G32" s="16">
        <v>1E+30</v>
      </c>
      <c r="H32" s="16">
        <v>1.3863046966395634E-2</v>
      </c>
    </row>
    <row r="33" spans="2:8" x14ac:dyDescent="0.3">
      <c r="B33" s="16" t="s">
        <v>260</v>
      </c>
      <c r="C33" s="16" t="s">
        <v>235</v>
      </c>
      <c r="D33" s="16">
        <v>-5.5511151231257827E-17</v>
      </c>
      <c r="E33" s="16">
        <v>0</v>
      </c>
      <c r="F33" s="16">
        <v>0</v>
      </c>
      <c r="G33" s="16">
        <v>7.1683897141112214E-3</v>
      </c>
      <c r="H33" s="16">
        <v>1.3261137671208385E-3</v>
      </c>
    </row>
    <row r="34" spans="2:8" x14ac:dyDescent="0.3">
      <c r="B34" s="16" t="s">
        <v>261</v>
      </c>
      <c r="C34" s="16" t="s">
        <v>236</v>
      </c>
      <c r="D34" s="16">
        <v>-8.1911683848475692E-3</v>
      </c>
      <c r="E34" s="16">
        <v>0</v>
      </c>
      <c r="F34" s="16">
        <v>0</v>
      </c>
      <c r="G34" s="16">
        <v>1E+30</v>
      </c>
      <c r="H34" s="16">
        <v>8.1911683848475657E-3</v>
      </c>
    </row>
    <row r="35" spans="2:8" x14ac:dyDescent="0.3">
      <c r="B35" s="16" t="s">
        <v>262</v>
      </c>
      <c r="C35" s="16" t="s">
        <v>237</v>
      </c>
      <c r="D35" s="16">
        <v>-0.16417009737354721</v>
      </c>
      <c r="E35" s="16">
        <v>0</v>
      </c>
      <c r="F35" s="16">
        <v>0</v>
      </c>
      <c r="G35" s="16">
        <v>1E+30</v>
      </c>
      <c r="H35" s="16">
        <v>0.16417009737354718</v>
      </c>
    </row>
    <row r="36" spans="2:8" ht="15" thickBot="1" x14ac:dyDescent="0.35">
      <c r="B36" s="17" t="s">
        <v>263</v>
      </c>
      <c r="C36" s="17" t="s">
        <v>238</v>
      </c>
      <c r="D36" s="17">
        <v>-9.2870612709222145E-3</v>
      </c>
      <c r="E36" s="17">
        <v>0</v>
      </c>
      <c r="F36" s="17">
        <v>0</v>
      </c>
      <c r="G36" s="17">
        <v>1E+30</v>
      </c>
      <c r="H36" s="17">
        <v>9.287061270922204E-3</v>
      </c>
    </row>
  </sheetData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45D7-0328-43AF-B531-90D0DAD7B14F}">
  <dimension ref="A1:H36"/>
  <sheetViews>
    <sheetView showGridLines="0" topLeftCell="A12" workbookViewId="0">
      <selection activeCell="E19" sqref="E19:E36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290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4.4528313598326714E-5</v>
      </c>
      <c r="E9" s="16">
        <v>0</v>
      </c>
      <c r="F9" s="16">
        <v>0</v>
      </c>
      <c r="G9" s="16">
        <v>1455.9671044175493</v>
      </c>
      <c r="H9" s="16">
        <v>209.69467773467926</v>
      </c>
    </row>
    <row r="10" spans="1:8" x14ac:dyDescent="0.3">
      <c r="B10" s="16" t="s">
        <v>241</v>
      </c>
      <c r="C10" s="16" t="s">
        <v>214</v>
      </c>
      <c r="D10" s="16">
        <v>5.0698963448757556E-5</v>
      </c>
      <c r="E10" s="16">
        <v>0</v>
      </c>
      <c r="F10" s="16">
        <v>0</v>
      </c>
      <c r="G10" s="16">
        <v>913.22059971796853</v>
      </c>
      <c r="H10" s="16">
        <v>6340.7386712416055</v>
      </c>
    </row>
    <row r="11" spans="1:8" x14ac:dyDescent="0.3">
      <c r="B11" s="16" t="s">
        <v>242</v>
      </c>
      <c r="C11" s="16" t="s">
        <v>103</v>
      </c>
      <c r="D11" s="16">
        <v>4.8245094475699077E-5</v>
      </c>
      <c r="E11" s="16">
        <v>0</v>
      </c>
      <c r="F11" s="16">
        <v>20062</v>
      </c>
      <c r="G11" s="16">
        <v>1E+30</v>
      </c>
      <c r="H11" s="16">
        <v>3183.8419482991289</v>
      </c>
    </row>
    <row r="12" spans="1:8" x14ac:dyDescent="0.3">
      <c r="B12" s="16" t="s">
        <v>243</v>
      </c>
      <c r="C12" s="16" t="s">
        <v>104</v>
      </c>
      <c r="D12" s="16">
        <v>0</v>
      </c>
      <c r="E12" s="16">
        <v>-504.35874528069678</v>
      </c>
      <c r="F12" s="16">
        <v>1533</v>
      </c>
      <c r="G12" s="16">
        <v>504.35874528069678</v>
      </c>
      <c r="H12" s="16">
        <v>1E+30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-0.18863681324386494</v>
      </c>
      <c r="F13" s="17">
        <v>1</v>
      </c>
      <c r="G13" s="17">
        <v>0.18863681324386494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267</v>
      </c>
      <c r="C18" s="16" t="s">
        <v>216</v>
      </c>
      <c r="D18" s="16">
        <v>1</v>
      </c>
      <c r="E18" s="16">
        <v>0.96789308537147511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-2.8315405429734541E-2</v>
      </c>
      <c r="E19" s="16">
        <v>0</v>
      </c>
      <c r="F19" s="16">
        <v>0</v>
      </c>
      <c r="G19" s="16">
        <v>1E+30</v>
      </c>
      <c r="H19" s="16">
        <v>2.8315405429734365E-2</v>
      </c>
    </row>
    <row r="20" spans="2:8" x14ac:dyDescent="0.3">
      <c r="B20" s="16" t="s">
        <v>247</v>
      </c>
      <c r="C20" s="16" t="s">
        <v>222</v>
      </c>
      <c r="D20" s="16">
        <v>-5.4939997683702835E-3</v>
      </c>
      <c r="E20" s="16">
        <v>0</v>
      </c>
      <c r="F20" s="16">
        <v>0</v>
      </c>
      <c r="G20" s="16">
        <v>1E+30</v>
      </c>
      <c r="H20" s="16">
        <v>5.4939997683697795E-3</v>
      </c>
    </row>
    <row r="21" spans="2:8" x14ac:dyDescent="0.3">
      <c r="B21" s="16" t="s">
        <v>248</v>
      </c>
      <c r="C21" s="16" t="s">
        <v>223</v>
      </c>
      <c r="D21" s="16">
        <v>-6.8155588020073044E-2</v>
      </c>
      <c r="E21" s="16">
        <v>0</v>
      </c>
      <c r="F21" s="16">
        <v>0</v>
      </c>
      <c r="G21" s="16">
        <v>1E+30</v>
      </c>
      <c r="H21" s="16">
        <v>6.8155588020072558E-2</v>
      </c>
    </row>
    <row r="22" spans="2:8" x14ac:dyDescent="0.3">
      <c r="B22" s="16" t="s">
        <v>249</v>
      </c>
      <c r="C22" s="16" t="s">
        <v>224</v>
      </c>
      <c r="D22" s="16">
        <v>-9.3948931320170015E-2</v>
      </c>
      <c r="E22" s="16">
        <v>0</v>
      </c>
      <c r="F22" s="16">
        <v>0</v>
      </c>
      <c r="G22" s="16">
        <v>1E+30</v>
      </c>
      <c r="H22" s="16">
        <v>9.394893132016971E-2</v>
      </c>
    </row>
    <row r="23" spans="2:8" x14ac:dyDescent="0.3">
      <c r="B23" s="16" t="s">
        <v>250</v>
      </c>
      <c r="C23" s="16" t="s">
        <v>225</v>
      </c>
      <c r="D23" s="16">
        <v>-3.3306690738754696E-16</v>
      </c>
      <c r="E23" s="21">
        <v>1.1398497912977399</v>
      </c>
      <c r="F23" s="16">
        <v>0</v>
      </c>
      <c r="G23" s="16">
        <v>2.4543004458315435E-3</v>
      </c>
      <c r="H23" s="16">
        <v>5.8637119674462383E-2</v>
      </c>
    </row>
    <row r="24" spans="2:8" x14ac:dyDescent="0.3">
      <c r="B24" s="16" t="s">
        <v>251</v>
      </c>
      <c r="C24" s="16" t="s">
        <v>226</v>
      </c>
      <c r="D24" s="16">
        <v>-3.2106914628524996E-2</v>
      </c>
      <c r="E24" s="16">
        <v>0</v>
      </c>
      <c r="F24" s="16">
        <v>0</v>
      </c>
      <c r="G24" s="16">
        <v>1E+30</v>
      </c>
      <c r="H24" s="16">
        <v>3.2106914628524781E-2</v>
      </c>
    </row>
    <row r="25" spans="2:8" x14ac:dyDescent="0.3">
      <c r="B25" s="16" t="s">
        <v>252</v>
      </c>
      <c r="C25" s="16" t="s">
        <v>227</v>
      </c>
      <c r="D25" s="16">
        <v>-8.7456440454236006E-2</v>
      </c>
      <c r="E25" s="16">
        <v>0</v>
      </c>
      <c r="F25" s="16">
        <v>0</v>
      </c>
      <c r="G25" s="16">
        <v>1E+30</v>
      </c>
      <c r="H25" s="16">
        <v>8.7456440454235909E-2</v>
      </c>
    </row>
    <row r="26" spans="2:8" x14ac:dyDescent="0.3">
      <c r="B26" s="16" t="s">
        <v>253</v>
      </c>
      <c r="C26" s="16" t="s">
        <v>228</v>
      </c>
      <c r="D26" s="16">
        <v>-0.10828257852278855</v>
      </c>
      <c r="E26" s="16">
        <v>0</v>
      </c>
      <c r="F26" s="16">
        <v>0</v>
      </c>
      <c r="G26" s="16">
        <v>1E+30</v>
      </c>
      <c r="H26" s="16">
        <v>0.10828257852278836</v>
      </c>
    </row>
    <row r="27" spans="2:8" x14ac:dyDescent="0.3">
      <c r="B27" s="16" t="s">
        <v>254</v>
      </c>
      <c r="C27" s="16" t="s">
        <v>229</v>
      </c>
      <c r="D27" s="16">
        <v>-2.2204460492503131E-16</v>
      </c>
      <c r="E27" s="21">
        <v>4.8787021946127399E-2</v>
      </c>
      <c r="F27" s="16">
        <v>0</v>
      </c>
      <c r="G27" s="16">
        <v>4.149854704865545E-3</v>
      </c>
      <c r="H27" s="16">
        <v>2.2942969971661478E-2</v>
      </c>
    </row>
    <row r="28" spans="2:8" x14ac:dyDescent="0.3">
      <c r="B28" s="16" t="s">
        <v>255</v>
      </c>
      <c r="C28" s="16" t="s">
        <v>230</v>
      </c>
      <c r="D28" s="16">
        <v>-3.3570943276401977E-2</v>
      </c>
      <c r="E28" s="16">
        <v>0</v>
      </c>
      <c r="F28" s="16">
        <v>0</v>
      </c>
      <c r="G28" s="16">
        <v>1E+30</v>
      </c>
      <c r="H28" s="16">
        <v>3.3570943276402136E-2</v>
      </c>
    </row>
    <row r="29" spans="2:8" x14ac:dyDescent="0.3">
      <c r="B29" s="16" t="s">
        <v>256</v>
      </c>
      <c r="C29" s="16" t="s">
        <v>231</v>
      </c>
      <c r="D29" s="16">
        <v>-1.2208532424904564E-2</v>
      </c>
      <c r="E29" s="16">
        <v>0</v>
      </c>
      <c r="F29" s="16">
        <v>0</v>
      </c>
      <c r="G29" s="16">
        <v>1E+30</v>
      </c>
      <c r="H29" s="16">
        <v>1.2208532424904562E-2</v>
      </c>
    </row>
    <row r="30" spans="2:8" x14ac:dyDescent="0.3">
      <c r="B30" s="16" t="s">
        <v>257</v>
      </c>
      <c r="C30" s="16" t="s">
        <v>232</v>
      </c>
      <c r="D30" s="16">
        <v>-4.2105368053806824E-2</v>
      </c>
      <c r="E30" s="16">
        <v>0</v>
      </c>
      <c r="F30" s="16">
        <v>0</v>
      </c>
      <c r="G30" s="16">
        <v>1E+30</v>
      </c>
      <c r="H30" s="16">
        <v>4.2105368053806776E-2</v>
      </c>
    </row>
    <row r="31" spans="2:8" x14ac:dyDescent="0.3">
      <c r="B31" s="16" t="s">
        <v>258</v>
      </c>
      <c r="C31" s="16" t="s">
        <v>233</v>
      </c>
      <c r="D31" s="16">
        <v>-3.4207190290512779E-3</v>
      </c>
      <c r="E31" s="16">
        <v>0</v>
      </c>
      <c r="F31" s="16">
        <v>0</v>
      </c>
      <c r="G31" s="16">
        <v>1E+30</v>
      </c>
      <c r="H31" s="16">
        <v>3.4207190290510281E-3</v>
      </c>
    </row>
    <row r="32" spans="2:8" x14ac:dyDescent="0.3">
      <c r="B32" s="16" t="s">
        <v>259</v>
      </c>
      <c r="C32" s="16" t="s">
        <v>234</v>
      </c>
      <c r="D32" s="16">
        <v>-1.1975540379818683E-2</v>
      </c>
      <c r="E32" s="16">
        <v>0</v>
      </c>
      <c r="F32" s="16">
        <v>0</v>
      </c>
      <c r="G32" s="16">
        <v>1E+30</v>
      </c>
      <c r="H32" s="16">
        <v>1.1975540379818609E-2</v>
      </c>
    </row>
    <row r="33" spans="2:8" x14ac:dyDescent="0.3">
      <c r="B33" s="16" t="s">
        <v>260</v>
      </c>
      <c r="C33" s="16" t="s">
        <v>235</v>
      </c>
      <c r="D33" s="16">
        <v>-1.0557089641585193E-3</v>
      </c>
      <c r="E33" s="16">
        <v>0</v>
      </c>
      <c r="F33" s="16">
        <v>0</v>
      </c>
      <c r="G33" s="16">
        <v>1E+30</v>
      </c>
      <c r="H33" s="16">
        <v>1.0557089641584896E-3</v>
      </c>
    </row>
    <row r="34" spans="2:8" x14ac:dyDescent="0.3">
      <c r="B34" s="16" t="s">
        <v>261</v>
      </c>
      <c r="C34" s="16" t="s">
        <v>236</v>
      </c>
      <c r="D34" s="16">
        <v>-7.6865915061176682E-3</v>
      </c>
      <c r="E34" s="16">
        <v>0</v>
      </c>
      <c r="F34" s="16">
        <v>0</v>
      </c>
      <c r="G34" s="16">
        <v>1E+30</v>
      </c>
      <c r="H34" s="16">
        <v>7.6865915061176248E-3</v>
      </c>
    </row>
    <row r="35" spans="2:8" x14ac:dyDescent="0.3">
      <c r="B35" s="16" t="s">
        <v>262</v>
      </c>
      <c r="C35" s="16" t="s">
        <v>237</v>
      </c>
      <c r="D35" s="16">
        <v>-0.13215181288262945</v>
      </c>
      <c r="E35" s="16">
        <v>0</v>
      </c>
      <c r="F35" s="16">
        <v>0</v>
      </c>
      <c r="G35" s="16">
        <v>1E+30</v>
      </c>
      <c r="H35" s="16">
        <v>0.13215181288262942</v>
      </c>
    </row>
    <row r="36" spans="2:8" ht="15" thickBot="1" x14ac:dyDescent="0.35">
      <c r="B36" s="17" t="s">
        <v>263</v>
      </c>
      <c r="C36" s="17" t="s">
        <v>238</v>
      </c>
      <c r="D36" s="17">
        <v>-8.6168108934437659E-3</v>
      </c>
      <c r="E36" s="17">
        <v>0</v>
      </c>
      <c r="F36" s="17">
        <v>0</v>
      </c>
      <c r="G36" s="17">
        <v>1E+30</v>
      </c>
      <c r="H36" s="17">
        <v>8.6168108934437417E-3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F0323-F5C6-4B84-8F1A-83816CC887E7}">
  <dimension ref="A1:I35"/>
  <sheetViews>
    <sheetView showGridLines="0" topLeftCell="A12" workbookViewId="0">
      <selection activeCell="E15" sqref="E15:E34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5" width="12.664062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171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4.7229803014421706E-5</v>
      </c>
      <c r="E9" s="16">
        <v>0</v>
      </c>
      <c r="F9" s="16">
        <v>0</v>
      </c>
      <c r="G9" s="16">
        <v>726.79657272260363</v>
      </c>
      <c r="H9" s="16">
        <v>2141.521546876123</v>
      </c>
    </row>
    <row r="10" spans="1:8" x14ac:dyDescent="0.3">
      <c r="B10" s="16" t="s">
        <v>129</v>
      </c>
      <c r="C10" s="16" t="s">
        <v>104</v>
      </c>
      <c r="D10" s="16">
        <v>5.3774820181157132E-5</v>
      </c>
      <c r="E10" s="16">
        <v>0</v>
      </c>
      <c r="F10" s="16">
        <v>0</v>
      </c>
      <c r="G10" s="16">
        <v>21655.693656649211</v>
      </c>
      <c r="H10" s="16">
        <v>7349.5799995766774</v>
      </c>
    </row>
    <row r="11" spans="1:8" x14ac:dyDescent="0.3">
      <c r="B11" s="16" t="s">
        <v>130</v>
      </c>
      <c r="C11" s="16" t="s">
        <v>105</v>
      </c>
      <c r="D11" s="16">
        <v>5.1172077367535078E-5</v>
      </c>
      <c r="E11" s="16">
        <v>0</v>
      </c>
      <c r="F11" s="16">
        <v>18955</v>
      </c>
      <c r="G11" s="16">
        <v>1E+30</v>
      </c>
      <c r="H11" s="16">
        <v>449.32805270205148</v>
      </c>
    </row>
    <row r="12" spans="1:8" ht="15" thickBot="1" x14ac:dyDescent="0.35">
      <c r="B12" s="17" t="s">
        <v>131</v>
      </c>
      <c r="C12" s="17" t="s">
        <v>106</v>
      </c>
      <c r="D12" s="17">
        <v>0</v>
      </c>
      <c r="E12" s="17">
        <v>-43.462199947519821</v>
      </c>
      <c r="F12" s="17">
        <v>1790</v>
      </c>
      <c r="G12" s="17">
        <v>43.462199947519821</v>
      </c>
      <c r="H12" s="17">
        <v>1E+30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9" x14ac:dyDescent="0.3">
      <c r="B17" s="16" t="s">
        <v>132</v>
      </c>
      <c r="C17" s="16" t="s">
        <v>133</v>
      </c>
      <c r="D17" s="16">
        <v>-3.0033273498372703E-2</v>
      </c>
      <c r="E17" s="16">
        <v>0</v>
      </c>
      <c r="F17" s="16">
        <v>0</v>
      </c>
      <c r="G17" s="16">
        <v>1E+30</v>
      </c>
      <c r="H17" s="16">
        <v>3.003327349837253E-2</v>
      </c>
    </row>
    <row r="18" spans="2:9" x14ac:dyDescent="0.3">
      <c r="B18" s="16" t="s">
        <v>134</v>
      </c>
      <c r="C18" s="16" t="s">
        <v>135</v>
      </c>
      <c r="D18" s="16">
        <v>-5.8273153832424374E-3</v>
      </c>
      <c r="E18" s="16">
        <v>0</v>
      </c>
      <c r="F18" s="16">
        <v>0</v>
      </c>
      <c r="G18" s="16">
        <v>1E+30</v>
      </c>
      <c r="H18" s="16">
        <v>5.8273153832422448E-3</v>
      </c>
    </row>
    <row r="19" spans="2:9" x14ac:dyDescent="0.3">
      <c r="B19" s="16" t="s">
        <v>136</v>
      </c>
      <c r="C19" s="16" t="s">
        <v>137</v>
      </c>
      <c r="D19" s="16">
        <v>-7.2290521162721166E-2</v>
      </c>
      <c r="E19" s="16">
        <v>0</v>
      </c>
      <c r="F19" s="16">
        <v>0</v>
      </c>
      <c r="G19" s="16">
        <v>1E+30</v>
      </c>
      <c r="H19" s="16">
        <v>7.2290521162720861E-2</v>
      </c>
    </row>
    <row r="20" spans="2:9" x14ac:dyDescent="0.3">
      <c r="B20" s="16" t="s">
        <v>138</v>
      </c>
      <c r="C20" s="16" t="s">
        <v>139</v>
      </c>
      <c r="D20" s="16">
        <v>-9.9648721478502011E-2</v>
      </c>
      <c r="E20" s="16">
        <v>0</v>
      </c>
      <c r="F20" s="16">
        <v>0</v>
      </c>
      <c r="G20" s="16">
        <v>1E+30</v>
      </c>
      <c r="H20" s="16">
        <v>9.9648721478501845E-2</v>
      </c>
    </row>
    <row r="21" spans="2:9" x14ac:dyDescent="0.3">
      <c r="B21" s="16" t="s">
        <v>140</v>
      </c>
      <c r="C21" s="16" t="s">
        <v>141</v>
      </c>
      <c r="D21" s="16">
        <v>0</v>
      </c>
      <c r="E21" s="21">
        <v>0.29107109435436485</v>
      </c>
      <c r="F21" s="16">
        <v>0</v>
      </c>
      <c r="G21" s="16">
        <v>2.5977214641061904E-3</v>
      </c>
      <c r="H21" s="16">
        <v>6.5494936437068996E-2</v>
      </c>
      <c r="I21" t="s">
        <v>175</v>
      </c>
    </row>
    <row r="22" spans="2:9" x14ac:dyDescent="0.3">
      <c r="B22" s="16" t="s">
        <v>142</v>
      </c>
      <c r="C22" s="16" t="s">
        <v>143</v>
      </c>
      <c r="D22" s="16">
        <v>-3.4054809867379854E-2</v>
      </c>
      <c r="E22" s="16">
        <v>0</v>
      </c>
      <c r="F22" s="16">
        <v>0</v>
      </c>
      <c r="G22" s="16">
        <v>1E+30</v>
      </c>
      <c r="H22" s="16">
        <v>3.4054809867379847E-2</v>
      </c>
    </row>
    <row r="23" spans="2:9" x14ac:dyDescent="0.3">
      <c r="B23" s="16" t="s">
        <v>144</v>
      </c>
      <c r="C23" s="16" t="s">
        <v>145</v>
      </c>
      <c r="D23" s="16">
        <v>-9.2762337515321591E-2</v>
      </c>
      <c r="E23" s="16">
        <v>0</v>
      </c>
      <c r="F23" s="16">
        <v>0</v>
      </c>
      <c r="G23" s="16">
        <v>1E+30</v>
      </c>
      <c r="H23" s="16">
        <v>9.276233751532155E-2</v>
      </c>
    </row>
    <row r="24" spans="2:9" x14ac:dyDescent="0.3">
      <c r="B24" s="16" t="s">
        <v>146</v>
      </c>
      <c r="C24" s="16" t="s">
        <v>147</v>
      </c>
      <c r="D24" s="16">
        <v>-0.11485197709614436</v>
      </c>
      <c r="E24" s="16">
        <v>0</v>
      </c>
      <c r="F24" s="16">
        <v>0</v>
      </c>
      <c r="G24" s="16">
        <v>1E+30</v>
      </c>
      <c r="H24" s="16">
        <v>0.11485197709614425</v>
      </c>
    </row>
    <row r="25" spans="2:9" x14ac:dyDescent="0.3">
      <c r="B25" s="16" t="s">
        <v>148</v>
      </c>
      <c r="C25" s="16" t="s">
        <v>149</v>
      </c>
      <c r="D25" s="16">
        <v>0</v>
      </c>
      <c r="E25" s="21">
        <v>0.55087722351337542</v>
      </c>
      <c r="F25" s="16">
        <v>0</v>
      </c>
      <c r="G25" s="16">
        <v>4.4117281020419714E-3</v>
      </c>
      <c r="H25" s="16">
        <v>2.403057038338674E-2</v>
      </c>
      <c r="I25" t="s">
        <v>175</v>
      </c>
    </row>
    <row r="26" spans="2:9" x14ac:dyDescent="0.3">
      <c r="B26" s="16" t="s">
        <v>150</v>
      </c>
      <c r="C26" s="16" t="s">
        <v>151</v>
      </c>
      <c r="D26" s="16">
        <v>-3.5607659707381556E-2</v>
      </c>
      <c r="E26" s="16">
        <v>0</v>
      </c>
      <c r="F26" s="16">
        <v>0</v>
      </c>
      <c r="G26" s="16">
        <v>1E+30</v>
      </c>
      <c r="H26" s="16">
        <v>3.5607659707381473E-2</v>
      </c>
    </row>
    <row r="27" spans="2:9" x14ac:dyDescent="0.3">
      <c r="B27" s="16" t="s">
        <v>152</v>
      </c>
      <c r="C27" s="16" t="s">
        <v>153</v>
      </c>
      <c r="D27" s="16">
        <v>-1.2949212196194479E-2</v>
      </c>
      <c r="E27" s="16">
        <v>0</v>
      </c>
      <c r="F27" s="16">
        <v>0</v>
      </c>
      <c r="G27" s="16">
        <v>1E+30</v>
      </c>
      <c r="H27" s="16">
        <v>1.2949212196194467E-2</v>
      </c>
    </row>
    <row r="28" spans="2:9" x14ac:dyDescent="0.3">
      <c r="B28" s="16" t="s">
        <v>154</v>
      </c>
      <c r="C28" s="16" t="s">
        <v>155</v>
      </c>
      <c r="D28" s="16">
        <v>-4.4659859723628792E-2</v>
      </c>
      <c r="E28" s="16">
        <v>0</v>
      </c>
      <c r="F28" s="16">
        <v>0</v>
      </c>
      <c r="G28" s="16">
        <v>1E+30</v>
      </c>
      <c r="H28" s="16">
        <v>4.465985972362882E-2</v>
      </c>
    </row>
    <row r="29" spans="2:9" x14ac:dyDescent="0.3">
      <c r="B29" s="16" t="s">
        <v>156</v>
      </c>
      <c r="C29" s="16" t="s">
        <v>157</v>
      </c>
      <c r="D29" s="16">
        <v>-3.6282507208140746E-3</v>
      </c>
      <c r="E29" s="16">
        <v>0</v>
      </c>
      <c r="F29" s="16">
        <v>0</v>
      </c>
      <c r="G29" s="16">
        <v>1E+30</v>
      </c>
      <c r="H29" s="16">
        <v>3.6282507208139957E-3</v>
      </c>
    </row>
    <row r="30" spans="2:9" x14ac:dyDescent="0.3">
      <c r="B30" s="16" t="s">
        <v>158</v>
      </c>
      <c r="C30" s="16" t="s">
        <v>159</v>
      </c>
      <c r="D30" s="16">
        <v>-1.2702084750664089E-2</v>
      </c>
      <c r="E30" s="16">
        <v>0</v>
      </c>
      <c r="F30" s="16">
        <v>0</v>
      </c>
      <c r="G30" s="16">
        <v>1E+30</v>
      </c>
      <c r="H30" s="16">
        <v>1.2702084750664019E-2</v>
      </c>
    </row>
    <row r="31" spans="2:9" x14ac:dyDescent="0.3">
      <c r="B31" s="16" t="s">
        <v>160</v>
      </c>
      <c r="C31" s="16" t="s">
        <v>161</v>
      </c>
      <c r="D31" s="16">
        <v>-1.1197577987692164E-3</v>
      </c>
      <c r="E31" s="16">
        <v>0</v>
      </c>
      <c r="F31" s="16">
        <v>0</v>
      </c>
      <c r="G31" s="16">
        <v>1E+30</v>
      </c>
      <c r="H31" s="16">
        <v>1.1197577987691141E-3</v>
      </c>
    </row>
    <row r="32" spans="2:9" x14ac:dyDescent="0.3">
      <c r="B32" s="16" t="s">
        <v>162</v>
      </c>
      <c r="C32" s="16" t="s">
        <v>163</v>
      </c>
      <c r="D32" s="16">
        <v>-8.152929526168029E-3</v>
      </c>
      <c r="E32" s="16">
        <v>0</v>
      </c>
      <c r="F32" s="16">
        <v>0</v>
      </c>
      <c r="G32" s="16">
        <v>1E+30</v>
      </c>
      <c r="H32" s="16">
        <v>8.1529295261680325E-3</v>
      </c>
    </row>
    <row r="33" spans="2:8" x14ac:dyDescent="0.3">
      <c r="B33" s="16" t="s">
        <v>164</v>
      </c>
      <c r="C33" s="16" t="s">
        <v>165</v>
      </c>
      <c r="D33" s="16">
        <v>-0.1401693346563177</v>
      </c>
      <c r="E33" s="16">
        <v>0</v>
      </c>
      <c r="F33" s="16">
        <v>0</v>
      </c>
      <c r="G33" s="16">
        <v>1E+30</v>
      </c>
      <c r="H33" s="16">
        <v>0.1401693346563177</v>
      </c>
    </row>
    <row r="34" spans="2:8" x14ac:dyDescent="0.3">
      <c r="B34" s="16" t="s">
        <v>166</v>
      </c>
      <c r="C34" s="16" t="s">
        <v>167</v>
      </c>
      <c r="D34" s="16">
        <v>-9.1395844177033503E-3</v>
      </c>
      <c r="E34" s="16">
        <v>0</v>
      </c>
      <c r="F34" s="16">
        <v>0</v>
      </c>
      <c r="G34" s="16">
        <v>1E+30</v>
      </c>
      <c r="H34" s="16">
        <v>9.1395844177033538E-3</v>
      </c>
    </row>
    <row r="35" spans="2:8" ht="15" thickBot="1" x14ac:dyDescent="0.35">
      <c r="B35" s="20" t="s">
        <v>168</v>
      </c>
      <c r="C35" s="20" t="s">
        <v>169</v>
      </c>
      <c r="D35" s="20">
        <v>1</v>
      </c>
      <c r="E35" s="20">
        <v>0.96996672650162741</v>
      </c>
      <c r="F35" s="20">
        <v>1</v>
      </c>
      <c r="G35" s="20">
        <v>1E+30</v>
      </c>
      <c r="H35" s="20">
        <v>1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64F29-BE69-4E21-885A-90C6B3CFD912}">
  <dimension ref="A1:H36"/>
  <sheetViews>
    <sheetView showGridLines="0" topLeftCell="A12" workbookViewId="0">
      <selection activeCell="E19" sqref="E19:E36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291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0</v>
      </c>
      <c r="E9" s="16">
        <v>-20.620439284195516</v>
      </c>
      <c r="F9" s="16">
        <v>0</v>
      </c>
      <c r="G9" s="16">
        <v>20.620439284195516</v>
      </c>
      <c r="H9" s="16">
        <v>1E+30</v>
      </c>
    </row>
    <row r="10" spans="1:8" x14ac:dyDescent="0.3">
      <c r="B10" s="16" t="s">
        <v>241</v>
      </c>
      <c r="C10" s="16" t="s">
        <v>214</v>
      </c>
      <c r="D10" s="16">
        <v>1.0364842454394693E-4</v>
      </c>
      <c r="E10" s="16">
        <v>0</v>
      </c>
      <c r="F10" s="16">
        <v>0</v>
      </c>
      <c r="G10" s="16">
        <v>1E+30</v>
      </c>
      <c r="H10" s="16">
        <v>83.766736090070879</v>
      </c>
    </row>
    <row r="11" spans="1:8" x14ac:dyDescent="0.3">
      <c r="B11" s="16" t="s">
        <v>242</v>
      </c>
      <c r="C11" s="16" t="s">
        <v>103</v>
      </c>
      <c r="D11" s="16">
        <v>7.7079482029298433E-5</v>
      </c>
      <c r="E11" s="16">
        <v>0</v>
      </c>
      <c r="F11" s="16">
        <v>10518</v>
      </c>
      <c r="G11" s="16">
        <v>425.08771056088221</v>
      </c>
      <c r="H11" s="16">
        <v>8845.9999999999982</v>
      </c>
    </row>
    <row r="12" spans="1:8" x14ac:dyDescent="0.3">
      <c r="B12" s="16" t="s">
        <v>243</v>
      </c>
      <c r="C12" s="16" t="s">
        <v>104</v>
      </c>
      <c r="D12" s="16">
        <v>0</v>
      </c>
      <c r="E12" s="16">
        <v>-1920.7816857869068</v>
      </c>
      <c r="F12" s="16">
        <v>1</v>
      </c>
      <c r="G12" s="16">
        <v>1920.7816857869068</v>
      </c>
      <c r="H12" s="16">
        <v>1E+30</v>
      </c>
    </row>
    <row r="13" spans="1:8" ht="15" thickBot="1" x14ac:dyDescent="0.35">
      <c r="B13" s="17" t="s">
        <v>244</v>
      </c>
      <c r="C13" s="17" t="s">
        <v>281</v>
      </c>
      <c r="D13" s="17">
        <v>6.0903371386979856E-2</v>
      </c>
      <c r="E13" s="17">
        <v>0</v>
      </c>
      <c r="F13" s="17">
        <v>1</v>
      </c>
      <c r="G13" s="17">
        <v>5.2906698564593313</v>
      </c>
      <c r="H13" s="17">
        <v>3.8845316952969465E-2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268</v>
      </c>
      <c r="C18" s="16" t="s">
        <v>216</v>
      </c>
      <c r="D18" s="16">
        <v>1</v>
      </c>
      <c r="E18" s="16">
        <v>0.87162536337114049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-0.25147959069460046</v>
      </c>
      <c r="E19" s="16">
        <v>0</v>
      </c>
      <c r="F19" s="16">
        <v>0</v>
      </c>
      <c r="G19" s="16">
        <v>1E+30</v>
      </c>
      <c r="H19" s="16">
        <v>0.25147959069460046</v>
      </c>
    </row>
    <row r="20" spans="2:8" x14ac:dyDescent="0.3">
      <c r="B20" s="16" t="s">
        <v>247</v>
      </c>
      <c r="C20" s="16" t="s">
        <v>222</v>
      </c>
      <c r="D20" s="16">
        <v>-5.7592819402429996E-16</v>
      </c>
      <c r="E20" s="21">
        <v>0.30384007693892967</v>
      </c>
      <c r="F20" s="16">
        <v>0</v>
      </c>
      <c r="G20" s="16">
        <v>1.6732073722247526E-2</v>
      </c>
      <c r="H20" s="16">
        <v>2.2440920398009947</v>
      </c>
    </row>
    <row r="21" spans="2:8" x14ac:dyDescent="0.3">
      <c r="B21" s="16" t="s">
        <v>248</v>
      </c>
      <c r="C21" s="16" t="s">
        <v>223</v>
      </c>
      <c r="D21" s="16">
        <v>-0.52458002771970647</v>
      </c>
      <c r="E21" s="16">
        <v>0</v>
      </c>
      <c r="F21" s="16">
        <v>0</v>
      </c>
      <c r="G21" s="16">
        <v>1E+30</v>
      </c>
      <c r="H21" s="16">
        <v>0.52458002771970635</v>
      </c>
    </row>
    <row r="22" spans="2:8" x14ac:dyDescent="0.3">
      <c r="B22" s="16" t="s">
        <v>249</v>
      </c>
      <c r="C22" s="16" t="s">
        <v>224</v>
      </c>
      <c r="D22" s="16">
        <v>-0.1978292024056866</v>
      </c>
      <c r="E22" s="16">
        <v>0</v>
      </c>
      <c r="F22" s="16">
        <v>0</v>
      </c>
      <c r="G22" s="16">
        <v>1E+30</v>
      </c>
      <c r="H22" s="16">
        <v>0.19782920240568663</v>
      </c>
    </row>
    <row r="23" spans="2:8" x14ac:dyDescent="0.3">
      <c r="B23" s="16" t="s">
        <v>250</v>
      </c>
      <c r="C23" s="16" t="s">
        <v>225</v>
      </c>
      <c r="D23" s="16">
        <v>-8.5223576707839296E-3</v>
      </c>
      <c r="E23" s="16">
        <v>0</v>
      </c>
      <c r="F23" s="16">
        <v>0</v>
      </c>
      <c r="G23" s="16">
        <v>1E+30</v>
      </c>
      <c r="H23" s="16">
        <v>8.5223576707841048E-3</v>
      </c>
    </row>
    <row r="24" spans="2:8" x14ac:dyDescent="0.3">
      <c r="B24" s="16" t="s">
        <v>251</v>
      </c>
      <c r="C24" s="16" t="s">
        <v>226</v>
      </c>
      <c r="D24" s="16">
        <v>-9.4013300605580025E-2</v>
      </c>
      <c r="E24" s="16">
        <v>0</v>
      </c>
      <c r="F24" s="16">
        <v>0</v>
      </c>
      <c r="G24" s="16">
        <v>1E+30</v>
      </c>
      <c r="H24" s="16">
        <v>9.4013300605579914E-2</v>
      </c>
    </row>
    <row r="25" spans="2:8" x14ac:dyDescent="0.3">
      <c r="B25" s="16" t="s">
        <v>252</v>
      </c>
      <c r="C25" s="16" t="s">
        <v>227</v>
      </c>
      <c r="D25" s="16">
        <v>-0.1283746366288592</v>
      </c>
      <c r="E25" s="16">
        <v>0</v>
      </c>
      <c r="F25" s="16">
        <v>0</v>
      </c>
      <c r="G25" s="16">
        <v>1E+30</v>
      </c>
      <c r="H25" s="16">
        <v>0.12837463662885942</v>
      </c>
    </row>
    <row r="26" spans="2:8" x14ac:dyDescent="0.3">
      <c r="B26" s="16" t="s">
        <v>253</v>
      </c>
      <c r="C26" s="16" t="s">
        <v>228</v>
      </c>
      <c r="D26" s="16">
        <v>-0.24224256656312262</v>
      </c>
      <c r="E26" s="16">
        <v>0</v>
      </c>
      <c r="F26" s="16">
        <v>0</v>
      </c>
      <c r="G26" s="16">
        <v>1E+30</v>
      </c>
      <c r="H26" s="16">
        <v>0.24224256656312254</v>
      </c>
    </row>
    <row r="27" spans="2:8" x14ac:dyDescent="0.3">
      <c r="B27" s="16" t="s">
        <v>254</v>
      </c>
      <c r="C27" s="16" t="s">
        <v>229</v>
      </c>
      <c r="D27" s="16">
        <v>-0.3727928944843234</v>
      </c>
      <c r="E27" s="16">
        <v>0</v>
      </c>
      <c r="F27" s="16">
        <v>0</v>
      </c>
      <c r="G27" s="16">
        <v>1E+30</v>
      </c>
      <c r="H27" s="16">
        <v>0.37279289448432384</v>
      </c>
    </row>
    <row r="28" spans="2:8" x14ac:dyDescent="0.3">
      <c r="B28" s="16" t="s">
        <v>255</v>
      </c>
      <c r="C28" s="16" t="s">
        <v>230</v>
      </c>
      <c r="D28" s="16">
        <v>-8.1512753775944274E-2</v>
      </c>
      <c r="E28" s="16">
        <v>0</v>
      </c>
      <c r="F28" s="16">
        <v>0</v>
      </c>
      <c r="G28" s="16">
        <v>1E+30</v>
      </c>
      <c r="H28" s="16">
        <v>8.151275377594458E-2</v>
      </c>
    </row>
    <row r="29" spans="2:8" x14ac:dyDescent="0.3">
      <c r="B29" s="16" t="s">
        <v>256</v>
      </c>
      <c r="C29" s="16" t="s">
        <v>231</v>
      </c>
      <c r="D29" s="16">
        <v>0</v>
      </c>
      <c r="E29" s="21">
        <v>0.69615992306106977</v>
      </c>
      <c r="F29" s="16">
        <v>0</v>
      </c>
      <c r="G29" s="16">
        <v>1.7369262949052083E-2</v>
      </c>
      <c r="H29" s="16">
        <v>5.7595684874960418E-2</v>
      </c>
    </row>
    <row r="30" spans="2:8" x14ac:dyDescent="0.3">
      <c r="B30" s="16" t="s">
        <v>257</v>
      </c>
      <c r="C30" s="16" t="s">
        <v>232</v>
      </c>
      <c r="D30" s="16">
        <v>-8.1979808942282434E-2</v>
      </c>
      <c r="E30" s="16">
        <v>0</v>
      </c>
      <c r="F30" s="16">
        <v>0</v>
      </c>
      <c r="G30" s="16">
        <v>1E+30</v>
      </c>
      <c r="H30" s="16">
        <v>8.1979808942282406E-2</v>
      </c>
    </row>
    <row r="31" spans="2:8" x14ac:dyDescent="0.3">
      <c r="B31" s="16" t="s">
        <v>258</v>
      </c>
      <c r="C31" s="16" t="s">
        <v>233</v>
      </c>
      <c r="D31" s="16">
        <v>-1.209927142356073E-2</v>
      </c>
      <c r="E31" s="16">
        <v>0</v>
      </c>
      <c r="F31" s="16">
        <v>0</v>
      </c>
      <c r="G31" s="16">
        <v>1E+30</v>
      </c>
      <c r="H31" s="16">
        <v>1.2099271423560714E-2</v>
      </c>
    </row>
    <row r="32" spans="2:8" x14ac:dyDescent="0.3">
      <c r="B32" s="16" t="s">
        <v>259</v>
      </c>
      <c r="C32" s="16" t="s">
        <v>234</v>
      </c>
      <c r="D32" s="16">
        <v>-9.7256456035865774E-2</v>
      </c>
      <c r="E32" s="16">
        <v>0</v>
      </c>
      <c r="F32" s="16">
        <v>0</v>
      </c>
      <c r="G32" s="16">
        <v>1E+30</v>
      </c>
      <c r="H32" s="16">
        <v>9.7256456035865829E-2</v>
      </c>
    </row>
    <row r="33" spans="2:8" x14ac:dyDescent="0.3">
      <c r="B33" s="16" t="s">
        <v>260</v>
      </c>
      <c r="C33" s="16" t="s">
        <v>235</v>
      </c>
      <c r="D33" s="16">
        <v>-5.4861032077140458E-2</v>
      </c>
      <c r="E33" s="16">
        <v>0</v>
      </c>
      <c r="F33" s="16">
        <v>0</v>
      </c>
      <c r="G33" s="16">
        <v>1E+30</v>
      </c>
      <c r="H33" s="16">
        <v>5.4861032077140492E-2</v>
      </c>
    </row>
    <row r="34" spans="2:8" x14ac:dyDescent="0.3">
      <c r="B34" s="16" t="s">
        <v>261</v>
      </c>
      <c r="C34" s="16" t="s">
        <v>236</v>
      </c>
      <c r="D34" s="16">
        <v>-6.9485866077321129E-2</v>
      </c>
      <c r="E34" s="16">
        <v>0</v>
      </c>
      <c r="F34" s="16">
        <v>0</v>
      </c>
      <c r="G34" s="16">
        <v>1E+30</v>
      </c>
      <c r="H34" s="16">
        <v>6.9485866077321157E-2</v>
      </c>
    </row>
    <row r="35" spans="2:8" x14ac:dyDescent="0.3">
      <c r="B35" s="16" t="s">
        <v>262</v>
      </c>
      <c r="C35" s="16" t="s">
        <v>237</v>
      </c>
      <c r="D35" s="16">
        <v>-0.14284342125784258</v>
      </c>
      <c r="E35" s="16">
        <v>0</v>
      </c>
      <c r="F35" s="16">
        <v>0</v>
      </c>
      <c r="G35" s="16">
        <v>1E+30</v>
      </c>
      <c r="H35" s="16">
        <v>0.14284342125784258</v>
      </c>
    </row>
    <row r="36" spans="2:8" ht="15" thickBot="1" x14ac:dyDescent="0.35">
      <c r="B36" s="17" t="s">
        <v>263</v>
      </c>
      <c r="C36" s="17" t="s">
        <v>238</v>
      </c>
      <c r="D36" s="17">
        <v>-3.5028902509503766E-2</v>
      </c>
      <c r="E36" s="17">
        <v>0</v>
      </c>
      <c r="F36" s="17">
        <v>0</v>
      </c>
      <c r="G36" s="17">
        <v>1E+30</v>
      </c>
      <c r="H36" s="17">
        <v>3.5028902509503773E-2</v>
      </c>
    </row>
  </sheetData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C856-AD9C-40B7-8654-364E731C287B}">
  <dimension ref="A1:H36"/>
  <sheetViews>
    <sheetView showGridLines="0" topLeftCell="A12" workbookViewId="0">
      <selection activeCell="E19" sqref="E19:E36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292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4.2391252562940947E-5</v>
      </c>
      <c r="E9" s="16">
        <v>0</v>
      </c>
      <c r="F9" s="16">
        <v>0</v>
      </c>
      <c r="G9" s="16">
        <v>948.25501534323234</v>
      </c>
      <c r="H9" s="16">
        <v>450.94865246559641</v>
      </c>
    </row>
    <row r="10" spans="1:8" x14ac:dyDescent="0.3">
      <c r="B10" s="16" t="s">
        <v>241</v>
      </c>
      <c r="C10" s="16" t="s">
        <v>214</v>
      </c>
      <c r="D10" s="16">
        <v>4.826575251923223E-5</v>
      </c>
      <c r="E10" s="16">
        <v>0</v>
      </c>
      <c r="F10" s="16">
        <v>0</v>
      </c>
      <c r="G10" s="16">
        <v>2112.1345341120173</v>
      </c>
      <c r="H10" s="16">
        <v>4441.3973832733845</v>
      </c>
    </row>
    <row r="11" spans="1:8" x14ac:dyDescent="0.3">
      <c r="B11" s="16" t="s">
        <v>242</v>
      </c>
      <c r="C11" s="16" t="s">
        <v>103</v>
      </c>
      <c r="D11" s="16">
        <v>4.5929652833723468E-5</v>
      </c>
      <c r="E11" s="16">
        <v>0</v>
      </c>
      <c r="F11" s="16">
        <v>19528</v>
      </c>
      <c r="G11" s="16">
        <v>1E+30</v>
      </c>
      <c r="H11" s="16">
        <v>2159.303092307041</v>
      </c>
    </row>
    <row r="12" spans="1:8" x14ac:dyDescent="0.3">
      <c r="B12" s="16" t="s">
        <v>243</v>
      </c>
      <c r="C12" s="16" t="s">
        <v>104</v>
      </c>
      <c r="D12" s="16">
        <v>0</v>
      </c>
      <c r="E12" s="16">
        <v>-447.49554310064218</v>
      </c>
      <c r="F12" s="16">
        <v>1525</v>
      </c>
      <c r="G12" s="16">
        <v>447.49554310064218</v>
      </c>
      <c r="H12" s="16">
        <v>1E+30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-0.12432153683047142</v>
      </c>
      <c r="F13" s="17">
        <v>1</v>
      </c>
      <c r="G13" s="17">
        <v>0.12432153683047142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269</v>
      </c>
      <c r="C18" s="16" t="s">
        <v>216</v>
      </c>
      <c r="D18" s="16">
        <v>0.99999999999999967</v>
      </c>
      <c r="E18" s="16">
        <v>0.89691426053695189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-2.6956455477331054E-2</v>
      </c>
      <c r="E19" s="16">
        <v>0</v>
      </c>
      <c r="F19" s="16">
        <v>0</v>
      </c>
      <c r="G19" s="16">
        <v>1E+30</v>
      </c>
      <c r="H19" s="16">
        <v>2.6956455477331547E-2</v>
      </c>
    </row>
    <row r="20" spans="2:8" x14ac:dyDescent="0.3">
      <c r="B20" s="16" t="s">
        <v>247</v>
      </c>
      <c r="C20" s="16" t="s">
        <v>222</v>
      </c>
      <c r="D20" s="16">
        <v>-5.2303245495113337E-3</v>
      </c>
      <c r="E20" s="16">
        <v>0</v>
      </c>
      <c r="F20" s="16">
        <v>0</v>
      </c>
      <c r="G20" s="16">
        <v>1E+30</v>
      </c>
      <c r="H20" s="16">
        <v>5.2303245495116425E-3</v>
      </c>
    </row>
    <row r="21" spans="2:8" x14ac:dyDescent="0.3">
      <c r="B21" s="16" t="s">
        <v>248</v>
      </c>
      <c r="C21" s="16" t="s">
        <v>223</v>
      </c>
      <c r="D21" s="16">
        <v>-6.4884575944128553E-2</v>
      </c>
      <c r="E21" s="16">
        <v>0</v>
      </c>
      <c r="F21" s="16">
        <v>0</v>
      </c>
      <c r="G21" s="16">
        <v>1E+30</v>
      </c>
      <c r="H21" s="16">
        <v>6.4884575944128969E-2</v>
      </c>
    </row>
    <row r="22" spans="2:8" x14ac:dyDescent="0.3">
      <c r="B22" s="16" t="s">
        <v>249</v>
      </c>
      <c r="C22" s="16" t="s">
        <v>224</v>
      </c>
      <c r="D22" s="16">
        <v>-8.9440011394488206E-2</v>
      </c>
      <c r="E22" s="16">
        <v>0</v>
      </c>
      <c r="F22" s="16">
        <v>0</v>
      </c>
      <c r="G22" s="16">
        <v>1E+30</v>
      </c>
      <c r="H22" s="16">
        <v>8.9440011394488622E-2</v>
      </c>
    </row>
    <row r="23" spans="2:8" x14ac:dyDescent="0.3">
      <c r="B23" s="16" t="s">
        <v>250</v>
      </c>
      <c r="C23" s="16" t="s">
        <v>225</v>
      </c>
      <c r="D23" s="16">
        <v>3.3306690738754696E-16</v>
      </c>
      <c r="E23" s="21">
        <v>1.0181543455408455</v>
      </c>
      <c r="F23" s="16">
        <v>0</v>
      </c>
      <c r="G23" s="16">
        <v>2.3359545258281808E-3</v>
      </c>
      <c r="H23" s="16">
        <v>5.6142146972627087E-2</v>
      </c>
    </row>
    <row r="24" spans="2:8" x14ac:dyDescent="0.3">
      <c r="B24" s="16" t="s">
        <v>251</v>
      </c>
      <c r="C24" s="16" t="s">
        <v>226</v>
      </c>
      <c r="D24" s="16">
        <v>-3.0565997610241924E-2</v>
      </c>
      <c r="E24" s="16">
        <v>0</v>
      </c>
      <c r="F24" s="16">
        <v>0</v>
      </c>
      <c r="G24" s="16">
        <v>1E+30</v>
      </c>
      <c r="H24" s="16">
        <v>3.0565997610242431E-2</v>
      </c>
    </row>
    <row r="25" spans="2:8" x14ac:dyDescent="0.3">
      <c r="B25" s="16" t="s">
        <v>252</v>
      </c>
      <c r="C25" s="16" t="s">
        <v>227</v>
      </c>
      <c r="D25" s="16">
        <v>-8.3259116637433905E-2</v>
      </c>
      <c r="E25" s="16">
        <v>0</v>
      </c>
      <c r="F25" s="16">
        <v>0</v>
      </c>
      <c r="G25" s="16">
        <v>1E+30</v>
      </c>
      <c r="H25" s="16">
        <v>8.3259116637433919E-2</v>
      </c>
    </row>
    <row r="26" spans="2:8" x14ac:dyDescent="0.3">
      <c r="B26" s="16" t="s">
        <v>253</v>
      </c>
      <c r="C26" s="16" t="s">
        <v>228</v>
      </c>
      <c r="D26" s="16">
        <v>-0.10308573946304778</v>
      </c>
      <c r="E26" s="16">
        <v>0</v>
      </c>
      <c r="F26" s="16">
        <v>0</v>
      </c>
      <c r="G26" s="16">
        <v>1E+30</v>
      </c>
      <c r="H26" s="16">
        <v>0.10308573946304796</v>
      </c>
    </row>
    <row r="27" spans="2:8" x14ac:dyDescent="0.3">
      <c r="B27" s="16" t="s">
        <v>254</v>
      </c>
      <c r="C27" s="16" t="s">
        <v>229</v>
      </c>
      <c r="D27" s="16">
        <v>4.4408920985006262E-16</v>
      </c>
      <c r="E27" s="21">
        <v>0.10616719128962637</v>
      </c>
      <c r="F27" s="16">
        <v>0</v>
      </c>
      <c r="G27" s="16">
        <v>3.9517108346122411E-3</v>
      </c>
      <c r="H27" s="16">
        <v>2.1810694387680872E-2</v>
      </c>
    </row>
    <row r="28" spans="2:8" x14ac:dyDescent="0.3">
      <c r="B28" s="16" t="s">
        <v>255</v>
      </c>
      <c r="C28" s="16" t="s">
        <v>230</v>
      </c>
      <c r="D28" s="16">
        <v>-3.1959762681414094E-2</v>
      </c>
      <c r="E28" s="16">
        <v>0</v>
      </c>
      <c r="F28" s="16">
        <v>0</v>
      </c>
      <c r="G28" s="16">
        <v>1E+30</v>
      </c>
      <c r="H28" s="16">
        <v>3.1959762681414317E-2</v>
      </c>
    </row>
    <row r="29" spans="2:8" x14ac:dyDescent="0.3">
      <c r="B29" s="16" t="s">
        <v>256</v>
      </c>
      <c r="C29" s="16" t="s">
        <v>231</v>
      </c>
      <c r="D29" s="16">
        <v>-1.1622604577291515E-2</v>
      </c>
      <c r="E29" s="16">
        <v>0</v>
      </c>
      <c r="F29" s="16">
        <v>0</v>
      </c>
      <c r="G29" s="16">
        <v>1E+30</v>
      </c>
      <c r="H29" s="16">
        <v>1.162260457729148E-2</v>
      </c>
    </row>
    <row r="30" spans="2:8" x14ac:dyDescent="0.3">
      <c r="B30" s="16" t="s">
        <v>257</v>
      </c>
      <c r="C30" s="16" t="s">
        <v>232</v>
      </c>
      <c r="D30" s="16">
        <v>-4.0084592188363966E-2</v>
      </c>
      <c r="E30" s="16">
        <v>0</v>
      </c>
      <c r="F30" s="16">
        <v>0</v>
      </c>
      <c r="G30" s="16">
        <v>1E+30</v>
      </c>
      <c r="H30" s="16">
        <v>4.0084592188364021E-2</v>
      </c>
    </row>
    <row r="31" spans="2:8" x14ac:dyDescent="0.3">
      <c r="B31" s="16" t="s">
        <v>258</v>
      </c>
      <c r="C31" s="16" t="s">
        <v>233</v>
      </c>
      <c r="D31" s="16">
        <v>-3.256547409709154E-3</v>
      </c>
      <c r="E31" s="16">
        <v>0</v>
      </c>
      <c r="F31" s="16">
        <v>0</v>
      </c>
      <c r="G31" s="16">
        <v>1E+30</v>
      </c>
      <c r="H31" s="16">
        <v>3.2565474097091271E-3</v>
      </c>
    </row>
    <row r="32" spans="2:8" x14ac:dyDescent="0.3">
      <c r="B32" s="16" t="s">
        <v>259</v>
      </c>
      <c r="C32" s="16" t="s">
        <v>234</v>
      </c>
      <c r="D32" s="16">
        <v>-1.1400794591009733E-2</v>
      </c>
      <c r="E32" s="16">
        <v>0</v>
      </c>
      <c r="F32" s="16">
        <v>0</v>
      </c>
      <c r="G32" s="16">
        <v>1E+30</v>
      </c>
      <c r="H32" s="16">
        <v>1.1400794591009821E-2</v>
      </c>
    </row>
    <row r="33" spans="2:8" x14ac:dyDescent="0.3">
      <c r="B33" s="16" t="s">
        <v>260</v>
      </c>
      <c r="C33" s="16" t="s">
        <v>235</v>
      </c>
      <c r="D33" s="16">
        <v>-1.0050419994859783E-3</v>
      </c>
      <c r="E33" s="16">
        <v>0</v>
      </c>
      <c r="F33" s="16">
        <v>0</v>
      </c>
      <c r="G33" s="16">
        <v>1E+30</v>
      </c>
      <c r="H33" s="16">
        <v>1.0050419994860271E-3</v>
      </c>
    </row>
    <row r="34" spans="2:8" x14ac:dyDescent="0.3">
      <c r="B34" s="16" t="s">
        <v>261</v>
      </c>
      <c r="C34" s="16" t="s">
        <v>236</v>
      </c>
      <c r="D34" s="16">
        <v>-7.3176865583392259E-3</v>
      </c>
      <c r="E34" s="16">
        <v>0</v>
      </c>
      <c r="F34" s="16">
        <v>0</v>
      </c>
      <c r="G34" s="16">
        <v>1E+30</v>
      </c>
      <c r="H34" s="16">
        <v>7.3176865583392979E-3</v>
      </c>
    </row>
    <row r="35" spans="2:8" x14ac:dyDescent="0.3">
      <c r="B35" s="16" t="s">
        <v>262</v>
      </c>
      <c r="C35" s="16" t="s">
        <v>237</v>
      </c>
      <c r="D35" s="16">
        <v>-0.12580941032468354</v>
      </c>
      <c r="E35" s="16">
        <v>0</v>
      </c>
      <c r="F35" s="16">
        <v>0</v>
      </c>
      <c r="G35" s="16">
        <v>1E+30</v>
      </c>
      <c r="H35" s="16">
        <v>0.12580941032468351</v>
      </c>
    </row>
    <row r="36" spans="2:8" ht="15" thickBot="1" x14ac:dyDescent="0.35">
      <c r="B36" s="17" t="s">
        <v>263</v>
      </c>
      <c r="C36" s="17" t="s">
        <v>238</v>
      </c>
      <c r="D36" s="17">
        <v>-8.203261640809173E-3</v>
      </c>
      <c r="E36" s="17">
        <v>0</v>
      </c>
      <c r="F36" s="17">
        <v>0</v>
      </c>
      <c r="G36" s="17">
        <v>1E+30</v>
      </c>
      <c r="H36" s="17">
        <v>8.2032616408092424E-3</v>
      </c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F835B-9803-4E3A-A3E3-1490DE3A0AEE}">
  <dimension ref="A1:H36"/>
  <sheetViews>
    <sheetView showGridLines="0" topLeftCell="A9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293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5.6999579330514185E-5</v>
      </c>
      <c r="E9" s="16">
        <v>0</v>
      </c>
      <c r="F9" s="16">
        <v>0</v>
      </c>
      <c r="G9" s="16">
        <v>1419.8418375194558</v>
      </c>
      <c r="H9" s="16">
        <v>0</v>
      </c>
    </row>
    <row r="10" spans="1:8" x14ac:dyDescent="0.3">
      <c r="B10" s="16" t="s">
        <v>241</v>
      </c>
      <c r="C10" s="16" t="s">
        <v>214</v>
      </c>
      <c r="D10" s="16">
        <v>3.9712935482089499E-5</v>
      </c>
      <c r="E10" s="16">
        <v>0</v>
      </c>
      <c r="F10" s="16">
        <v>0</v>
      </c>
      <c r="G10" s="16">
        <v>0</v>
      </c>
      <c r="H10" s="16">
        <v>25088.540632769807</v>
      </c>
    </row>
    <row r="11" spans="1:8" x14ac:dyDescent="0.3">
      <c r="B11" s="16" t="s">
        <v>242</v>
      </c>
      <c r="C11" s="16" t="s">
        <v>103</v>
      </c>
      <c r="D11" s="16">
        <v>3.8925652004671083E-5</v>
      </c>
      <c r="E11" s="16">
        <v>0</v>
      </c>
      <c r="F11" s="16">
        <v>25690</v>
      </c>
      <c r="G11" s="16">
        <v>1E+30</v>
      </c>
      <c r="H11" s="16">
        <v>0</v>
      </c>
    </row>
    <row r="12" spans="1:8" x14ac:dyDescent="0.3">
      <c r="B12" s="16" t="s">
        <v>243</v>
      </c>
      <c r="C12" s="16" t="s">
        <v>104</v>
      </c>
      <c r="D12" s="16">
        <v>0</v>
      </c>
      <c r="E12" s="16">
        <v>-9.0949470177292824E-13</v>
      </c>
      <c r="F12" s="16">
        <v>2439</v>
      </c>
      <c r="G12" s="16">
        <v>9.0949470177292824E-13</v>
      </c>
      <c r="H12" s="16">
        <v>1E+30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0</v>
      </c>
      <c r="F13" s="17">
        <v>1</v>
      </c>
      <c r="G13" s="17">
        <v>0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270</v>
      </c>
      <c r="C18" s="16" t="s">
        <v>216</v>
      </c>
      <c r="D18" s="16">
        <v>1</v>
      </c>
      <c r="E18" s="16">
        <v>1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-3.8095880577241004E-2</v>
      </c>
      <c r="E19" s="16">
        <v>0</v>
      </c>
      <c r="F19" s="16">
        <v>0</v>
      </c>
      <c r="G19" s="16">
        <v>1E+30</v>
      </c>
      <c r="H19" s="16">
        <v>3.8095880577241115E-2</v>
      </c>
    </row>
    <row r="20" spans="2:8" x14ac:dyDescent="0.3">
      <c r="B20" s="16" t="s">
        <v>247</v>
      </c>
      <c r="C20" s="16" t="s">
        <v>222</v>
      </c>
      <c r="D20" s="16">
        <v>-0.1185221918002789</v>
      </c>
      <c r="E20" s="16">
        <v>0</v>
      </c>
      <c r="F20" s="16">
        <v>0</v>
      </c>
      <c r="G20" s="16">
        <v>1E+30</v>
      </c>
      <c r="H20" s="16">
        <v>0.11852219180027834</v>
      </c>
    </row>
    <row r="21" spans="2:8" x14ac:dyDescent="0.3">
      <c r="B21" s="16" t="s">
        <v>248</v>
      </c>
      <c r="C21" s="16" t="s">
        <v>223</v>
      </c>
      <c r="D21" s="16">
        <v>-0.15648376695597688</v>
      </c>
      <c r="E21" s="16">
        <v>0</v>
      </c>
      <c r="F21" s="16">
        <v>0</v>
      </c>
      <c r="G21" s="16">
        <v>1E+30</v>
      </c>
      <c r="H21" s="16">
        <v>0.15648376695597666</v>
      </c>
    </row>
    <row r="22" spans="2:8" x14ac:dyDescent="0.3">
      <c r="B22" s="16" t="s">
        <v>249</v>
      </c>
      <c r="C22" s="16" t="s">
        <v>224</v>
      </c>
      <c r="D22" s="16">
        <v>-0.17132086531283619</v>
      </c>
      <c r="E22" s="16">
        <v>0</v>
      </c>
      <c r="F22" s="16">
        <v>0</v>
      </c>
      <c r="G22" s="16">
        <v>1E+30</v>
      </c>
      <c r="H22" s="16">
        <v>0.17132086531283708</v>
      </c>
    </row>
    <row r="23" spans="2:8" x14ac:dyDescent="0.3">
      <c r="B23" s="16" t="s">
        <v>250</v>
      </c>
      <c r="C23" s="16" t="s">
        <v>225</v>
      </c>
      <c r="D23" s="16">
        <v>-5.0819591759779348E-2</v>
      </c>
      <c r="E23" s="16">
        <v>0</v>
      </c>
      <c r="F23" s="16">
        <v>0</v>
      </c>
      <c r="G23" s="16">
        <v>1E+30</v>
      </c>
      <c r="H23" s="16">
        <v>5.0819591759779126E-2</v>
      </c>
    </row>
    <row r="24" spans="2:8" x14ac:dyDescent="0.3">
      <c r="B24" s="16" t="s">
        <v>251</v>
      </c>
      <c r="C24" s="16" t="s">
        <v>226</v>
      </c>
      <c r="D24" s="16">
        <v>-8.5753106982013771E-2</v>
      </c>
      <c r="E24" s="16">
        <v>0</v>
      </c>
      <c r="F24" s="16">
        <v>0</v>
      </c>
      <c r="G24" s="16">
        <v>1E+30</v>
      </c>
      <c r="H24" s="16">
        <v>8.5753106982013882E-2</v>
      </c>
    </row>
    <row r="25" spans="2:8" x14ac:dyDescent="0.3">
      <c r="B25" s="16" t="s">
        <v>252</v>
      </c>
      <c r="C25" s="16" t="s">
        <v>227</v>
      </c>
      <c r="D25" s="16">
        <v>-0.10910439465604027</v>
      </c>
      <c r="E25" s="16">
        <v>0</v>
      </c>
      <c r="F25" s="16">
        <v>0</v>
      </c>
      <c r="G25" s="16">
        <v>1E+30</v>
      </c>
      <c r="H25" s="16">
        <v>0.10910439465604016</v>
      </c>
    </row>
    <row r="26" spans="2:8" x14ac:dyDescent="0.3">
      <c r="B26" s="16" t="s">
        <v>253</v>
      </c>
      <c r="C26" s="16" t="s">
        <v>228</v>
      </c>
      <c r="D26" s="16">
        <v>-0.14505488601496386</v>
      </c>
      <c r="E26" s="16">
        <v>0</v>
      </c>
      <c r="F26" s="16">
        <v>0</v>
      </c>
      <c r="G26" s="16">
        <v>1E+30</v>
      </c>
      <c r="H26" s="16">
        <v>0.14505488601496319</v>
      </c>
    </row>
    <row r="27" spans="2:8" x14ac:dyDescent="0.3">
      <c r="B27" s="16" t="s">
        <v>254</v>
      </c>
      <c r="C27" s="16" t="s">
        <v>229</v>
      </c>
      <c r="D27" s="16">
        <v>2.2204460492503131E-16</v>
      </c>
      <c r="E27" s="16">
        <v>1</v>
      </c>
      <c r="F27" s="16">
        <v>0</v>
      </c>
      <c r="G27" s="16">
        <v>9.4357469752408829E-3</v>
      </c>
      <c r="H27" s="16">
        <v>0.99633959548896822</v>
      </c>
    </row>
    <row r="28" spans="2:8" x14ac:dyDescent="0.3">
      <c r="B28" s="16" t="s">
        <v>255</v>
      </c>
      <c r="C28" s="16" t="s">
        <v>230</v>
      </c>
      <c r="D28" s="16">
        <v>-7.5708292429720714E-2</v>
      </c>
      <c r="E28" s="16">
        <v>0</v>
      </c>
      <c r="F28" s="16">
        <v>0</v>
      </c>
      <c r="G28" s="16">
        <v>1E+30</v>
      </c>
      <c r="H28" s="16">
        <v>7.5708292429720547E-2</v>
      </c>
    </row>
    <row r="29" spans="2:8" x14ac:dyDescent="0.3">
      <c r="B29" s="16" t="s">
        <v>256</v>
      </c>
      <c r="C29" s="16" t="s">
        <v>231</v>
      </c>
      <c r="D29" s="16">
        <v>-7.6876942952263383E-3</v>
      </c>
      <c r="E29" s="16">
        <v>0</v>
      </c>
      <c r="F29" s="16">
        <v>0</v>
      </c>
      <c r="G29" s="16">
        <v>1E+30</v>
      </c>
      <c r="H29" s="16">
        <v>7.6876942952263131E-3</v>
      </c>
    </row>
    <row r="30" spans="2:8" x14ac:dyDescent="0.3">
      <c r="B30" s="16" t="s">
        <v>257</v>
      </c>
      <c r="C30" s="16" t="s">
        <v>232</v>
      </c>
      <c r="D30" s="16">
        <v>-5.0921165412860708E-2</v>
      </c>
      <c r="E30" s="16">
        <v>0</v>
      </c>
      <c r="F30" s="16">
        <v>0</v>
      </c>
      <c r="G30" s="16">
        <v>1E+30</v>
      </c>
      <c r="H30" s="16">
        <v>5.0921165412860514E-2</v>
      </c>
    </row>
    <row r="31" spans="2:8" x14ac:dyDescent="0.3">
      <c r="B31" s="16" t="s">
        <v>258</v>
      </c>
      <c r="C31" s="16" t="s">
        <v>233</v>
      </c>
      <c r="D31" s="16">
        <v>-4.0094800283464904E-2</v>
      </c>
      <c r="E31" s="16">
        <v>0</v>
      </c>
      <c r="F31" s="16">
        <v>0</v>
      </c>
      <c r="G31" s="16">
        <v>1E+30</v>
      </c>
      <c r="H31" s="16">
        <v>4.0094800283464682E-2</v>
      </c>
    </row>
    <row r="32" spans="2:8" x14ac:dyDescent="0.3">
      <c r="B32" s="16" t="s">
        <v>259</v>
      </c>
      <c r="C32" s="16" t="s">
        <v>234</v>
      </c>
      <c r="D32" s="16">
        <v>-6.9505735677886094E-3</v>
      </c>
      <c r="E32" s="16">
        <v>0</v>
      </c>
      <c r="F32" s="16">
        <v>0</v>
      </c>
      <c r="G32" s="16">
        <v>1E+30</v>
      </c>
      <c r="H32" s="16">
        <v>6.9505735677886094E-3</v>
      </c>
    </row>
    <row r="33" spans="2:8" x14ac:dyDescent="0.3">
      <c r="B33" s="16" t="s">
        <v>260</v>
      </c>
      <c r="C33" s="16" t="s">
        <v>235</v>
      </c>
      <c r="D33" s="16">
        <v>-3.5775960394455741E-3</v>
      </c>
      <c r="E33" s="16">
        <v>0</v>
      </c>
      <c r="F33" s="16">
        <v>0</v>
      </c>
      <c r="G33" s="16">
        <v>1E+30</v>
      </c>
      <c r="H33" s="16">
        <v>3.5775960394456296E-3</v>
      </c>
    </row>
    <row r="34" spans="2:8" x14ac:dyDescent="0.3">
      <c r="B34" s="16" t="s">
        <v>261</v>
      </c>
      <c r="C34" s="16" t="s">
        <v>236</v>
      </c>
      <c r="D34" s="16">
        <v>0</v>
      </c>
      <c r="E34" s="16">
        <v>0</v>
      </c>
      <c r="F34" s="16">
        <v>0</v>
      </c>
      <c r="G34" s="16">
        <v>3.8040347985984282E-3</v>
      </c>
      <c r="H34" s="16">
        <v>6.2017825712809916E-3</v>
      </c>
    </row>
    <row r="35" spans="2:8" x14ac:dyDescent="0.3">
      <c r="B35" s="16" t="s">
        <v>262</v>
      </c>
      <c r="C35" s="16" t="s">
        <v>237</v>
      </c>
      <c r="D35" s="16">
        <v>-0.12078796854608587</v>
      </c>
      <c r="E35" s="16">
        <v>0</v>
      </c>
      <c r="F35" s="16">
        <v>0</v>
      </c>
      <c r="G35" s="16">
        <v>1E+30</v>
      </c>
      <c r="H35" s="16">
        <v>0.12078796854608587</v>
      </c>
    </row>
    <row r="36" spans="2:8" ht="15" thickBot="1" x14ac:dyDescent="0.35">
      <c r="B36" s="17" t="s">
        <v>263</v>
      </c>
      <c r="C36" s="17" t="s">
        <v>238</v>
      </c>
      <c r="D36" s="17">
        <v>-2.6431463218040685E-3</v>
      </c>
      <c r="E36" s="17">
        <v>0</v>
      </c>
      <c r="F36" s="17">
        <v>0</v>
      </c>
      <c r="G36" s="17">
        <v>1E+30</v>
      </c>
      <c r="H36" s="17">
        <v>2.6431463218040759E-3</v>
      </c>
    </row>
  </sheetData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0010C-92F0-4157-A8D2-4CED4F2E2DBC}">
  <dimension ref="A1:H36"/>
  <sheetViews>
    <sheetView showGridLines="0" topLeftCell="A11" workbookViewId="0">
      <selection activeCell="E19" sqref="E19:E36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294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5.3981118252662007E-5</v>
      </c>
      <c r="E9" s="16">
        <v>0</v>
      </c>
      <c r="F9" s="16">
        <v>0</v>
      </c>
      <c r="G9" s="16">
        <v>256.47963153384205</v>
      </c>
      <c r="H9" s="16">
        <v>122.49636292817677</v>
      </c>
    </row>
    <row r="10" spans="1:8" x14ac:dyDescent="0.3">
      <c r="B10" s="16" t="s">
        <v>241</v>
      </c>
      <c r="C10" s="16" t="s">
        <v>214</v>
      </c>
      <c r="D10" s="16">
        <v>6.1401419544604018E-5</v>
      </c>
      <c r="E10" s="16">
        <v>0</v>
      </c>
      <c r="F10" s="16">
        <v>0</v>
      </c>
      <c r="G10" s="16">
        <v>540.87958429469984</v>
      </c>
      <c r="H10" s="16">
        <v>1132.4793093279036</v>
      </c>
    </row>
    <row r="11" spans="1:8" x14ac:dyDescent="0.3">
      <c r="B11" s="16" t="s">
        <v>242</v>
      </c>
      <c r="C11" s="16" t="s">
        <v>103</v>
      </c>
      <c r="D11" s="16">
        <v>5.8333019157958801E-5</v>
      </c>
      <c r="E11" s="16">
        <v>0</v>
      </c>
      <c r="F11" s="16">
        <v>16416</v>
      </c>
      <c r="G11" s="16">
        <v>1041.2400896467761</v>
      </c>
      <c r="H11" s="16">
        <v>1140.2521633611229</v>
      </c>
    </row>
    <row r="12" spans="1:8" x14ac:dyDescent="0.3">
      <c r="B12" s="16" t="s">
        <v>243</v>
      </c>
      <c r="C12" s="16" t="s">
        <v>104</v>
      </c>
      <c r="D12" s="16">
        <v>1.0453101530667801E-6</v>
      </c>
      <c r="E12" s="16">
        <v>0</v>
      </c>
      <c r="F12" s="16">
        <v>1771</v>
      </c>
      <c r="G12" s="16">
        <v>132.19559545680971</v>
      </c>
      <c r="H12" s="16">
        <v>47.939463532479472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-2.7164651142997542E-2</v>
      </c>
      <c r="F13" s="17">
        <v>1</v>
      </c>
      <c r="G13" s="17">
        <v>2.7164651142997542E-2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271</v>
      </c>
      <c r="C18" s="16" t="s">
        <v>216</v>
      </c>
      <c r="D18" s="16">
        <v>1</v>
      </c>
      <c r="E18" s="16">
        <v>0.95944608677813281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-3.4340857178580153E-2</v>
      </c>
      <c r="E19" s="16">
        <v>0</v>
      </c>
      <c r="F19" s="16">
        <v>0</v>
      </c>
      <c r="G19" s="16">
        <v>1E+30</v>
      </c>
      <c r="H19" s="16">
        <v>3.434085717857982E-2</v>
      </c>
    </row>
    <row r="20" spans="2:8" x14ac:dyDescent="0.3">
      <c r="B20" s="16" t="s">
        <v>247</v>
      </c>
      <c r="C20" s="16" t="s">
        <v>222</v>
      </c>
      <c r="D20" s="16">
        <v>-7.1622395341977008E-3</v>
      </c>
      <c r="E20" s="16">
        <v>0</v>
      </c>
      <c r="F20" s="16">
        <v>0</v>
      </c>
      <c r="G20" s="16">
        <v>1E+30</v>
      </c>
      <c r="H20" s="16">
        <v>7.1622395341970485E-3</v>
      </c>
    </row>
    <row r="21" spans="2:8" x14ac:dyDescent="0.3">
      <c r="B21" s="16" t="s">
        <v>248</v>
      </c>
      <c r="C21" s="16" t="s">
        <v>223</v>
      </c>
      <c r="D21" s="16">
        <v>-8.577126213309727E-2</v>
      </c>
      <c r="E21" s="16">
        <v>0</v>
      </c>
      <c r="F21" s="16">
        <v>0</v>
      </c>
      <c r="G21" s="16">
        <v>1E+30</v>
      </c>
      <c r="H21" s="16">
        <v>8.5771262133096646E-2</v>
      </c>
    </row>
    <row r="22" spans="2:8" x14ac:dyDescent="0.3">
      <c r="B22" s="16" t="s">
        <v>249</v>
      </c>
      <c r="C22" s="16" t="s">
        <v>224</v>
      </c>
      <c r="D22" s="16">
        <v>-0.11564056974827897</v>
      </c>
      <c r="E22" s="16">
        <v>0</v>
      </c>
      <c r="F22" s="16">
        <v>0</v>
      </c>
      <c r="G22" s="16">
        <v>1E+30</v>
      </c>
      <c r="H22" s="16">
        <v>0.11564056974827898</v>
      </c>
    </row>
    <row r="23" spans="2:8" x14ac:dyDescent="0.3">
      <c r="B23" s="16" t="s">
        <v>250</v>
      </c>
      <c r="C23" s="16" t="s">
        <v>225</v>
      </c>
      <c r="D23" s="16">
        <v>-3.3306690738754696E-16</v>
      </c>
      <c r="E23" s="21">
        <v>0.91332924546657301</v>
      </c>
      <c r="F23" s="16">
        <v>0</v>
      </c>
      <c r="G23" s="16">
        <v>3.1699476246843678E-3</v>
      </c>
      <c r="H23" s="16">
        <v>4.1834224166034585E-2</v>
      </c>
    </row>
    <row r="24" spans="2:8" x14ac:dyDescent="0.3">
      <c r="B24" s="16" t="s">
        <v>251</v>
      </c>
      <c r="C24" s="16" t="s">
        <v>226</v>
      </c>
      <c r="D24" s="16">
        <v>-3.9418244287792614E-2</v>
      </c>
      <c r="E24" s="16">
        <v>0</v>
      </c>
      <c r="F24" s="16">
        <v>0</v>
      </c>
      <c r="G24" s="16">
        <v>1E+30</v>
      </c>
      <c r="H24" s="16">
        <v>3.9418244287792441E-2</v>
      </c>
    </row>
    <row r="25" spans="2:8" x14ac:dyDescent="0.3">
      <c r="B25" s="16" t="s">
        <v>252</v>
      </c>
      <c r="C25" s="16" t="s">
        <v>227</v>
      </c>
      <c r="D25" s="16">
        <v>-0.10705831080284811</v>
      </c>
      <c r="E25" s="16">
        <v>0</v>
      </c>
      <c r="F25" s="16">
        <v>0</v>
      </c>
      <c r="G25" s="16">
        <v>1E+30</v>
      </c>
      <c r="H25" s="16">
        <v>0.10705831080284801</v>
      </c>
    </row>
    <row r="26" spans="2:8" x14ac:dyDescent="0.3">
      <c r="B26" s="16" t="s">
        <v>253</v>
      </c>
      <c r="C26" s="16" t="s">
        <v>228</v>
      </c>
      <c r="D26" s="16">
        <v>-0.13162893618582583</v>
      </c>
      <c r="E26" s="16">
        <v>0</v>
      </c>
      <c r="F26" s="16">
        <v>0</v>
      </c>
      <c r="G26" s="16">
        <v>1E+30</v>
      </c>
      <c r="H26" s="16">
        <v>0.13162893618582597</v>
      </c>
    </row>
    <row r="27" spans="2:8" x14ac:dyDescent="0.3">
      <c r="B27" s="16" t="s">
        <v>254</v>
      </c>
      <c r="C27" s="16" t="s">
        <v>229</v>
      </c>
      <c r="D27" s="16">
        <v>-2.2204460492503131E-16</v>
      </c>
      <c r="E27" s="21">
        <v>2.7488907520533103E-2</v>
      </c>
      <c r="F27" s="16">
        <v>0</v>
      </c>
      <c r="G27" s="16">
        <v>5.0269512536463305E-3</v>
      </c>
      <c r="H27" s="16">
        <v>3.8525423492548456E-2</v>
      </c>
    </row>
    <row r="28" spans="2:8" x14ac:dyDescent="0.3">
      <c r="B28" s="16" t="s">
        <v>255</v>
      </c>
      <c r="C28" s="16" t="s">
        <v>230</v>
      </c>
      <c r="D28" s="16">
        <v>-4.0553913221867188E-2</v>
      </c>
      <c r="E28" s="16">
        <v>0</v>
      </c>
      <c r="F28" s="16">
        <v>0</v>
      </c>
      <c r="G28" s="16">
        <v>1E+30</v>
      </c>
      <c r="H28" s="16">
        <v>4.0553913221867001E-2</v>
      </c>
    </row>
    <row r="29" spans="2:8" x14ac:dyDescent="0.3">
      <c r="B29" s="16" t="s">
        <v>256</v>
      </c>
      <c r="C29" s="16" t="s">
        <v>231</v>
      </c>
      <c r="D29" s="16">
        <v>-1.329244630001078E-2</v>
      </c>
      <c r="E29" s="16">
        <v>0</v>
      </c>
      <c r="F29" s="16">
        <v>0</v>
      </c>
      <c r="G29" s="16">
        <v>1E+30</v>
      </c>
      <c r="H29" s="16">
        <v>1.3292446300010731E-2</v>
      </c>
    </row>
    <row r="30" spans="2:8" x14ac:dyDescent="0.3">
      <c r="B30" s="16" t="s">
        <v>257</v>
      </c>
      <c r="C30" s="16" t="s">
        <v>232</v>
      </c>
      <c r="D30" s="16">
        <v>-5.0609824711635665E-2</v>
      </c>
      <c r="E30" s="16">
        <v>0</v>
      </c>
      <c r="F30" s="16">
        <v>0</v>
      </c>
      <c r="G30" s="16">
        <v>1E+30</v>
      </c>
      <c r="H30" s="16">
        <v>5.0609824711635408E-2</v>
      </c>
    </row>
    <row r="31" spans="2:8" x14ac:dyDescent="0.3">
      <c r="B31" s="16" t="s">
        <v>258</v>
      </c>
      <c r="C31" s="16" t="s">
        <v>233</v>
      </c>
      <c r="D31" s="16">
        <v>-3.4966755879772826E-3</v>
      </c>
      <c r="E31" s="16">
        <v>0</v>
      </c>
      <c r="F31" s="16">
        <v>0</v>
      </c>
      <c r="G31" s="16">
        <v>1E+30</v>
      </c>
      <c r="H31" s="16">
        <v>3.4966755879771785E-3</v>
      </c>
    </row>
    <row r="32" spans="2:8" x14ac:dyDescent="0.3">
      <c r="B32" s="16" t="s">
        <v>259</v>
      </c>
      <c r="C32" s="16" t="s">
        <v>234</v>
      </c>
      <c r="D32" s="16">
        <v>-1.3368308176223753E-2</v>
      </c>
      <c r="E32" s="16">
        <v>0</v>
      </c>
      <c r="F32" s="16">
        <v>0</v>
      </c>
      <c r="G32" s="16">
        <v>1E+30</v>
      </c>
      <c r="H32" s="16">
        <v>1.336830817622371E-2</v>
      </c>
    </row>
    <row r="33" spans="2:8" x14ac:dyDescent="0.3">
      <c r="B33" s="16" t="s">
        <v>260</v>
      </c>
      <c r="C33" s="16" t="s">
        <v>235</v>
      </c>
      <c r="D33" s="16">
        <v>-1.1102230246251565E-16</v>
      </c>
      <c r="E33" s="21">
        <v>8.634649815589146E-2</v>
      </c>
      <c r="F33" s="16">
        <v>0</v>
      </c>
      <c r="G33" s="16">
        <v>6.9129320456338085E-3</v>
      </c>
      <c r="H33" s="16">
        <v>1.278775469926041E-3</v>
      </c>
    </row>
    <row r="34" spans="2:8" x14ac:dyDescent="0.3">
      <c r="B34" s="16" t="s">
        <v>261</v>
      </c>
      <c r="C34" s="16" t="s">
        <v>236</v>
      </c>
      <c r="D34" s="16">
        <v>-7.8988452940698672E-3</v>
      </c>
      <c r="E34" s="16">
        <v>0</v>
      </c>
      <c r="F34" s="16">
        <v>0</v>
      </c>
      <c r="G34" s="16">
        <v>1E+30</v>
      </c>
      <c r="H34" s="16">
        <v>7.8988452940698048E-3</v>
      </c>
    </row>
    <row r="35" spans="2:8" x14ac:dyDescent="0.3">
      <c r="B35" s="16" t="s">
        <v>262</v>
      </c>
      <c r="C35" s="16" t="s">
        <v>237</v>
      </c>
      <c r="D35" s="16">
        <v>-0.15831126161010561</v>
      </c>
      <c r="E35" s="16">
        <v>0</v>
      </c>
      <c r="F35" s="16">
        <v>0</v>
      </c>
      <c r="G35" s="16">
        <v>1E+30</v>
      </c>
      <c r="H35" s="16">
        <v>0.15831126161010556</v>
      </c>
    </row>
    <row r="36" spans="2:8" ht="15" thickBot="1" x14ac:dyDescent="0.35">
      <c r="B36" s="17" t="s">
        <v>263</v>
      </c>
      <c r="C36" s="17" t="s">
        <v>238</v>
      </c>
      <c r="D36" s="17">
        <v>-8.955628399882759E-3</v>
      </c>
      <c r="E36" s="17">
        <v>0</v>
      </c>
      <c r="F36" s="17">
        <v>0</v>
      </c>
      <c r="G36" s="17">
        <v>1E+30</v>
      </c>
      <c r="H36" s="17">
        <v>8.9556283998826879E-3</v>
      </c>
    </row>
  </sheetData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16BE7-B962-499C-AA21-9819FE57228E}">
  <dimension ref="A1:H36"/>
  <sheetViews>
    <sheetView showGridLines="0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4" width="12.6640625" bestFit="1" customWidth="1"/>
    <col min="5" max="5" width="11.554687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295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0</v>
      </c>
      <c r="E9" s="16">
        <v>0</v>
      </c>
      <c r="F9" s="16">
        <v>0</v>
      </c>
      <c r="G9" s="16">
        <v>0</v>
      </c>
      <c r="H9" s="16">
        <v>1E+30</v>
      </c>
    </row>
    <row r="10" spans="1:8" x14ac:dyDescent="0.3">
      <c r="B10" s="16" t="s">
        <v>241</v>
      </c>
      <c r="C10" s="16" t="s">
        <v>214</v>
      </c>
      <c r="D10" s="16">
        <v>5.461496450027307E-4</v>
      </c>
      <c r="E10" s="16">
        <v>0</v>
      </c>
      <c r="F10" s="16">
        <v>0</v>
      </c>
      <c r="G10" s="16">
        <v>1E+30</v>
      </c>
      <c r="H10" s="16">
        <v>0</v>
      </c>
    </row>
    <row r="11" spans="1:8" x14ac:dyDescent="0.3">
      <c r="B11" s="16" t="s">
        <v>242</v>
      </c>
      <c r="C11" s="16" t="s">
        <v>103</v>
      </c>
      <c r="D11" s="16">
        <v>0</v>
      </c>
      <c r="E11" s="16">
        <v>0</v>
      </c>
      <c r="F11" s="16">
        <v>1672</v>
      </c>
      <c r="G11" s="16">
        <v>0</v>
      </c>
      <c r="H11" s="16">
        <v>1E+30</v>
      </c>
    </row>
    <row r="12" spans="1:8" x14ac:dyDescent="0.3">
      <c r="B12" s="16" t="s">
        <v>243</v>
      </c>
      <c r="C12" s="16" t="s">
        <v>104</v>
      </c>
      <c r="D12" s="16">
        <v>6.3171193935565367E-4</v>
      </c>
      <c r="E12" s="16">
        <v>0</v>
      </c>
      <c r="F12" s="16">
        <v>1583</v>
      </c>
      <c r="G12" s="16">
        <v>1E+30</v>
      </c>
      <c r="H12" s="16">
        <v>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0</v>
      </c>
      <c r="F13" s="17">
        <v>1</v>
      </c>
      <c r="G13" s="17">
        <v>0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272</v>
      </c>
      <c r="C18" s="16" t="s">
        <v>216</v>
      </c>
      <c r="D18" s="16">
        <v>0.99999999999999989</v>
      </c>
      <c r="E18" s="16">
        <v>0.99999999999999978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-8.2138560545501029</v>
      </c>
      <c r="E19" s="16">
        <v>0</v>
      </c>
      <c r="F19" s="16">
        <v>0</v>
      </c>
      <c r="G19" s="16">
        <v>1E+30</v>
      </c>
      <c r="H19" s="16">
        <v>8.2138560545501029</v>
      </c>
    </row>
    <row r="20" spans="2:8" x14ac:dyDescent="0.3">
      <c r="B20" s="16" t="s">
        <v>247</v>
      </c>
      <c r="C20" s="16" t="s">
        <v>222</v>
      </c>
      <c r="D20" s="16">
        <v>-11.120327151572569</v>
      </c>
      <c r="E20" s="16">
        <v>0</v>
      </c>
      <c r="F20" s="16">
        <v>0</v>
      </c>
      <c r="G20" s="16">
        <v>1E+30</v>
      </c>
      <c r="H20" s="16">
        <v>11.120327151572569</v>
      </c>
    </row>
    <row r="21" spans="2:8" x14ac:dyDescent="0.3">
      <c r="B21" s="16" t="s">
        <v>248</v>
      </c>
      <c r="C21" s="16" t="s">
        <v>223</v>
      </c>
      <c r="D21" s="16">
        <v>-22.735627690856528</v>
      </c>
      <c r="E21" s="16">
        <v>0</v>
      </c>
      <c r="F21" s="16">
        <v>0</v>
      </c>
      <c r="G21" s="16">
        <v>1E+30</v>
      </c>
      <c r="H21" s="16">
        <v>22.735627690856528</v>
      </c>
    </row>
    <row r="22" spans="2:8" x14ac:dyDescent="0.3">
      <c r="B22" s="16" t="s">
        <v>249</v>
      </c>
      <c r="C22" s="16" t="s">
        <v>224</v>
      </c>
      <c r="D22" s="16">
        <v>-11.959851963430399</v>
      </c>
      <c r="E22" s="16">
        <v>0</v>
      </c>
      <c r="F22" s="16">
        <v>0</v>
      </c>
      <c r="G22" s="16">
        <v>1E+30</v>
      </c>
      <c r="H22" s="16">
        <v>11.959851963430399</v>
      </c>
    </row>
    <row r="23" spans="2:8" x14ac:dyDescent="0.3">
      <c r="B23" s="16" t="s">
        <v>250</v>
      </c>
      <c r="C23" s="16" t="s">
        <v>225</v>
      </c>
      <c r="D23" s="16">
        <v>-6.004551362044773</v>
      </c>
      <c r="E23" s="16">
        <v>0</v>
      </c>
      <c r="F23" s="16">
        <v>0</v>
      </c>
      <c r="G23" s="16">
        <v>1E+30</v>
      </c>
      <c r="H23" s="16">
        <v>6.004551362044773</v>
      </c>
    </row>
    <row r="24" spans="2:8" x14ac:dyDescent="0.3">
      <c r="B24" s="16" t="s">
        <v>251</v>
      </c>
      <c r="C24" s="16" t="s">
        <v>226</v>
      </c>
      <c r="D24" s="16">
        <v>-7.9960858700426058</v>
      </c>
      <c r="E24" s="16">
        <v>0</v>
      </c>
      <c r="F24" s="16">
        <v>0</v>
      </c>
      <c r="G24" s="16">
        <v>1E+30</v>
      </c>
      <c r="H24" s="16">
        <v>7.9960858700426058</v>
      </c>
    </row>
    <row r="25" spans="2:8" x14ac:dyDescent="0.3">
      <c r="B25" s="16" t="s">
        <v>252</v>
      </c>
      <c r="C25" s="16" t="s">
        <v>227</v>
      </c>
      <c r="D25" s="16">
        <v>-5.2686200630469902</v>
      </c>
      <c r="E25" s="16">
        <v>0</v>
      </c>
      <c r="F25" s="16">
        <v>0</v>
      </c>
      <c r="G25" s="16">
        <v>1E+30</v>
      </c>
      <c r="H25" s="16">
        <v>5.2686200630469902</v>
      </c>
    </row>
    <row r="26" spans="2:8" x14ac:dyDescent="0.3">
      <c r="B26" s="16" t="s">
        <v>253</v>
      </c>
      <c r="C26" s="16" t="s">
        <v>228</v>
      </c>
      <c r="D26" s="16">
        <v>-8.5653121488452708</v>
      </c>
      <c r="E26" s="16">
        <v>0</v>
      </c>
      <c r="F26" s="16">
        <v>0</v>
      </c>
      <c r="G26" s="16">
        <v>1E+30</v>
      </c>
      <c r="H26" s="16">
        <v>8.5653121488452708</v>
      </c>
    </row>
    <row r="27" spans="2:8" x14ac:dyDescent="0.3">
      <c r="B27" s="16" t="s">
        <v>254</v>
      </c>
      <c r="C27" s="16" t="s">
        <v>229</v>
      </c>
      <c r="D27" s="16">
        <v>-11.178533662380156</v>
      </c>
      <c r="E27" s="16">
        <v>0</v>
      </c>
      <c r="F27" s="16">
        <v>0</v>
      </c>
      <c r="G27" s="16">
        <v>1E+30</v>
      </c>
      <c r="H27" s="16">
        <v>11.178533662380156</v>
      </c>
    </row>
    <row r="28" spans="2:8" x14ac:dyDescent="0.3">
      <c r="B28" s="16" t="s">
        <v>255</v>
      </c>
      <c r="C28" s="16" t="s">
        <v>230</v>
      </c>
      <c r="D28" s="16">
        <v>-6.2990426338282255</v>
      </c>
      <c r="E28" s="16">
        <v>0</v>
      </c>
      <c r="F28" s="16">
        <v>0</v>
      </c>
      <c r="G28" s="16">
        <v>1E+30</v>
      </c>
      <c r="H28" s="16">
        <v>6.2990426338282255</v>
      </c>
    </row>
    <row r="29" spans="2:8" x14ac:dyDescent="0.3">
      <c r="B29" s="16" t="s">
        <v>256</v>
      </c>
      <c r="C29" s="16" t="s">
        <v>231</v>
      </c>
      <c r="D29" s="16">
        <v>-1.1102230246251565E-16</v>
      </c>
      <c r="E29" s="16">
        <v>0.99999999999999989</v>
      </c>
      <c r="F29" s="16">
        <v>0</v>
      </c>
      <c r="G29" s="16">
        <v>8.6197142322552184E-2</v>
      </c>
      <c r="H29" s="16">
        <v>0.99999999999999978</v>
      </c>
    </row>
    <row r="30" spans="2:8" x14ac:dyDescent="0.3">
      <c r="B30" s="16" t="s">
        <v>257</v>
      </c>
      <c r="C30" s="16" t="s">
        <v>232</v>
      </c>
      <c r="D30" s="16">
        <v>-3.1736386711209659</v>
      </c>
      <c r="E30" s="16">
        <v>0</v>
      </c>
      <c r="F30" s="16">
        <v>0</v>
      </c>
      <c r="G30" s="16">
        <v>1E+30</v>
      </c>
      <c r="H30" s="16">
        <v>3.1736386711209659</v>
      </c>
    </row>
    <row r="31" spans="2:8" x14ac:dyDescent="0.3">
      <c r="B31" s="16" t="s">
        <v>258</v>
      </c>
      <c r="C31" s="16" t="s">
        <v>233</v>
      </c>
      <c r="D31" s="16">
        <v>-4.4510726855140623</v>
      </c>
      <c r="E31" s="16">
        <v>0</v>
      </c>
      <c r="F31" s="16">
        <v>0</v>
      </c>
      <c r="G31" s="16">
        <v>1E+30</v>
      </c>
      <c r="H31" s="16">
        <v>4.4510726855140623</v>
      </c>
    </row>
    <row r="32" spans="2:8" x14ac:dyDescent="0.3">
      <c r="B32" s="16" t="s">
        <v>259</v>
      </c>
      <c r="C32" s="16" t="s">
        <v>234</v>
      </c>
      <c r="D32" s="16">
        <v>-2.6869272199534029</v>
      </c>
      <c r="E32" s="16">
        <v>0</v>
      </c>
      <c r="F32" s="16">
        <v>0</v>
      </c>
      <c r="G32" s="16">
        <v>1E+30</v>
      </c>
      <c r="H32" s="16">
        <v>2.6869272199534029</v>
      </c>
    </row>
    <row r="33" spans="2:8" x14ac:dyDescent="0.3">
      <c r="B33" s="16" t="s">
        <v>260</v>
      </c>
      <c r="C33" s="16" t="s">
        <v>235</v>
      </c>
      <c r="D33" s="16">
        <v>-2.3950431830829544</v>
      </c>
      <c r="E33" s="16">
        <v>0</v>
      </c>
      <c r="F33" s="16">
        <v>0</v>
      </c>
      <c r="G33" s="16">
        <v>1E+30</v>
      </c>
      <c r="H33" s="16">
        <v>2.3950431830829544</v>
      </c>
    </row>
    <row r="34" spans="2:8" x14ac:dyDescent="0.3">
      <c r="B34" s="16" t="s">
        <v>261</v>
      </c>
      <c r="C34" s="16" t="s">
        <v>236</v>
      </c>
      <c r="D34" s="16">
        <v>-1.6868271672704904</v>
      </c>
      <c r="E34" s="16">
        <v>0</v>
      </c>
      <c r="F34" s="16">
        <v>0</v>
      </c>
      <c r="G34" s="16">
        <v>1E+30</v>
      </c>
      <c r="H34" s="16">
        <v>1.6868271672704904</v>
      </c>
    </row>
    <row r="35" spans="2:8" x14ac:dyDescent="0.3">
      <c r="B35" s="16" t="s">
        <v>262</v>
      </c>
      <c r="C35" s="16" t="s">
        <v>237</v>
      </c>
      <c r="D35" s="16">
        <v>-9.4092648094358911E-2</v>
      </c>
      <c r="E35" s="16">
        <v>0</v>
      </c>
      <c r="F35" s="16">
        <v>0</v>
      </c>
      <c r="G35" s="16">
        <v>1E+30</v>
      </c>
      <c r="H35" s="16">
        <v>9.4092648094358911E-2</v>
      </c>
    </row>
    <row r="36" spans="2:8" ht="15" thickBot="1" x14ac:dyDescent="0.35">
      <c r="B36" s="17" t="s">
        <v>263</v>
      </c>
      <c r="C36" s="17" t="s">
        <v>238</v>
      </c>
      <c r="D36" s="17">
        <v>-0.87631004325381001</v>
      </c>
      <c r="E36" s="17">
        <v>0</v>
      </c>
      <c r="F36" s="17">
        <v>0</v>
      </c>
      <c r="G36" s="17">
        <v>1E+30</v>
      </c>
      <c r="H36" s="17">
        <v>0.87631004325381001</v>
      </c>
    </row>
  </sheetData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E532E-F3A2-457A-89DF-EBA33A462C7C}">
  <dimension ref="A1:H36"/>
  <sheetViews>
    <sheetView showGridLines="0" topLeftCell="A15" workbookViewId="0">
      <selection activeCell="E19" sqref="E19:E36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296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8.7704073850809405E-5</v>
      </c>
      <c r="E9" s="16">
        <v>0</v>
      </c>
      <c r="F9" s="16">
        <v>0</v>
      </c>
      <c r="G9" s="16">
        <v>558.83167395112469</v>
      </c>
      <c r="H9" s="16">
        <v>206.93868358079288</v>
      </c>
    </row>
    <row r="10" spans="1:8" x14ac:dyDescent="0.3">
      <c r="B10" s="16" t="s">
        <v>241</v>
      </c>
      <c r="C10" s="16" t="s">
        <v>214</v>
      </c>
      <c r="D10" s="16">
        <v>1.2534045686081905E-4</v>
      </c>
      <c r="E10" s="16">
        <v>0</v>
      </c>
      <c r="F10" s="16">
        <v>0</v>
      </c>
      <c r="G10" s="16">
        <v>1221.931812898838</v>
      </c>
      <c r="H10" s="16">
        <v>3299.7900085210031</v>
      </c>
    </row>
    <row r="11" spans="1:8" x14ac:dyDescent="0.3">
      <c r="B11" s="16" t="s">
        <v>242</v>
      </c>
      <c r="C11" s="16" t="s">
        <v>103</v>
      </c>
      <c r="D11" s="16">
        <v>1.1249486680401876E-4</v>
      </c>
      <c r="E11" s="16">
        <v>0</v>
      </c>
      <c r="F11" s="16">
        <v>7738</v>
      </c>
      <c r="G11" s="16">
        <v>3240.4445837879853</v>
      </c>
      <c r="H11" s="16">
        <v>2432.6132813685199</v>
      </c>
    </row>
    <row r="12" spans="1:8" x14ac:dyDescent="0.3">
      <c r="B12" s="16" t="s">
        <v>243</v>
      </c>
      <c r="C12" s="16" t="s">
        <v>104</v>
      </c>
      <c r="D12" s="16">
        <v>0</v>
      </c>
      <c r="E12" s="16">
        <v>-561.66529670714021</v>
      </c>
      <c r="F12" s="16">
        <v>1143</v>
      </c>
      <c r="G12" s="16">
        <v>561.66529670714021</v>
      </c>
      <c r="H12" s="16">
        <v>1E+30</v>
      </c>
    </row>
    <row r="13" spans="1:8" ht="15" thickBot="1" x14ac:dyDescent="0.35">
      <c r="B13" s="17" t="s">
        <v>244</v>
      </c>
      <c r="C13" s="17" t="s">
        <v>281</v>
      </c>
      <c r="D13" s="17">
        <v>4.1494663289691161E-2</v>
      </c>
      <c r="E13" s="17">
        <v>0</v>
      </c>
      <c r="F13" s="17">
        <v>1</v>
      </c>
      <c r="G13" s="17">
        <v>0.45851761810796099</v>
      </c>
      <c r="H13" s="17">
        <v>0.29516427022578345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273</v>
      </c>
      <c r="C18" s="16" t="s">
        <v>216</v>
      </c>
      <c r="D18" s="16">
        <v>1</v>
      </c>
      <c r="E18" s="16">
        <v>0.91197994261918836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-0.11913564628431643</v>
      </c>
      <c r="E19" s="16">
        <v>0</v>
      </c>
      <c r="F19" s="16">
        <v>0</v>
      </c>
      <c r="G19" s="16">
        <v>1E+30</v>
      </c>
      <c r="H19" s="16">
        <v>0.11913564628431648</v>
      </c>
    </row>
    <row r="20" spans="2:8" x14ac:dyDescent="0.3">
      <c r="B20" s="16" t="s">
        <v>247</v>
      </c>
      <c r="C20" s="16" t="s">
        <v>222</v>
      </c>
      <c r="D20" s="16">
        <v>-2.987154526354778E-2</v>
      </c>
      <c r="E20" s="16">
        <v>0</v>
      </c>
      <c r="F20" s="16">
        <v>0</v>
      </c>
      <c r="G20" s="16">
        <v>1E+30</v>
      </c>
      <c r="H20" s="16">
        <v>2.9871545263547686E-2</v>
      </c>
    </row>
    <row r="21" spans="2:8" x14ac:dyDescent="0.3">
      <c r="B21" s="16" t="s">
        <v>248</v>
      </c>
      <c r="C21" s="16" t="s">
        <v>223</v>
      </c>
      <c r="D21" s="16">
        <v>-0.31301334607026704</v>
      </c>
      <c r="E21" s="16">
        <v>0</v>
      </c>
      <c r="F21" s="16">
        <v>0</v>
      </c>
      <c r="G21" s="16">
        <v>1E+30</v>
      </c>
      <c r="H21" s="16">
        <v>0.31301334607026676</v>
      </c>
    </row>
    <row r="22" spans="2:8" x14ac:dyDescent="0.3">
      <c r="B22" s="16" t="s">
        <v>249</v>
      </c>
      <c r="C22" s="16" t="s">
        <v>224</v>
      </c>
      <c r="D22" s="16">
        <v>-0.24827188080053614</v>
      </c>
      <c r="E22" s="16">
        <v>0</v>
      </c>
      <c r="F22" s="16">
        <v>0</v>
      </c>
      <c r="G22" s="16">
        <v>1E+30</v>
      </c>
      <c r="H22" s="16">
        <v>0.24827188080053553</v>
      </c>
    </row>
    <row r="23" spans="2:8" x14ac:dyDescent="0.3">
      <c r="B23" s="16" t="s">
        <v>250</v>
      </c>
      <c r="C23" s="16" t="s">
        <v>225</v>
      </c>
      <c r="D23" s="16">
        <v>7.3552275381416621E-16</v>
      </c>
      <c r="E23" s="21">
        <v>0.30855593716172081</v>
      </c>
      <c r="F23" s="16">
        <v>0</v>
      </c>
      <c r="G23" s="16">
        <v>3.3609398391208308E-3</v>
      </c>
      <c r="H23" s="16">
        <v>4.5994388079725758E-2</v>
      </c>
    </row>
    <row r="24" spans="2:8" x14ac:dyDescent="0.3">
      <c r="B24" s="16" t="s">
        <v>251</v>
      </c>
      <c r="C24" s="16" t="s">
        <v>226</v>
      </c>
      <c r="D24" s="16">
        <v>-8.9528232145268546E-2</v>
      </c>
      <c r="E24" s="16">
        <v>0</v>
      </c>
      <c r="F24" s="16">
        <v>0</v>
      </c>
      <c r="G24" s="16">
        <v>1E+30</v>
      </c>
      <c r="H24" s="16">
        <v>8.952823214526924E-2</v>
      </c>
    </row>
    <row r="25" spans="2:8" x14ac:dyDescent="0.3">
      <c r="B25" s="16" t="s">
        <v>252</v>
      </c>
      <c r="C25" s="16" t="s">
        <v>227</v>
      </c>
      <c r="D25" s="16">
        <v>-0.19286623085449411</v>
      </c>
      <c r="E25" s="16">
        <v>0</v>
      </c>
      <c r="F25" s="16">
        <v>0</v>
      </c>
      <c r="G25" s="16">
        <v>1E+30</v>
      </c>
      <c r="H25" s="16">
        <v>0.19286623085449403</v>
      </c>
    </row>
    <row r="26" spans="2:8" x14ac:dyDescent="0.3">
      <c r="B26" s="16" t="s">
        <v>253</v>
      </c>
      <c r="C26" s="16" t="s">
        <v>228</v>
      </c>
      <c r="D26" s="16">
        <v>-0.27521820370640543</v>
      </c>
      <c r="E26" s="16">
        <v>0</v>
      </c>
      <c r="F26" s="16">
        <v>0</v>
      </c>
      <c r="G26" s="16">
        <v>1E+30</v>
      </c>
      <c r="H26" s="16">
        <v>0.27521820370640515</v>
      </c>
    </row>
    <row r="27" spans="2:8" x14ac:dyDescent="0.3">
      <c r="B27" s="16" t="s">
        <v>254</v>
      </c>
      <c r="C27" s="16" t="s">
        <v>229</v>
      </c>
      <c r="D27" s="16">
        <v>-0.10316007768204842</v>
      </c>
      <c r="E27" s="16">
        <v>0</v>
      </c>
      <c r="F27" s="16">
        <v>0</v>
      </c>
      <c r="G27" s="16">
        <v>1E+30</v>
      </c>
      <c r="H27" s="16">
        <v>0.1031600776820487</v>
      </c>
    </row>
    <row r="28" spans="2:8" x14ac:dyDescent="0.3">
      <c r="B28" s="16" t="s">
        <v>255</v>
      </c>
      <c r="C28" s="16" t="s">
        <v>230</v>
      </c>
      <c r="D28" s="16">
        <v>-8.3941419504270851E-2</v>
      </c>
      <c r="E28" s="16">
        <v>0</v>
      </c>
      <c r="F28" s="16">
        <v>0</v>
      </c>
      <c r="G28" s="16">
        <v>1E+30</v>
      </c>
      <c r="H28" s="16">
        <v>8.394141950427092E-2</v>
      </c>
    </row>
    <row r="29" spans="2:8" x14ac:dyDescent="0.3">
      <c r="B29" s="16" t="s">
        <v>256</v>
      </c>
      <c r="C29" s="16" t="s">
        <v>231</v>
      </c>
      <c r="D29" s="16">
        <v>0</v>
      </c>
      <c r="E29" s="21">
        <v>0.43124434080112101</v>
      </c>
      <c r="F29" s="16">
        <v>0</v>
      </c>
      <c r="G29" s="16">
        <v>8.8406286098763245E-3</v>
      </c>
      <c r="H29" s="16">
        <v>2.5891272276137557E-2</v>
      </c>
    </row>
    <row r="30" spans="2:8" x14ac:dyDescent="0.3">
      <c r="B30" s="16" t="s">
        <v>257</v>
      </c>
      <c r="C30" s="16" t="s">
        <v>232</v>
      </c>
      <c r="D30" s="16">
        <v>-8.8020057380811687E-2</v>
      </c>
      <c r="E30" s="16">
        <v>0</v>
      </c>
      <c r="F30" s="16">
        <v>0</v>
      </c>
      <c r="G30" s="16">
        <v>1E+30</v>
      </c>
      <c r="H30" s="16">
        <v>8.8020057380811756E-2</v>
      </c>
    </row>
    <row r="31" spans="2:8" x14ac:dyDescent="0.3">
      <c r="B31" s="16" t="s">
        <v>258</v>
      </c>
      <c r="C31" s="16" t="s">
        <v>233</v>
      </c>
      <c r="D31" s="16">
        <v>-2.4803907432646016E-3</v>
      </c>
      <c r="E31" s="16">
        <v>0</v>
      </c>
      <c r="F31" s="16">
        <v>0</v>
      </c>
      <c r="G31" s="16">
        <v>1E+30</v>
      </c>
      <c r="H31" s="16">
        <v>2.4803907432644399E-3</v>
      </c>
    </row>
    <row r="32" spans="2:8" x14ac:dyDescent="0.3">
      <c r="B32" s="16" t="s">
        <v>259</v>
      </c>
      <c r="C32" s="16" t="s">
        <v>234</v>
      </c>
      <c r="D32" s="16">
        <v>-3.1821572295734721E-2</v>
      </c>
      <c r="E32" s="16">
        <v>0</v>
      </c>
      <c r="F32" s="16">
        <v>0</v>
      </c>
      <c r="G32" s="16">
        <v>1E+30</v>
      </c>
      <c r="H32" s="16">
        <v>3.1821572295734624E-2</v>
      </c>
    </row>
    <row r="33" spans="2:8" x14ac:dyDescent="0.3">
      <c r="B33" s="16" t="s">
        <v>260</v>
      </c>
      <c r="C33" s="16" t="s">
        <v>235</v>
      </c>
      <c r="D33" s="16">
        <v>0</v>
      </c>
      <c r="E33" s="21">
        <v>0.26019972203715852</v>
      </c>
      <c r="F33" s="16">
        <v>0</v>
      </c>
      <c r="G33" s="16">
        <v>7.4933233850547898E-3</v>
      </c>
      <c r="H33" s="16">
        <v>3.9685071687767991E-2</v>
      </c>
    </row>
    <row r="34" spans="2:8" x14ac:dyDescent="0.3">
      <c r="B34" s="16" t="s">
        <v>261</v>
      </c>
      <c r="C34" s="16" t="s">
        <v>236</v>
      </c>
      <c r="D34" s="16">
        <v>-1.3584378952513562E-2</v>
      </c>
      <c r="E34" s="16">
        <v>0</v>
      </c>
      <c r="F34" s="16">
        <v>0</v>
      </c>
      <c r="G34" s="16">
        <v>1E+30</v>
      </c>
      <c r="H34" s="16">
        <v>1.3584378952513555E-2</v>
      </c>
    </row>
    <row r="35" spans="2:8" x14ac:dyDescent="0.3">
      <c r="B35" s="16" t="s">
        <v>262</v>
      </c>
      <c r="C35" s="16" t="s">
        <v>237</v>
      </c>
      <c r="D35" s="16">
        <v>-0.26929562402863133</v>
      </c>
      <c r="E35" s="16">
        <v>0</v>
      </c>
      <c r="F35" s="16">
        <v>0</v>
      </c>
      <c r="G35" s="16">
        <v>1E+30</v>
      </c>
      <c r="H35" s="16">
        <v>0.26929562402863116</v>
      </c>
    </row>
    <row r="36" spans="2:8" ht="15" thickBot="1" x14ac:dyDescent="0.35">
      <c r="B36" s="17" t="s">
        <v>263</v>
      </c>
      <c r="C36" s="17" t="s">
        <v>238</v>
      </c>
      <c r="D36" s="17">
        <v>-4.4479142127733934E-3</v>
      </c>
      <c r="E36" s="17">
        <v>0</v>
      </c>
      <c r="F36" s="17">
        <v>0</v>
      </c>
      <c r="G36" s="17">
        <v>1E+30</v>
      </c>
      <c r="H36" s="17">
        <v>4.4479142127733344E-3</v>
      </c>
    </row>
  </sheetData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694C-0969-47E3-9AD5-E34E1DE9BED5}">
  <dimension ref="A1:H36"/>
  <sheetViews>
    <sheetView showGridLines="0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4" width="12.6640625" bestFit="1" customWidth="1"/>
    <col min="5" max="5" width="11.554687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297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5.2921216618121773E-5</v>
      </c>
      <c r="E9" s="16">
        <v>0</v>
      </c>
      <c r="F9" s="16">
        <v>0</v>
      </c>
      <c r="G9" s="16">
        <v>0</v>
      </c>
      <c r="H9" s="16">
        <v>0</v>
      </c>
    </row>
    <row r="10" spans="1:8" x14ac:dyDescent="0.3">
      <c r="B10" s="16" t="s">
        <v>241</v>
      </c>
      <c r="C10" s="16" t="s">
        <v>214</v>
      </c>
      <c r="D10" s="16">
        <v>8.4185274534029131E-5</v>
      </c>
      <c r="E10" s="16">
        <v>0</v>
      </c>
      <c r="F10" s="16">
        <v>0</v>
      </c>
      <c r="G10" s="16">
        <v>0</v>
      </c>
      <c r="H10" s="16">
        <v>0</v>
      </c>
    </row>
    <row r="11" spans="1:8" x14ac:dyDescent="0.3">
      <c r="B11" s="16" t="s">
        <v>242</v>
      </c>
      <c r="C11" s="16" t="s">
        <v>103</v>
      </c>
      <c r="D11" s="16">
        <v>7.3849500063745258E-5</v>
      </c>
      <c r="E11" s="16">
        <v>0</v>
      </c>
      <c r="F11" s="16">
        <v>13031</v>
      </c>
      <c r="G11" s="16">
        <v>0</v>
      </c>
      <c r="H11" s="16">
        <v>0</v>
      </c>
    </row>
    <row r="12" spans="1:8" x14ac:dyDescent="0.3">
      <c r="B12" s="16" t="s">
        <v>243</v>
      </c>
      <c r="C12" s="16" t="s">
        <v>104</v>
      </c>
      <c r="D12" s="16">
        <v>1.9406061138245952E-5</v>
      </c>
      <c r="E12" s="16">
        <v>0</v>
      </c>
      <c r="F12" s="16">
        <v>1941</v>
      </c>
      <c r="G12" s="16">
        <v>0</v>
      </c>
      <c r="H12" s="16">
        <v>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0</v>
      </c>
      <c r="F13" s="17">
        <v>1</v>
      </c>
      <c r="G13" s="17">
        <v>0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274</v>
      </c>
      <c r="C18" s="16" t="s">
        <v>216</v>
      </c>
      <c r="D18" s="16">
        <v>1.0000000000000002</v>
      </c>
      <c r="E18" s="16">
        <v>1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-9.5398622649348619E-2</v>
      </c>
      <c r="E19" s="16">
        <v>0</v>
      </c>
      <c r="F19" s="16">
        <v>0</v>
      </c>
      <c r="G19" s="16">
        <v>1E+30</v>
      </c>
      <c r="H19" s="16">
        <v>9.5398622649348563E-2</v>
      </c>
    </row>
    <row r="20" spans="2:8" x14ac:dyDescent="0.3">
      <c r="B20" s="16" t="s">
        <v>247</v>
      </c>
      <c r="C20" s="16" t="s">
        <v>222</v>
      </c>
      <c r="D20" s="16">
        <v>-7.7981183506179441E-3</v>
      </c>
      <c r="E20" s="16">
        <v>0</v>
      </c>
      <c r="F20" s="16">
        <v>0</v>
      </c>
      <c r="G20" s="16">
        <v>1E+30</v>
      </c>
      <c r="H20" s="16">
        <v>7.7981183506175555E-3</v>
      </c>
    </row>
    <row r="21" spans="2:8" x14ac:dyDescent="0.3">
      <c r="B21" s="16" t="s">
        <v>248</v>
      </c>
      <c r="C21" s="16" t="s">
        <v>223</v>
      </c>
      <c r="D21" s="16">
        <v>-0.24279419972086513</v>
      </c>
      <c r="E21" s="16">
        <v>0</v>
      </c>
      <c r="F21" s="16">
        <v>0</v>
      </c>
      <c r="G21" s="16">
        <v>1E+30</v>
      </c>
      <c r="H21" s="16">
        <v>0.24279419972086441</v>
      </c>
    </row>
    <row r="22" spans="2:8" x14ac:dyDescent="0.3">
      <c r="B22" s="16" t="s">
        <v>249</v>
      </c>
      <c r="C22" s="16" t="s">
        <v>224</v>
      </c>
      <c r="D22" s="16">
        <v>-0.18608825074048063</v>
      </c>
      <c r="E22" s="16">
        <v>0</v>
      </c>
      <c r="F22" s="16">
        <v>0</v>
      </c>
      <c r="G22" s="16">
        <v>1E+30</v>
      </c>
      <c r="H22" s="16">
        <v>0.18608825074048113</v>
      </c>
    </row>
    <row r="23" spans="2:8" x14ac:dyDescent="0.3">
      <c r="B23" s="16" t="s">
        <v>250</v>
      </c>
      <c r="C23" s="16" t="s">
        <v>225</v>
      </c>
      <c r="D23" s="16">
        <v>-4.5749413447173648E-3</v>
      </c>
      <c r="E23" s="16">
        <v>0</v>
      </c>
      <c r="F23" s="16">
        <v>0</v>
      </c>
      <c r="G23" s="16">
        <v>1E+30</v>
      </c>
      <c r="H23" s="16">
        <v>4.5749413447171497E-3</v>
      </c>
    </row>
    <row r="24" spans="2:8" x14ac:dyDescent="0.3">
      <c r="B24" s="16" t="s">
        <v>251</v>
      </c>
      <c r="C24" s="16" t="s">
        <v>226</v>
      </c>
      <c r="D24" s="16">
        <v>-6.9958999631466678E-2</v>
      </c>
      <c r="E24" s="16">
        <v>0</v>
      </c>
      <c r="F24" s="16">
        <v>0</v>
      </c>
      <c r="G24" s="16">
        <v>1E+30</v>
      </c>
      <c r="H24" s="16">
        <v>6.9958999631466415E-2</v>
      </c>
    </row>
    <row r="25" spans="2:8" x14ac:dyDescent="0.3">
      <c r="B25" s="16" t="s">
        <v>252</v>
      </c>
      <c r="C25" s="16" t="s">
        <v>227</v>
      </c>
      <c r="D25" s="16">
        <v>-0.16113897044074132</v>
      </c>
      <c r="E25" s="16">
        <v>0</v>
      </c>
      <c r="F25" s="16">
        <v>0</v>
      </c>
      <c r="G25" s="16">
        <v>1E+30</v>
      </c>
      <c r="H25" s="16">
        <v>0.16113897044074096</v>
      </c>
    </row>
    <row r="26" spans="2:8" x14ac:dyDescent="0.3">
      <c r="B26" s="16" t="s">
        <v>253</v>
      </c>
      <c r="C26" s="16" t="s">
        <v>228</v>
      </c>
      <c r="D26" s="16">
        <v>-0.19418473621706722</v>
      </c>
      <c r="E26" s="16">
        <v>0</v>
      </c>
      <c r="F26" s="16">
        <v>0</v>
      </c>
      <c r="G26" s="16">
        <v>1E+30</v>
      </c>
      <c r="H26" s="16">
        <v>0.19418473621706706</v>
      </c>
    </row>
    <row r="27" spans="2:8" x14ac:dyDescent="0.3">
      <c r="B27" s="16" t="s">
        <v>254</v>
      </c>
      <c r="C27" s="16" t="s">
        <v>229</v>
      </c>
      <c r="D27" s="16">
        <v>-8.5815982371891364E-2</v>
      </c>
      <c r="E27" s="16">
        <v>0</v>
      </c>
      <c r="F27" s="16">
        <v>0</v>
      </c>
      <c r="G27" s="16">
        <v>1E+30</v>
      </c>
      <c r="H27" s="16">
        <v>8.5815982371891267E-2</v>
      </c>
    </row>
    <row r="28" spans="2:8" x14ac:dyDescent="0.3">
      <c r="B28" s="16" t="s">
        <v>255</v>
      </c>
      <c r="C28" s="16" t="s">
        <v>230</v>
      </c>
      <c r="D28" s="16">
        <v>-5.9508533716250422E-2</v>
      </c>
      <c r="E28" s="16">
        <v>0</v>
      </c>
      <c r="F28" s="16">
        <v>0</v>
      </c>
      <c r="G28" s="16">
        <v>1E+30</v>
      </c>
      <c r="H28" s="16">
        <v>5.9508533716250187E-2</v>
      </c>
    </row>
    <row r="29" spans="2:8" x14ac:dyDescent="0.3">
      <c r="B29" s="16" t="s">
        <v>256</v>
      </c>
      <c r="C29" s="16" t="s">
        <v>231</v>
      </c>
      <c r="D29" s="16">
        <v>-5.5511151231257827E-17</v>
      </c>
      <c r="E29" s="16">
        <v>0</v>
      </c>
      <c r="F29" s="16">
        <v>0</v>
      </c>
      <c r="G29" s="16">
        <v>5.7648421384182552E-3</v>
      </c>
      <c r="H29" s="16">
        <v>7.4976117487667278E-3</v>
      </c>
    </row>
    <row r="30" spans="2:8" x14ac:dyDescent="0.3">
      <c r="B30" s="16" t="s">
        <v>257</v>
      </c>
      <c r="C30" s="16" t="s">
        <v>232</v>
      </c>
      <c r="D30" s="16">
        <v>-7.0793833551644925E-2</v>
      </c>
      <c r="E30" s="16">
        <v>0</v>
      </c>
      <c r="F30" s="16">
        <v>0</v>
      </c>
      <c r="G30" s="16">
        <v>1E+30</v>
      </c>
      <c r="H30" s="16">
        <v>7.07938335516448E-2</v>
      </c>
    </row>
    <row r="31" spans="2:8" x14ac:dyDescent="0.3">
      <c r="B31" s="16" t="s">
        <v>258</v>
      </c>
      <c r="C31" s="16" t="s">
        <v>233</v>
      </c>
      <c r="D31" s="16">
        <v>-3.3306690738754696E-16</v>
      </c>
      <c r="E31" s="16">
        <v>1</v>
      </c>
      <c r="F31" s="16">
        <v>0</v>
      </c>
      <c r="G31" s="16">
        <v>2.5257232694524782E-3</v>
      </c>
      <c r="H31" s="16">
        <v>2.3271298582930599E-2</v>
      </c>
    </row>
    <row r="32" spans="2:8" x14ac:dyDescent="0.3">
      <c r="B32" s="16" t="s">
        <v>259</v>
      </c>
      <c r="C32" s="16" t="s">
        <v>234</v>
      </c>
      <c r="D32" s="16">
        <v>-2.5698546172217007E-2</v>
      </c>
      <c r="E32" s="16">
        <v>0</v>
      </c>
      <c r="F32" s="16">
        <v>0</v>
      </c>
      <c r="G32" s="16">
        <v>1E+30</v>
      </c>
      <c r="H32" s="16">
        <v>2.5698546172216879E-2</v>
      </c>
    </row>
    <row r="33" spans="2:8" x14ac:dyDescent="0.3">
      <c r="B33" s="16" t="s">
        <v>260</v>
      </c>
      <c r="C33" s="16" t="s">
        <v>235</v>
      </c>
      <c r="D33" s="16">
        <v>-1.1102230246251565E-16</v>
      </c>
      <c r="E33" s="16">
        <v>0</v>
      </c>
      <c r="F33" s="16">
        <v>0</v>
      </c>
      <c r="G33" s="16">
        <v>5.0803791330788122E-3</v>
      </c>
      <c r="H33" s="16">
        <v>7.0041456682862447E-3</v>
      </c>
    </row>
    <row r="34" spans="2:8" x14ac:dyDescent="0.3">
      <c r="B34" s="16" t="s">
        <v>261</v>
      </c>
      <c r="C34" s="16" t="s">
        <v>236</v>
      </c>
      <c r="D34" s="16">
        <v>-1.0356537340227845E-2</v>
      </c>
      <c r="E34" s="16">
        <v>0</v>
      </c>
      <c r="F34" s="16">
        <v>0</v>
      </c>
      <c r="G34" s="16">
        <v>1E+30</v>
      </c>
      <c r="H34" s="16">
        <v>1.0356537340227788E-2</v>
      </c>
    </row>
    <row r="35" spans="2:8" x14ac:dyDescent="0.3">
      <c r="B35" s="16" t="s">
        <v>262</v>
      </c>
      <c r="C35" s="16" t="s">
        <v>237</v>
      </c>
      <c r="D35" s="16">
        <v>-0.17092246256030136</v>
      </c>
      <c r="E35" s="16">
        <v>0</v>
      </c>
      <c r="F35" s="16">
        <v>0</v>
      </c>
      <c r="G35" s="16">
        <v>1E+30</v>
      </c>
      <c r="H35" s="16">
        <v>0.17092246256030133</v>
      </c>
    </row>
    <row r="36" spans="2:8" ht="15" thickBot="1" x14ac:dyDescent="0.35">
      <c r="B36" s="17" t="s">
        <v>263</v>
      </c>
      <c r="C36" s="17" t="s">
        <v>238</v>
      </c>
      <c r="D36" s="17">
        <v>-3.0657527035657384E-3</v>
      </c>
      <c r="E36" s="17">
        <v>0</v>
      </c>
      <c r="F36" s="17">
        <v>0</v>
      </c>
      <c r="G36" s="17">
        <v>1E+30</v>
      </c>
      <c r="H36" s="17">
        <v>3.0657527035656724E-3</v>
      </c>
    </row>
  </sheetData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7FCA-4E12-413B-835C-FDE76DA113C0}">
  <dimension ref="A1:H36"/>
  <sheetViews>
    <sheetView showGridLines="0" topLeftCell="A12" workbookViewId="0">
      <selection activeCell="E19" sqref="E19:E36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298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1.6336006449687451E-4</v>
      </c>
      <c r="E9" s="16">
        <v>0</v>
      </c>
      <c r="F9" s="16">
        <v>0</v>
      </c>
      <c r="G9" s="16">
        <v>136.34331070523882</v>
      </c>
      <c r="H9" s="16">
        <v>235.47088428275805</v>
      </c>
    </row>
    <row r="10" spans="1:8" x14ac:dyDescent="0.3">
      <c r="B10" s="16" t="s">
        <v>241</v>
      </c>
      <c r="C10" s="16" t="s">
        <v>214</v>
      </c>
      <c r="D10" s="16">
        <v>1.3715890777800852E-4</v>
      </c>
      <c r="E10" s="16">
        <v>0</v>
      </c>
      <c r="F10" s="16">
        <v>0</v>
      </c>
      <c r="G10" s="16">
        <v>6173.5862668720101</v>
      </c>
      <c r="H10" s="16">
        <v>3574.6550708959985</v>
      </c>
    </row>
    <row r="11" spans="1:8" x14ac:dyDescent="0.3">
      <c r="B11" s="16" t="s">
        <v>242</v>
      </c>
      <c r="C11" s="16" t="s">
        <v>103</v>
      </c>
      <c r="D11" s="16">
        <v>1.3227320537190156E-4</v>
      </c>
      <c r="E11" s="16">
        <v>0</v>
      </c>
      <c r="F11" s="16">
        <v>7326</v>
      </c>
      <c r="G11" s="16">
        <v>4423.2056665886994</v>
      </c>
      <c r="H11" s="16">
        <v>1086.9288067904529</v>
      </c>
    </row>
    <row r="12" spans="1:8" x14ac:dyDescent="0.3">
      <c r="B12" s="16" t="s">
        <v>243</v>
      </c>
      <c r="C12" s="16" t="s">
        <v>104</v>
      </c>
      <c r="D12" s="16">
        <v>0</v>
      </c>
      <c r="E12" s="16">
        <v>-134.39074538581502</v>
      </c>
      <c r="F12" s="16">
        <v>1776</v>
      </c>
      <c r="G12" s="16">
        <v>134.39074538581502</v>
      </c>
      <c r="H12" s="16">
        <v>1E+30</v>
      </c>
    </row>
    <row r="13" spans="1:8" ht="15" thickBot="1" x14ac:dyDescent="0.35">
      <c r="B13" s="17" t="s">
        <v>244</v>
      </c>
      <c r="C13" s="17" t="s">
        <v>281</v>
      </c>
      <c r="D13" s="17">
        <v>1.1503722244769563E-2</v>
      </c>
      <c r="E13" s="17">
        <v>0</v>
      </c>
      <c r="F13" s="17">
        <v>1</v>
      </c>
      <c r="G13" s="17">
        <v>0.17421323994081675</v>
      </c>
      <c r="H13" s="17">
        <v>7.8458907620725674E-2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275</v>
      </c>
      <c r="C18" s="16" t="s">
        <v>216</v>
      </c>
      <c r="D18" s="16">
        <v>1</v>
      </c>
      <c r="E18" s="16">
        <v>0.98053722479932026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-0.1044518111412738</v>
      </c>
      <c r="E19" s="16">
        <v>0</v>
      </c>
      <c r="F19" s="16">
        <v>0</v>
      </c>
      <c r="G19" s="16">
        <v>1E+30</v>
      </c>
      <c r="H19" s="16">
        <v>0.10445181114127401</v>
      </c>
    </row>
    <row r="20" spans="2:8" x14ac:dyDescent="0.3">
      <c r="B20" s="16" t="s">
        <v>247</v>
      </c>
      <c r="C20" s="16" t="s">
        <v>222</v>
      </c>
      <c r="D20" s="16">
        <v>-0.23863576452148919</v>
      </c>
      <c r="E20" s="16">
        <v>0</v>
      </c>
      <c r="F20" s="16">
        <v>0</v>
      </c>
      <c r="G20" s="16">
        <v>1E+30</v>
      </c>
      <c r="H20" s="16">
        <v>0.23863576452148619</v>
      </c>
    </row>
    <row r="21" spans="2:8" x14ac:dyDescent="0.3">
      <c r="B21" s="16" t="s">
        <v>248</v>
      </c>
      <c r="C21" s="16" t="s">
        <v>223</v>
      </c>
      <c r="D21" s="16">
        <v>-0.39589311096430135</v>
      </c>
      <c r="E21" s="16">
        <v>0</v>
      </c>
      <c r="F21" s="16">
        <v>0</v>
      </c>
      <c r="G21" s="16">
        <v>1E+30</v>
      </c>
      <c r="H21" s="16">
        <v>0.39589311096430652</v>
      </c>
    </row>
    <row r="22" spans="2:8" x14ac:dyDescent="0.3">
      <c r="B22" s="16" t="s">
        <v>249</v>
      </c>
      <c r="C22" s="16" t="s">
        <v>224</v>
      </c>
      <c r="D22" s="16">
        <v>-0.44461411687754326</v>
      </c>
      <c r="E22" s="16">
        <v>0</v>
      </c>
      <c r="F22" s="16">
        <v>0</v>
      </c>
      <c r="G22" s="16">
        <v>1E+30</v>
      </c>
      <c r="H22" s="16">
        <v>0.44461411687754371</v>
      </c>
    </row>
    <row r="23" spans="2:8" x14ac:dyDescent="0.3">
      <c r="B23" s="16" t="s">
        <v>250</v>
      </c>
      <c r="C23" s="16" t="s">
        <v>225</v>
      </c>
      <c r="D23" s="16">
        <v>-9.4433584246864238E-2</v>
      </c>
      <c r="E23" s="16">
        <v>0</v>
      </c>
      <c r="F23" s="16">
        <v>0</v>
      </c>
      <c r="G23" s="16">
        <v>1E+30</v>
      </c>
      <c r="H23" s="16">
        <v>9.4433584246864849E-2</v>
      </c>
    </row>
    <row r="24" spans="2:8" x14ac:dyDescent="0.3">
      <c r="B24" s="16" t="s">
        <v>251</v>
      </c>
      <c r="C24" s="16" t="s">
        <v>226</v>
      </c>
      <c r="D24" s="16">
        <v>-0.20186162694109336</v>
      </c>
      <c r="E24" s="16">
        <v>0</v>
      </c>
      <c r="F24" s="16">
        <v>0</v>
      </c>
      <c r="G24" s="16">
        <v>1E+30</v>
      </c>
      <c r="H24" s="16">
        <v>0.20186162694109017</v>
      </c>
    </row>
    <row r="25" spans="2:8" x14ac:dyDescent="0.3">
      <c r="B25" s="16" t="s">
        <v>252</v>
      </c>
      <c r="C25" s="16" t="s">
        <v>227</v>
      </c>
      <c r="D25" s="16">
        <v>-0.3085359990758727</v>
      </c>
      <c r="E25" s="16">
        <v>0</v>
      </c>
      <c r="F25" s="16">
        <v>0</v>
      </c>
      <c r="G25" s="16">
        <v>1E+30</v>
      </c>
      <c r="H25" s="16">
        <v>0.30853599907587526</v>
      </c>
    </row>
    <row r="26" spans="2:8" x14ac:dyDescent="0.3">
      <c r="B26" s="16" t="s">
        <v>253</v>
      </c>
      <c r="C26" s="16" t="s">
        <v>228</v>
      </c>
      <c r="D26" s="16">
        <v>-0.40699282750650934</v>
      </c>
      <c r="E26" s="16">
        <v>0</v>
      </c>
      <c r="F26" s="16">
        <v>0</v>
      </c>
      <c r="G26" s="16">
        <v>1E+30</v>
      </c>
      <c r="H26" s="16">
        <v>0.40699282750650689</v>
      </c>
    </row>
    <row r="27" spans="2:8" x14ac:dyDescent="0.3">
      <c r="B27" s="16" t="s">
        <v>254</v>
      </c>
      <c r="C27" s="16" t="s">
        <v>229</v>
      </c>
      <c r="D27" s="16">
        <v>-4.6837533851373792E-16</v>
      </c>
      <c r="E27" s="21">
        <v>6.2226292038953829E-2</v>
      </c>
      <c r="F27" s="16">
        <v>0</v>
      </c>
      <c r="G27" s="16">
        <v>3.2206655064485903E-2</v>
      </c>
      <c r="H27" s="16">
        <v>4.8622261666904101E-2</v>
      </c>
    </row>
    <row r="28" spans="2:8" x14ac:dyDescent="0.3">
      <c r="B28" s="16" t="s">
        <v>255</v>
      </c>
      <c r="C28" s="16" t="s">
        <v>230</v>
      </c>
      <c r="D28" s="16">
        <v>-0.18248718220339202</v>
      </c>
      <c r="E28" s="16">
        <v>0</v>
      </c>
      <c r="F28" s="16">
        <v>0</v>
      </c>
      <c r="G28" s="16">
        <v>1E+30</v>
      </c>
      <c r="H28" s="16">
        <v>0.1824871822033908</v>
      </c>
    </row>
    <row r="29" spans="2:8" x14ac:dyDescent="0.3">
      <c r="B29" s="16" t="s">
        <v>256</v>
      </c>
      <c r="C29" s="16" t="s">
        <v>231</v>
      </c>
      <c r="D29" s="16">
        <v>-1.8636798579441529E-2</v>
      </c>
      <c r="E29" s="16">
        <v>0</v>
      </c>
      <c r="F29" s="16">
        <v>0</v>
      </c>
      <c r="G29" s="16">
        <v>1E+30</v>
      </c>
      <c r="H29" s="16">
        <v>1.8636798579441501E-2</v>
      </c>
    </row>
    <row r="30" spans="2:8" x14ac:dyDescent="0.3">
      <c r="B30" s="16" t="s">
        <v>257</v>
      </c>
      <c r="C30" s="16" t="s">
        <v>232</v>
      </c>
      <c r="D30" s="16">
        <v>-0.1406596616802154</v>
      </c>
      <c r="E30" s="16">
        <v>0</v>
      </c>
      <c r="F30" s="16">
        <v>0</v>
      </c>
      <c r="G30" s="16">
        <v>1E+30</v>
      </c>
      <c r="H30" s="16">
        <v>0.14065966168021499</v>
      </c>
    </row>
    <row r="31" spans="2:8" x14ac:dyDescent="0.3">
      <c r="B31" s="16" t="s">
        <v>258</v>
      </c>
      <c r="C31" s="16" t="s">
        <v>233</v>
      </c>
      <c r="D31" s="16">
        <v>-7.6140737119003515E-2</v>
      </c>
      <c r="E31" s="16">
        <v>0</v>
      </c>
      <c r="F31" s="16">
        <v>0</v>
      </c>
      <c r="G31" s="16">
        <v>1E+30</v>
      </c>
      <c r="H31" s="16">
        <v>7.6140737119003044E-2</v>
      </c>
    </row>
    <row r="32" spans="2:8" x14ac:dyDescent="0.3">
      <c r="B32" s="16" t="s">
        <v>259</v>
      </c>
      <c r="C32" s="16" t="s">
        <v>234</v>
      </c>
      <c r="D32" s="16">
        <v>-1.9462775200679652E-2</v>
      </c>
      <c r="E32" s="16">
        <v>0</v>
      </c>
      <c r="F32" s="16">
        <v>0</v>
      </c>
      <c r="G32" s="16">
        <v>1E+30</v>
      </c>
      <c r="H32" s="16">
        <v>1.9462775200679672E-2</v>
      </c>
    </row>
    <row r="33" spans="2:8" x14ac:dyDescent="0.3">
      <c r="B33" s="16" t="s">
        <v>260</v>
      </c>
      <c r="C33" s="16" t="s">
        <v>235</v>
      </c>
      <c r="D33" s="16">
        <v>-2.4286128663675299E-17</v>
      </c>
      <c r="E33" s="21">
        <v>0.35362003018154475</v>
      </c>
      <c r="F33" s="16">
        <v>0</v>
      </c>
      <c r="G33" s="16">
        <v>1.4541194964118544E-2</v>
      </c>
      <c r="H33" s="16">
        <v>1.2247012399906811E-2</v>
      </c>
    </row>
    <row r="34" spans="2:8" x14ac:dyDescent="0.3">
      <c r="B34" s="16" t="s">
        <v>261</v>
      </c>
      <c r="C34" s="16" t="s">
        <v>236</v>
      </c>
      <c r="D34" s="16">
        <v>-2.4286128663675299E-17</v>
      </c>
      <c r="E34" s="21">
        <v>0.58415367777950156</v>
      </c>
      <c r="F34" s="16">
        <v>0</v>
      </c>
      <c r="G34" s="16">
        <v>6.6694527764773991E-3</v>
      </c>
      <c r="H34" s="16">
        <v>1.754848016066363E-2</v>
      </c>
    </row>
    <row r="35" spans="2:8" x14ac:dyDescent="0.3">
      <c r="B35" s="16" t="s">
        <v>262</v>
      </c>
      <c r="C35" s="16" t="s">
        <v>237</v>
      </c>
      <c r="D35" s="16">
        <v>-0.3796321131336573</v>
      </c>
      <c r="E35" s="16">
        <v>0</v>
      </c>
      <c r="F35" s="16">
        <v>0</v>
      </c>
      <c r="G35" s="16">
        <v>1E+30</v>
      </c>
      <c r="H35" s="16">
        <v>0.3796321131336573</v>
      </c>
    </row>
    <row r="36" spans="2:8" ht="15" thickBot="1" x14ac:dyDescent="0.35">
      <c r="B36" s="17" t="s">
        <v>263</v>
      </c>
      <c r="C36" s="17" t="s">
        <v>238</v>
      </c>
      <c r="D36" s="17">
        <v>-5.4737108186983206E-3</v>
      </c>
      <c r="E36" s="17">
        <v>0</v>
      </c>
      <c r="F36" s="17">
        <v>0</v>
      </c>
      <c r="G36" s="17">
        <v>1E+30</v>
      </c>
      <c r="H36" s="17">
        <v>5.4737108186984516E-3</v>
      </c>
    </row>
  </sheetData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DEE04-8372-4B70-A58E-ED808C13D18F}">
  <dimension ref="A1:H36"/>
  <sheetViews>
    <sheetView showGridLines="0" topLeftCell="A12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4" width="12.6640625" bestFit="1" customWidth="1"/>
    <col min="5" max="5" width="12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299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1.2001570628468786E-4</v>
      </c>
      <c r="E9" s="16">
        <v>0</v>
      </c>
      <c r="F9" s="16">
        <v>0</v>
      </c>
      <c r="G9" s="16">
        <v>0</v>
      </c>
      <c r="H9" s="16">
        <v>3.9657295526776996E-14</v>
      </c>
    </row>
    <row r="10" spans="1:8" x14ac:dyDescent="0.3">
      <c r="B10" s="16" t="s">
        <v>241</v>
      </c>
      <c r="C10" s="16" t="s">
        <v>214</v>
      </c>
      <c r="D10" s="16">
        <v>1.4192025438557665E-4</v>
      </c>
      <c r="E10" s="16">
        <v>0</v>
      </c>
      <c r="F10" s="16">
        <v>0</v>
      </c>
      <c r="G10" s="16">
        <v>5.2089542933980916E-13</v>
      </c>
      <c r="H10" s="16">
        <v>0</v>
      </c>
    </row>
    <row r="11" spans="1:8" x14ac:dyDescent="0.3">
      <c r="B11" s="16" t="s">
        <v>242</v>
      </c>
      <c r="C11" s="16" t="s">
        <v>103</v>
      </c>
      <c r="D11" s="16">
        <v>1.2738562155034853E-4</v>
      </c>
      <c r="E11" s="16">
        <v>0</v>
      </c>
      <c r="F11" s="16">
        <v>7400</v>
      </c>
      <c r="G11" s="16">
        <v>0</v>
      </c>
      <c r="H11" s="16">
        <v>1.2582794783108733E-12</v>
      </c>
    </row>
    <row r="12" spans="1:8" x14ac:dyDescent="0.3">
      <c r="B12" s="16" t="s">
        <v>243</v>
      </c>
      <c r="C12" s="16" t="s">
        <v>104</v>
      </c>
      <c r="D12" s="16">
        <v>2.9682401929306845E-5</v>
      </c>
      <c r="E12" s="16">
        <v>0</v>
      </c>
      <c r="F12" s="16">
        <v>1932</v>
      </c>
      <c r="G12" s="16">
        <v>3.2851296649954188E-13</v>
      </c>
      <c r="H12" s="16">
        <v>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0</v>
      </c>
      <c r="F13" s="17">
        <v>1</v>
      </c>
      <c r="G13" s="17">
        <v>0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276</v>
      </c>
      <c r="C18" s="16" t="s">
        <v>216</v>
      </c>
      <c r="D18" s="16">
        <v>1</v>
      </c>
      <c r="E18" s="16">
        <v>1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-0.16359617163059292</v>
      </c>
      <c r="E19" s="16">
        <v>0</v>
      </c>
      <c r="F19" s="16">
        <v>0</v>
      </c>
      <c r="G19" s="16">
        <v>1E+30</v>
      </c>
      <c r="H19" s="16">
        <v>0.16359617163059248</v>
      </c>
    </row>
    <row r="20" spans="2:8" x14ac:dyDescent="0.3">
      <c r="B20" s="16" t="s">
        <v>247</v>
      </c>
      <c r="C20" s="16" t="s">
        <v>222</v>
      </c>
      <c r="D20" s="16">
        <v>-0.14006045550546142</v>
      </c>
      <c r="E20" s="16">
        <v>0</v>
      </c>
      <c r="F20" s="16">
        <v>0</v>
      </c>
      <c r="G20" s="16">
        <v>1E+30</v>
      </c>
      <c r="H20" s="16">
        <v>0.14006045550546098</v>
      </c>
    </row>
    <row r="21" spans="2:8" x14ac:dyDescent="0.3">
      <c r="B21" s="16" t="s">
        <v>248</v>
      </c>
      <c r="C21" s="16" t="s">
        <v>223</v>
      </c>
      <c r="D21" s="16">
        <v>-0.49154678676867292</v>
      </c>
      <c r="E21" s="16">
        <v>0</v>
      </c>
      <c r="F21" s="16">
        <v>0</v>
      </c>
      <c r="G21" s="16">
        <v>1E+30</v>
      </c>
      <c r="H21" s="16">
        <v>0.49154678676867114</v>
      </c>
    </row>
    <row r="22" spans="2:8" x14ac:dyDescent="0.3">
      <c r="B22" s="16" t="s">
        <v>249</v>
      </c>
      <c r="C22" s="16" t="s">
        <v>224</v>
      </c>
      <c r="D22" s="16">
        <v>-0.41670843464219054</v>
      </c>
      <c r="E22" s="16">
        <v>0</v>
      </c>
      <c r="F22" s="16">
        <v>0</v>
      </c>
      <c r="G22" s="16">
        <v>1E+30</v>
      </c>
      <c r="H22" s="16">
        <v>0.41670843464219054</v>
      </c>
    </row>
    <row r="23" spans="2:8" x14ac:dyDescent="0.3">
      <c r="B23" s="16" t="s">
        <v>250</v>
      </c>
      <c r="C23" s="16" t="s">
        <v>225</v>
      </c>
      <c r="D23" s="16">
        <v>-6.1973768913481164E-2</v>
      </c>
      <c r="E23" s="16">
        <v>0</v>
      </c>
      <c r="F23" s="16">
        <v>0</v>
      </c>
      <c r="G23" s="16">
        <v>1E+30</v>
      </c>
      <c r="H23" s="16">
        <v>6.1973768913481386E-2</v>
      </c>
    </row>
    <row r="24" spans="2:8" x14ac:dyDescent="0.3">
      <c r="B24" s="16" t="s">
        <v>251</v>
      </c>
      <c r="C24" s="16" t="s">
        <v>226</v>
      </c>
      <c r="D24" s="16">
        <v>-0.18070479077112456</v>
      </c>
      <c r="E24" s="16">
        <v>0</v>
      </c>
      <c r="F24" s="16">
        <v>0</v>
      </c>
      <c r="G24" s="16">
        <v>1E+30</v>
      </c>
      <c r="H24" s="16">
        <v>0.18070479077112278</v>
      </c>
    </row>
    <row r="25" spans="2:8" x14ac:dyDescent="0.3">
      <c r="B25" s="16" t="s">
        <v>252</v>
      </c>
      <c r="C25" s="16" t="s">
        <v>227</v>
      </c>
      <c r="D25" s="16">
        <v>-0.31441226686968204</v>
      </c>
      <c r="E25" s="16">
        <v>0</v>
      </c>
      <c r="F25" s="16">
        <v>0</v>
      </c>
      <c r="G25" s="16">
        <v>1E+30</v>
      </c>
      <c r="H25" s="16">
        <v>0.31441226686968093</v>
      </c>
    </row>
    <row r="26" spans="2:8" x14ac:dyDescent="0.3">
      <c r="B26" s="16" t="s">
        <v>253</v>
      </c>
      <c r="C26" s="16" t="s">
        <v>228</v>
      </c>
      <c r="D26" s="16">
        <v>-0.390289103598219</v>
      </c>
      <c r="E26" s="16">
        <v>0</v>
      </c>
      <c r="F26" s="16">
        <v>0</v>
      </c>
      <c r="G26" s="16">
        <v>1E+30</v>
      </c>
      <c r="H26" s="16">
        <v>0.390289103598219</v>
      </c>
    </row>
    <row r="27" spans="2:8" x14ac:dyDescent="0.3">
      <c r="B27" s="16" t="s">
        <v>254</v>
      </c>
      <c r="C27" s="16" t="s">
        <v>229</v>
      </c>
      <c r="D27" s="16">
        <v>-0.11842950933487995</v>
      </c>
      <c r="E27" s="16">
        <v>0</v>
      </c>
      <c r="F27" s="16">
        <v>0</v>
      </c>
      <c r="G27" s="16">
        <v>1E+30</v>
      </c>
      <c r="H27" s="16">
        <v>0.11842950933488039</v>
      </c>
    </row>
    <row r="28" spans="2:8" x14ac:dyDescent="0.3">
      <c r="B28" s="16" t="s">
        <v>255</v>
      </c>
      <c r="C28" s="16" t="s">
        <v>230</v>
      </c>
      <c r="D28" s="16">
        <v>-0.15299931040927772</v>
      </c>
      <c r="E28" s="16">
        <v>0</v>
      </c>
      <c r="F28" s="16">
        <v>0</v>
      </c>
      <c r="G28" s="16">
        <v>1E+30</v>
      </c>
      <c r="H28" s="16">
        <v>0.15299931040927728</v>
      </c>
    </row>
    <row r="29" spans="2:8" x14ac:dyDescent="0.3">
      <c r="B29" s="16" t="s">
        <v>256</v>
      </c>
      <c r="C29" s="16" t="s">
        <v>231</v>
      </c>
      <c r="D29" s="16">
        <v>-5.5511151231257827E-17</v>
      </c>
      <c r="E29" s="16">
        <v>0</v>
      </c>
      <c r="F29" s="16">
        <v>0</v>
      </c>
      <c r="G29" s="16">
        <v>9.7906167049650328E-3</v>
      </c>
      <c r="H29" s="16">
        <v>8.1240622239356648E-3</v>
      </c>
    </row>
    <row r="30" spans="2:8" x14ac:dyDescent="0.3">
      <c r="B30" s="16" t="s">
        <v>257</v>
      </c>
      <c r="C30" s="16" t="s">
        <v>232</v>
      </c>
      <c r="D30" s="16">
        <v>-0.13765922276242648</v>
      </c>
      <c r="E30" s="16">
        <v>0</v>
      </c>
      <c r="F30" s="16">
        <v>0</v>
      </c>
      <c r="G30" s="16">
        <v>1E+30</v>
      </c>
      <c r="H30" s="16">
        <v>0.13765922276242648</v>
      </c>
    </row>
    <row r="31" spans="2:8" x14ac:dyDescent="0.3">
      <c r="B31" s="16" t="s">
        <v>258</v>
      </c>
      <c r="C31" s="16" t="s">
        <v>233</v>
      </c>
      <c r="D31" s="16">
        <v>-4.0922534602556349E-2</v>
      </c>
      <c r="E31" s="16">
        <v>0</v>
      </c>
      <c r="F31" s="16">
        <v>0</v>
      </c>
      <c r="G31" s="16">
        <v>1E+30</v>
      </c>
      <c r="H31" s="16">
        <v>4.0922534602557015E-2</v>
      </c>
    </row>
    <row r="32" spans="2:8" x14ac:dyDescent="0.3">
      <c r="B32" s="16" t="s">
        <v>259</v>
      </c>
      <c r="C32" s="16" t="s">
        <v>234</v>
      </c>
      <c r="D32" s="16">
        <v>-3.5733022652436164E-2</v>
      </c>
      <c r="E32" s="16">
        <v>0</v>
      </c>
      <c r="F32" s="16">
        <v>0</v>
      </c>
      <c r="G32" s="16">
        <v>1E+30</v>
      </c>
      <c r="H32" s="16">
        <v>3.5733022652436108E-2</v>
      </c>
    </row>
    <row r="33" spans="2:8" x14ac:dyDescent="0.3">
      <c r="B33" s="16" t="s">
        <v>260</v>
      </c>
      <c r="C33" s="16" t="s">
        <v>235</v>
      </c>
      <c r="D33" s="16">
        <v>-2.2204460492503131E-16</v>
      </c>
      <c r="E33" s="16">
        <v>1</v>
      </c>
      <c r="F33" s="16">
        <v>0</v>
      </c>
      <c r="G33" s="16">
        <v>8.8028348567354246E-3</v>
      </c>
      <c r="H33" s="16">
        <v>0.99728579493807379</v>
      </c>
    </row>
    <row r="34" spans="2:8" x14ac:dyDescent="0.3">
      <c r="B34" s="16" t="s">
        <v>261</v>
      </c>
      <c r="C34" s="16" t="s">
        <v>236</v>
      </c>
      <c r="D34" s="16">
        <v>-7.6861663827638704E-3</v>
      </c>
      <c r="E34" s="16">
        <v>0</v>
      </c>
      <c r="F34" s="16">
        <v>0</v>
      </c>
      <c r="G34" s="16">
        <v>1E+30</v>
      </c>
      <c r="H34" s="16">
        <v>7.6861663827638045E-3</v>
      </c>
    </row>
    <row r="35" spans="2:8" x14ac:dyDescent="0.3">
      <c r="B35" s="16" t="s">
        <v>262</v>
      </c>
      <c r="C35" s="16" t="s">
        <v>237</v>
      </c>
      <c r="D35" s="16">
        <v>-0.31707173668567534</v>
      </c>
      <c r="E35" s="16">
        <v>0</v>
      </c>
      <c r="F35" s="16">
        <v>0</v>
      </c>
      <c r="G35" s="16">
        <v>1E+30</v>
      </c>
      <c r="H35" s="16">
        <v>0.31707173668567545</v>
      </c>
    </row>
    <row r="36" spans="2:8" ht="15" thickBot="1" x14ac:dyDescent="0.35">
      <c r="B36" s="17" t="s">
        <v>263</v>
      </c>
      <c r="C36" s="17" t="s">
        <v>238</v>
      </c>
      <c r="D36" s="17">
        <v>0</v>
      </c>
      <c r="E36" s="17">
        <v>2.2204460492503131E-16</v>
      </c>
      <c r="F36" s="17">
        <v>0</v>
      </c>
      <c r="G36" s="17">
        <v>4.0156730648397022E-3</v>
      </c>
      <c r="H36" s="17">
        <v>5.2497670257320387E-3</v>
      </c>
    </row>
  </sheetData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CCA8-E097-4E39-824A-E9C32BFEE31D}">
  <dimension ref="A1:H36"/>
  <sheetViews>
    <sheetView showGridLines="0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4" width="12.6640625" bestFit="1" customWidth="1"/>
    <col min="5" max="5" width="12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300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2.0856209929679843E-4</v>
      </c>
      <c r="E9" s="16">
        <v>0</v>
      </c>
      <c r="F9" s="16">
        <v>0</v>
      </c>
      <c r="G9" s="16">
        <v>0</v>
      </c>
      <c r="H9" s="16">
        <v>223.05977140349142</v>
      </c>
    </row>
    <row r="10" spans="1:8" x14ac:dyDescent="0.3">
      <c r="B10" s="16" t="s">
        <v>241</v>
      </c>
      <c r="C10" s="16" t="s">
        <v>214</v>
      </c>
      <c r="D10" s="16">
        <v>1.9160433842481858E-4</v>
      </c>
      <c r="E10" s="16">
        <v>0</v>
      </c>
      <c r="F10" s="16">
        <v>0</v>
      </c>
      <c r="G10" s="16">
        <v>1163925.887183418</v>
      </c>
      <c r="H10" s="16">
        <v>0</v>
      </c>
    </row>
    <row r="11" spans="1:8" x14ac:dyDescent="0.3">
      <c r="B11" s="16" t="s">
        <v>242</v>
      </c>
      <c r="C11" s="16" t="s">
        <v>103</v>
      </c>
      <c r="D11" s="16">
        <v>1.7888766598930493E-4</v>
      </c>
      <c r="E11" s="16">
        <v>0</v>
      </c>
      <c r="F11" s="16">
        <v>5325</v>
      </c>
      <c r="G11" s="16">
        <v>0</v>
      </c>
      <c r="H11" s="16">
        <v>1.6024786675372334E-14</v>
      </c>
    </row>
    <row r="12" spans="1:8" x14ac:dyDescent="0.3">
      <c r="B12" s="16" t="s">
        <v>243</v>
      </c>
      <c r="C12" s="16" t="s">
        <v>104</v>
      </c>
      <c r="D12" s="16">
        <v>2.5759466923927987E-5</v>
      </c>
      <c r="E12" s="16">
        <v>0</v>
      </c>
      <c r="F12" s="16">
        <v>1841</v>
      </c>
      <c r="G12" s="16">
        <v>5.540212632743654E-15</v>
      </c>
      <c r="H12" s="16">
        <v>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0</v>
      </c>
      <c r="F13" s="17">
        <v>1</v>
      </c>
      <c r="G13" s="17">
        <v>0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277</v>
      </c>
      <c r="C18" s="16" t="s">
        <v>216</v>
      </c>
      <c r="D18" s="16">
        <v>1.0000000000000002</v>
      </c>
      <c r="E18" s="16">
        <v>1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-0.19431214783772299</v>
      </c>
      <c r="E19" s="16">
        <v>0</v>
      </c>
      <c r="F19" s="16">
        <v>0</v>
      </c>
      <c r="G19" s="16">
        <v>1E+30</v>
      </c>
      <c r="H19" s="16">
        <v>0.1943121478377231</v>
      </c>
    </row>
    <row r="20" spans="2:8" x14ac:dyDescent="0.3">
      <c r="B20" s="16" t="s">
        <v>247</v>
      </c>
      <c r="C20" s="16" t="s">
        <v>222</v>
      </c>
      <c r="D20" s="16">
        <v>-0.32885258354240232</v>
      </c>
      <c r="E20" s="16">
        <v>0</v>
      </c>
      <c r="F20" s="16">
        <v>0</v>
      </c>
      <c r="G20" s="16">
        <v>1E+30</v>
      </c>
      <c r="H20" s="16">
        <v>0.32885258354240277</v>
      </c>
    </row>
    <row r="21" spans="2:8" x14ac:dyDescent="0.3">
      <c r="B21" s="16" t="s">
        <v>248</v>
      </c>
      <c r="C21" s="16" t="s">
        <v>223</v>
      </c>
      <c r="D21" s="16">
        <v>-0.67673810411288216</v>
      </c>
      <c r="E21" s="16">
        <v>0</v>
      </c>
      <c r="F21" s="16">
        <v>0</v>
      </c>
      <c r="G21" s="16">
        <v>1E+30</v>
      </c>
      <c r="H21" s="16">
        <v>0.67673810411288282</v>
      </c>
    </row>
    <row r="22" spans="2:8" x14ac:dyDescent="0.3">
      <c r="B22" s="16" t="s">
        <v>249</v>
      </c>
      <c r="C22" s="16" t="s">
        <v>224</v>
      </c>
      <c r="D22" s="16">
        <v>-0.65814988999308754</v>
      </c>
      <c r="E22" s="16">
        <v>0</v>
      </c>
      <c r="F22" s="16">
        <v>0</v>
      </c>
      <c r="G22" s="16">
        <v>1E+30</v>
      </c>
      <c r="H22" s="16">
        <v>0.6581498899930881</v>
      </c>
    </row>
    <row r="23" spans="2:8" x14ac:dyDescent="0.3">
      <c r="B23" s="16" t="s">
        <v>250</v>
      </c>
      <c r="C23" s="16" t="s">
        <v>225</v>
      </c>
      <c r="D23" s="16">
        <v>-0.14009242442222014</v>
      </c>
      <c r="E23" s="16">
        <v>0</v>
      </c>
      <c r="F23" s="16">
        <v>0</v>
      </c>
      <c r="G23" s="16">
        <v>1E+30</v>
      </c>
      <c r="H23" s="16">
        <v>0.14009242442222086</v>
      </c>
    </row>
    <row r="24" spans="2:8" x14ac:dyDescent="0.3">
      <c r="B24" s="16" t="s">
        <v>251</v>
      </c>
      <c r="C24" s="16" t="s">
        <v>226</v>
      </c>
      <c r="D24" s="16">
        <v>-0.30273054528278864</v>
      </c>
      <c r="E24" s="16">
        <v>0</v>
      </c>
      <c r="F24" s="16">
        <v>0</v>
      </c>
      <c r="G24" s="16">
        <v>1E+30</v>
      </c>
      <c r="H24" s="16">
        <v>0.30273054528278864</v>
      </c>
    </row>
    <row r="25" spans="2:8" x14ac:dyDescent="0.3">
      <c r="B25" s="16" t="s">
        <v>252</v>
      </c>
      <c r="C25" s="16" t="s">
        <v>227</v>
      </c>
      <c r="D25" s="16">
        <v>-0.46236741261011272</v>
      </c>
      <c r="E25" s="16">
        <v>0</v>
      </c>
      <c r="F25" s="16">
        <v>0</v>
      </c>
      <c r="G25" s="16">
        <v>1E+30</v>
      </c>
      <c r="H25" s="16">
        <v>0.46236741261011283</v>
      </c>
    </row>
    <row r="26" spans="2:8" x14ac:dyDescent="0.3">
      <c r="B26" s="16" t="s">
        <v>253</v>
      </c>
      <c r="C26" s="16" t="s">
        <v>228</v>
      </c>
      <c r="D26" s="16">
        <v>-0.58721318388024679</v>
      </c>
      <c r="E26" s="16">
        <v>0</v>
      </c>
      <c r="F26" s="16">
        <v>0</v>
      </c>
      <c r="G26" s="16">
        <v>1E+30</v>
      </c>
      <c r="H26" s="16">
        <v>0.58721318388024701</v>
      </c>
    </row>
    <row r="27" spans="2:8" x14ac:dyDescent="0.3">
      <c r="B27" s="16" t="s">
        <v>254</v>
      </c>
      <c r="C27" s="16" t="s">
        <v>229</v>
      </c>
      <c r="D27" s="16">
        <v>-7.8706805356076437E-2</v>
      </c>
      <c r="E27" s="16">
        <v>0</v>
      </c>
      <c r="F27" s="16">
        <v>0</v>
      </c>
      <c r="G27" s="16">
        <v>1E+30</v>
      </c>
      <c r="H27" s="16">
        <v>7.8706805356076395E-2</v>
      </c>
    </row>
    <row r="28" spans="2:8" x14ac:dyDescent="0.3">
      <c r="B28" s="16" t="s">
        <v>255</v>
      </c>
      <c r="C28" s="16" t="s">
        <v>230</v>
      </c>
      <c r="D28" s="16">
        <v>-0.26166720112013175</v>
      </c>
      <c r="E28" s="16">
        <v>0</v>
      </c>
      <c r="F28" s="16">
        <v>0</v>
      </c>
      <c r="G28" s="16">
        <v>1E+30</v>
      </c>
      <c r="H28" s="16">
        <v>0.26166720112013203</v>
      </c>
    </row>
    <row r="29" spans="2:8" x14ac:dyDescent="0.3">
      <c r="B29" s="16" t="s">
        <v>256</v>
      </c>
      <c r="C29" s="16" t="s">
        <v>231</v>
      </c>
      <c r="D29" s="16">
        <v>-1.1158692080443844E-2</v>
      </c>
      <c r="E29" s="16">
        <v>0</v>
      </c>
      <c r="F29" s="16">
        <v>0</v>
      </c>
      <c r="G29" s="16">
        <v>1E+30</v>
      </c>
      <c r="H29" s="16">
        <v>1.1158692080443844E-2</v>
      </c>
    </row>
    <row r="30" spans="2:8" x14ac:dyDescent="0.3">
      <c r="B30" s="16" t="s">
        <v>257</v>
      </c>
      <c r="C30" s="16" t="s">
        <v>232</v>
      </c>
      <c r="D30" s="16">
        <v>-0.20498093181547228</v>
      </c>
      <c r="E30" s="16">
        <v>0</v>
      </c>
      <c r="F30" s="16">
        <v>0</v>
      </c>
      <c r="G30" s="16">
        <v>1E+30</v>
      </c>
      <c r="H30" s="16">
        <v>0.20498093181547233</v>
      </c>
    </row>
    <row r="31" spans="2:8" x14ac:dyDescent="0.3">
      <c r="B31" s="16" t="s">
        <v>258</v>
      </c>
      <c r="C31" s="16" t="s">
        <v>233</v>
      </c>
      <c r="D31" s="16">
        <v>-0.10284935146045648</v>
      </c>
      <c r="E31" s="16">
        <v>0</v>
      </c>
      <c r="F31" s="16">
        <v>0</v>
      </c>
      <c r="G31" s="16">
        <v>1E+30</v>
      </c>
      <c r="H31" s="16">
        <v>0.10284935146045665</v>
      </c>
    </row>
    <row r="32" spans="2:8" x14ac:dyDescent="0.3">
      <c r="B32" s="16" t="s">
        <v>259</v>
      </c>
      <c r="C32" s="16" t="s">
        <v>234</v>
      </c>
      <c r="D32" s="16">
        <v>-3.5446320293089029E-2</v>
      </c>
      <c r="E32" s="16">
        <v>0</v>
      </c>
      <c r="F32" s="16">
        <v>0</v>
      </c>
      <c r="G32" s="16">
        <v>1E+30</v>
      </c>
      <c r="H32" s="16">
        <v>3.5446320293089362E-2</v>
      </c>
    </row>
    <row r="33" spans="2:8" x14ac:dyDescent="0.3">
      <c r="B33" s="16" t="s">
        <v>260</v>
      </c>
      <c r="C33" s="16" t="s">
        <v>235</v>
      </c>
      <c r="D33" s="16">
        <v>0</v>
      </c>
      <c r="E33" s="16">
        <v>6.7762635780344027E-21</v>
      </c>
      <c r="F33" s="16">
        <v>0</v>
      </c>
      <c r="G33" s="16">
        <v>2.1929795614669741E-2</v>
      </c>
      <c r="H33" s="16">
        <v>423.04090644086165</v>
      </c>
    </row>
    <row r="34" spans="2:8" x14ac:dyDescent="0.3">
      <c r="B34" s="16" t="s">
        <v>261</v>
      </c>
      <c r="C34" s="16" t="s">
        <v>236</v>
      </c>
      <c r="D34" s="16">
        <v>1.1102230246251565E-16</v>
      </c>
      <c r="E34" s="16">
        <v>0.99999999999999989</v>
      </c>
      <c r="F34" s="16">
        <v>0</v>
      </c>
      <c r="G34" s="16">
        <v>1.0060003064447052E-2</v>
      </c>
      <c r="H34" s="16">
        <v>1.0377457117221031E-2</v>
      </c>
    </row>
    <row r="35" spans="2:8" x14ac:dyDescent="0.3">
      <c r="B35" s="16" t="s">
        <v>262</v>
      </c>
      <c r="C35" s="16" t="s">
        <v>237</v>
      </c>
      <c r="D35" s="16">
        <v>-0.48789453300364016</v>
      </c>
      <c r="E35" s="16">
        <v>0</v>
      </c>
      <c r="F35" s="16">
        <v>0</v>
      </c>
      <c r="G35" s="16">
        <v>1E+30</v>
      </c>
      <c r="H35" s="16">
        <v>0.48789453300364027</v>
      </c>
    </row>
    <row r="36" spans="2:8" ht="15" thickBot="1" x14ac:dyDescent="0.35">
      <c r="B36" s="17" t="s">
        <v>263</v>
      </c>
      <c r="C36" s="17" t="s">
        <v>238</v>
      </c>
      <c r="D36" s="17">
        <v>2.2204460492503131E-16</v>
      </c>
      <c r="E36" s="17">
        <v>0</v>
      </c>
      <c r="F36" s="17">
        <v>0</v>
      </c>
      <c r="G36" s="17">
        <v>5.4877640208896225E-3</v>
      </c>
      <c r="H36" s="17">
        <v>8.1000974252730847E-3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E974-7294-477B-B306-F8A39E4B0E53}">
  <dimension ref="A1:H35"/>
  <sheetViews>
    <sheetView showGridLines="0" topLeftCell="A11" workbookViewId="0">
      <selection activeCell="C12" sqref="C12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4" width="12.6640625" bestFit="1" customWidth="1"/>
    <col min="5" max="5" width="11.554687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172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0</v>
      </c>
      <c r="E9" s="16">
        <v>0</v>
      </c>
      <c r="F9" s="16">
        <v>0</v>
      </c>
      <c r="G9" s="16">
        <v>0</v>
      </c>
      <c r="H9" s="16">
        <v>1E+30</v>
      </c>
    </row>
    <row r="10" spans="1:8" x14ac:dyDescent="0.3">
      <c r="B10" s="16" t="s">
        <v>129</v>
      </c>
      <c r="C10" s="16" t="s">
        <v>104</v>
      </c>
      <c r="D10" s="16">
        <v>4.2585810407972066E-5</v>
      </c>
      <c r="E10" s="16">
        <v>0</v>
      </c>
      <c r="F10" s="16">
        <v>0</v>
      </c>
      <c r="G10" s="16">
        <v>1E+30</v>
      </c>
      <c r="H10" s="16">
        <v>0</v>
      </c>
    </row>
    <row r="11" spans="1:8" x14ac:dyDescent="0.3">
      <c r="B11" s="16" t="s">
        <v>130</v>
      </c>
      <c r="C11" s="16" t="s">
        <v>105</v>
      </c>
      <c r="D11" s="16">
        <v>3.2482297148054309E-5</v>
      </c>
      <c r="E11" s="16">
        <v>0</v>
      </c>
      <c r="F11" s="16">
        <v>30786</v>
      </c>
      <c r="G11" s="16">
        <v>1E+30</v>
      </c>
      <c r="H11" s="16">
        <v>0</v>
      </c>
    </row>
    <row r="12" spans="1:8" ht="15" thickBot="1" x14ac:dyDescent="0.35">
      <c r="B12" s="17" t="s">
        <v>131</v>
      </c>
      <c r="C12" s="17" t="s">
        <v>106</v>
      </c>
      <c r="D12" s="17">
        <v>0</v>
      </c>
      <c r="E12" s="17">
        <v>0</v>
      </c>
      <c r="F12" s="17">
        <v>2698</v>
      </c>
      <c r="G12" s="17">
        <v>0</v>
      </c>
      <c r="H12" s="17">
        <v>1E+30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8" x14ac:dyDescent="0.3">
      <c r="B17" s="16" t="s">
        <v>132</v>
      </c>
      <c r="C17" s="16" t="s">
        <v>133</v>
      </c>
      <c r="D17" s="16">
        <v>-0.11294127363903261</v>
      </c>
      <c r="E17" s="16">
        <v>0</v>
      </c>
      <c r="F17" s="16">
        <v>0</v>
      </c>
      <c r="G17" s="16">
        <v>1E+30</v>
      </c>
      <c r="H17" s="16">
        <v>0.11294127363903261</v>
      </c>
    </row>
    <row r="18" spans="2:8" x14ac:dyDescent="0.3">
      <c r="B18" s="16" t="s">
        <v>134</v>
      </c>
      <c r="C18" s="16" t="s">
        <v>135</v>
      </c>
      <c r="D18" s="16">
        <v>0</v>
      </c>
      <c r="E18" s="16">
        <v>1</v>
      </c>
      <c r="F18" s="16">
        <v>0</v>
      </c>
      <c r="G18" s="16">
        <v>2.8195631238336787E-2</v>
      </c>
      <c r="H18" s="16">
        <v>1</v>
      </c>
    </row>
    <row r="19" spans="2:8" x14ac:dyDescent="0.3">
      <c r="B19" s="16" t="s">
        <v>136</v>
      </c>
      <c r="C19" s="16" t="s">
        <v>137</v>
      </c>
      <c r="D19" s="16">
        <v>-0.198647730513827</v>
      </c>
      <c r="E19" s="16">
        <v>0</v>
      </c>
      <c r="F19" s="16">
        <v>0</v>
      </c>
      <c r="G19" s="16">
        <v>1E+30</v>
      </c>
      <c r="H19" s="16">
        <v>0.198647730513827</v>
      </c>
    </row>
    <row r="20" spans="2:8" x14ac:dyDescent="0.3">
      <c r="B20" s="16" t="s">
        <v>138</v>
      </c>
      <c r="C20" s="16" t="s">
        <v>139</v>
      </c>
      <c r="D20" s="16">
        <v>-8.3730672251640992E-2</v>
      </c>
      <c r="E20" s="16">
        <v>0</v>
      </c>
      <c r="F20" s="16">
        <v>0</v>
      </c>
      <c r="G20" s="16">
        <v>1E+30</v>
      </c>
      <c r="H20" s="16">
        <v>8.3730672251640992E-2</v>
      </c>
    </row>
    <row r="21" spans="2:8" x14ac:dyDescent="0.3">
      <c r="B21" s="16" t="s">
        <v>140</v>
      </c>
      <c r="C21" s="16" t="s">
        <v>141</v>
      </c>
      <c r="D21" s="16">
        <v>-1.5112587249522358E-2</v>
      </c>
      <c r="E21" s="16">
        <v>0</v>
      </c>
      <c r="F21" s="16">
        <v>0</v>
      </c>
      <c r="G21" s="16">
        <v>1E+30</v>
      </c>
      <c r="H21" s="16">
        <v>1.5112587249522358E-2</v>
      </c>
    </row>
    <row r="22" spans="2:8" x14ac:dyDescent="0.3">
      <c r="B22" s="16" t="s">
        <v>142</v>
      </c>
      <c r="C22" s="16" t="s">
        <v>143</v>
      </c>
      <c r="D22" s="16">
        <v>-4.7343646652187932E-2</v>
      </c>
      <c r="E22" s="16">
        <v>0</v>
      </c>
      <c r="F22" s="16">
        <v>0</v>
      </c>
      <c r="G22" s="16">
        <v>1E+30</v>
      </c>
      <c r="H22" s="16">
        <v>4.7343646652187932E-2</v>
      </c>
    </row>
    <row r="23" spans="2:8" x14ac:dyDescent="0.3">
      <c r="B23" s="16" t="s">
        <v>144</v>
      </c>
      <c r="C23" s="16" t="s">
        <v>145</v>
      </c>
      <c r="D23" s="16">
        <v>-6.9219097412879294E-2</v>
      </c>
      <c r="E23" s="16">
        <v>0</v>
      </c>
      <c r="F23" s="16">
        <v>0</v>
      </c>
      <c r="G23" s="16">
        <v>1E+30</v>
      </c>
      <c r="H23" s="16">
        <v>6.9219097412879294E-2</v>
      </c>
    </row>
    <row r="24" spans="2:8" x14ac:dyDescent="0.3">
      <c r="B24" s="16" t="s">
        <v>146</v>
      </c>
      <c r="C24" s="16" t="s">
        <v>147</v>
      </c>
      <c r="D24" s="16">
        <v>-0.10868033548068401</v>
      </c>
      <c r="E24" s="16">
        <v>0</v>
      </c>
      <c r="F24" s="16">
        <v>0</v>
      </c>
      <c r="G24" s="16">
        <v>1E+30</v>
      </c>
      <c r="H24" s="16">
        <v>0.10868033548068401</v>
      </c>
    </row>
    <row r="25" spans="2:8" x14ac:dyDescent="0.3">
      <c r="B25" s="16" t="s">
        <v>148</v>
      </c>
      <c r="C25" s="16" t="s">
        <v>149</v>
      </c>
      <c r="D25" s="16">
        <v>-0.15731072485774633</v>
      </c>
      <c r="E25" s="16">
        <v>0</v>
      </c>
      <c r="F25" s="16">
        <v>0</v>
      </c>
      <c r="G25" s="16">
        <v>1E+30</v>
      </c>
      <c r="H25" s="16">
        <v>0.15731072485774633</v>
      </c>
    </row>
    <row r="26" spans="2:8" x14ac:dyDescent="0.3">
      <c r="B26" s="16" t="s">
        <v>150</v>
      </c>
      <c r="C26" s="16" t="s">
        <v>151</v>
      </c>
      <c r="D26" s="16">
        <v>-4.5171086978617048E-2</v>
      </c>
      <c r="E26" s="16">
        <v>0</v>
      </c>
      <c r="F26" s="16">
        <v>0</v>
      </c>
      <c r="G26" s="16">
        <v>1E+30</v>
      </c>
      <c r="H26" s="16">
        <v>4.5171086978617048E-2</v>
      </c>
    </row>
    <row r="27" spans="2:8" x14ac:dyDescent="0.3">
      <c r="B27" s="16" t="s">
        <v>152</v>
      </c>
      <c r="C27" s="16" t="s">
        <v>153</v>
      </c>
      <c r="D27" s="16">
        <v>-2.3664218025450053E-2</v>
      </c>
      <c r="E27" s="16">
        <v>0</v>
      </c>
      <c r="F27" s="16">
        <v>0</v>
      </c>
      <c r="G27" s="16">
        <v>1E+30</v>
      </c>
      <c r="H27" s="16">
        <v>2.3664218025450053E-2</v>
      </c>
    </row>
    <row r="28" spans="2:8" x14ac:dyDescent="0.3">
      <c r="B28" s="16" t="s">
        <v>154</v>
      </c>
      <c r="C28" s="16" t="s">
        <v>155</v>
      </c>
      <c r="D28" s="16">
        <v>-5.2416570308420507E-2</v>
      </c>
      <c r="E28" s="16">
        <v>0</v>
      </c>
      <c r="F28" s="16">
        <v>0</v>
      </c>
      <c r="G28" s="16">
        <v>1E+30</v>
      </c>
      <c r="H28" s="16">
        <v>5.2416570308420507E-2</v>
      </c>
    </row>
    <row r="29" spans="2:8" x14ac:dyDescent="0.3">
      <c r="B29" s="16" t="s">
        <v>156</v>
      </c>
      <c r="C29" s="16" t="s">
        <v>157</v>
      </c>
      <c r="D29" s="16">
        <v>-1.9402685054573932E-2</v>
      </c>
      <c r="E29" s="16">
        <v>0</v>
      </c>
      <c r="F29" s="16">
        <v>0</v>
      </c>
      <c r="G29" s="16">
        <v>1E+30</v>
      </c>
      <c r="H29" s="16">
        <v>1.9402685054573932E-2</v>
      </c>
    </row>
    <row r="30" spans="2:8" x14ac:dyDescent="0.3">
      <c r="B30" s="16" t="s">
        <v>158</v>
      </c>
      <c r="C30" s="16" t="s">
        <v>159</v>
      </c>
      <c r="D30" s="16">
        <v>-5.9028132878551326E-2</v>
      </c>
      <c r="E30" s="16">
        <v>0</v>
      </c>
      <c r="F30" s="16">
        <v>0</v>
      </c>
      <c r="G30" s="16">
        <v>1E+30</v>
      </c>
      <c r="H30" s="16">
        <v>5.9028132878551326E-2</v>
      </c>
    </row>
    <row r="31" spans="2:8" x14ac:dyDescent="0.3">
      <c r="B31" s="16" t="s">
        <v>160</v>
      </c>
      <c r="C31" s="16" t="s">
        <v>161</v>
      </c>
      <c r="D31" s="16">
        <v>-4.1549066005173191E-2</v>
      </c>
      <c r="E31" s="16">
        <v>0</v>
      </c>
      <c r="F31" s="16">
        <v>0</v>
      </c>
      <c r="G31" s="16">
        <v>1E+30</v>
      </c>
      <c r="H31" s="16">
        <v>4.1549066005173191E-2</v>
      </c>
    </row>
    <row r="32" spans="2:8" x14ac:dyDescent="0.3">
      <c r="B32" s="16" t="s">
        <v>162</v>
      </c>
      <c r="C32" s="16" t="s">
        <v>163</v>
      </c>
      <c r="D32" s="16">
        <v>-4.924452639540905E-2</v>
      </c>
      <c r="E32" s="16">
        <v>0</v>
      </c>
      <c r="F32" s="16">
        <v>0</v>
      </c>
      <c r="G32" s="16">
        <v>1E+30</v>
      </c>
      <c r="H32" s="16">
        <v>4.924452639540905E-2</v>
      </c>
    </row>
    <row r="33" spans="2:8" x14ac:dyDescent="0.3">
      <c r="B33" s="16" t="s">
        <v>164</v>
      </c>
      <c r="C33" s="16" t="s">
        <v>165</v>
      </c>
      <c r="D33" s="16">
        <v>-8.3488680382844377E-2</v>
      </c>
      <c r="E33" s="16">
        <v>0</v>
      </c>
      <c r="F33" s="16">
        <v>0</v>
      </c>
      <c r="G33" s="16">
        <v>1E+30</v>
      </c>
      <c r="H33" s="16">
        <v>8.3488680382844377E-2</v>
      </c>
    </row>
    <row r="34" spans="2:8" x14ac:dyDescent="0.3">
      <c r="B34" s="16" t="s">
        <v>166</v>
      </c>
      <c r="C34" s="16" t="s">
        <v>167</v>
      </c>
      <c r="D34" s="16">
        <v>-3.6458480566724988E-2</v>
      </c>
      <c r="E34" s="16">
        <v>0</v>
      </c>
      <c r="F34" s="16">
        <v>0</v>
      </c>
      <c r="G34" s="16">
        <v>1E+30</v>
      </c>
      <c r="H34" s="16">
        <v>3.6458480566724988E-2</v>
      </c>
    </row>
    <row r="35" spans="2:8" ht="15" thickBot="1" x14ac:dyDescent="0.35">
      <c r="B35" s="17" t="s">
        <v>170</v>
      </c>
      <c r="C35" s="17" t="s">
        <v>169</v>
      </c>
      <c r="D35" s="17">
        <v>1</v>
      </c>
      <c r="E35" s="17">
        <v>1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F98B-587B-4A16-895F-FABB43A3ACCD}">
  <dimension ref="A1:H36"/>
  <sheetViews>
    <sheetView showGridLines="0" topLeftCell="A12" workbookViewId="0">
      <selection activeCell="E19" sqref="E19:E36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301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0</v>
      </c>
      <c r="E9" s="16">
        <v>-730.81973629882009</v>
      </c>
      <c r="F9" s="16">
        <v>0</v>
      </c>
      <c r="G9" s="16">
        <v>730.81973629882009</v>
      </c>
      <c r="H9" s="16">
        <v>1E+30</v>
      </c>
    </row>
    <row r="10" spans="1:8" x14ac:dyDescent="0.3">
      <c r="B10" s="16" t="s">
        <v>241</v>
      </c>
      <c r="C10" s="16" t="s">
        <v>214</v>
      </c>
      <c r="D10" s="16">
        <v>4.6061722708429291E-4</v>
      </c>
      <c r="E10" s="16">
        <v>0</v>
      </c>
      <c r="F10" s="16">
        <v>0</v>
      </c>
      <c r="G10" s="16">
        <v>1E+30</v>
      </c>
      <c r="H10" s="16">
        <v>1995.7354056663373</v>
      </c>
    </row>
    <row r="11" spans="1:8" x14ac:dyDescent="0.3">
      <c r="B11" s="16" t="s">
        <v>242</v>
      </c>
      <c r="C11" s="16" t="s">
        <v>103</v>
      </c>
      <c r="D11" s="16">
        <v>0</v>
      </c>
      <c r="E11" s="16">
        <v>-1549.1522425773853</v>
      </c>
      <c r="F11" s="16">
        <v>276</v>
      </c>
      <c r="G11" s="16">
        <v>1549.1522425773853</v>
      </c>
      <c r="H11" s="16">
        <v>1E+30</v>
      </c>
    </row>
    <row r="12" spans="1:8" x14ac:dyDescent="0.3">
      <c r="B12" s="16" t="s">
        <v>243</v>
      </c>
      <c r="C12" s="16" t="s">
        <v>104</v>
      </c>
      <c r="D12" s="16">
        <v>5.3277962273615967E-4</v>
      </c>
      <c r="E12" s="16">
        <v>0</v>
      </c>
      <c r="F12" s="16">
        <v>1728</v>
      </c>
      <c r="G12" s="16">
        <v>1E+30</v>
      </c>
      <c r="H12" s="16">
        <v>145.00000000000009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-9.1598231206569847E-2</v>
      </c>
      <c r="F13" s="17">
        <v>1</v>
      </c>
      <c r="G13" s="17">
        <v>9.1598231206569847E-2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278</v>
      </c>
      <c r="C18" s="16" t="s">
        <v>216</v>
      </c>
      <c r="D18" s="16">
        <v>0.99999999999999989</v>
      </c>
      <c r="E18" s="16">
        <v>0.92064318808808365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-6.9274852307145256</v>
      </c>
      <c r="E19" s="16">
        <v>0</v>
      </c>
      <c r="F19" s="16">
        <v>0</v>
      </c>
      <c r="G19" s="16">
        <v>1E+30</v>
      </c>
      <c r="H19" s="16">
        <v>6.9274852307145274</v>
      </c>
    </row>
    <row r="20" spans="2:8" x14ac:dyDescent="0.3">
      <c r="B20" s="16" t="s">
        <v>247</v>
      </c>
      <c r="C20" s="16" t="s">
        <v>222</v>
      </c>
      <c r="D20" s="16">
        <v>-9.3787743042512073</v>
      </c>
      <c r="E20" s="16">
        <v>0</v>
      </c>
      <c r="F20" s="16">
        <v>0</v>
      </c>
      <c r="G20" s="16">
        <v>1E+30</v>
      </c>
      <c r="H20" s="16">
        <v>9.3787743042512091</v>
      </c>
    </row>
    <row r="21" spans="2:8" x14ac:dyDescent="0.3">
      <c r="B21" s="16" t="s">
        <v>248</v>
      </c>
      <c r="C21" s="16" t="s">
        <v>223</v>
      </c>
      <c r="D21" s="16">
        <v>-19.175004284642238</v>
      </c>
      <c r="E21" s="16">
        <v>0</v>
      </c>
      <c r="F21" s="16">
        <v>0</v>
      </c>
      <c r="G21" s="16">
        <v>1E+30</v>
      </c>
      <c r="H21" s="16">
        <v>19.175004284642242</v>
      </c>
    </row>
    <row r="22" spans="2:8" x14ac:dyDescent="0.3">
      <c r="B22" s="16" t="s">
        <v>249</v>
      </c>
      <c r="C22" s="16" t="s">
        <v>224</v>
      </c>
      <c r="D22" s="16">
        <v>-10.086821255200856</v>
      </c>
      <c r="E22" s="16">
        <v>0</v>
      </c>
      <c r="F22" s="16">
        <v>0</v>
      </c>
      <c r="G22" s="16">
        <v>1E+30</v>
      </c>
      <c r="H22" s="16">
        <v>10.086821255200856</v>
      </c>
    </row>
    <row r="23" spans="2:8" x14ac:dyDescent="0.3">
      <c r="B23" s="16" t="s">
        <v>250</v>
      </c>
      <c r="C23" s="16" t="s">
        <v>225</v>
      </c>
      <c r="D23" s="16">
        <v>-5.064179430632878</v>
      </c>
      <c r="E23" s="16">
        <v>0</v>
      </c>
      <c r="F23" s="16">
        <v>0</v>
      </c>
      <c r="G23" s="16">
        <v>1E+30</v>
      </c>
      <c r="H23" s="16">
        <v>5.064179430632878</v>
      </c>
    </row>
    <row r="24" spans="2:8" x14ac:dyDescent="0.3">
      <c r="B24" s="16" t="s">
        <v>251</v>
      </c>
      <c r="C24" s="16" t="s">
        <v>226</v>
      </c>
      <c r="D24" s="16">
        <v>-6.743820003707051</v>
      </c>
      <c r="E24" s="16">
        <v>0</v>
      </c>
      <c r="F24" s="16">
        <v>0</v>
      </c>
      <c r="G24" s="16">
        <v>1E+30</v>
      </c>
      <c r="H24" s="16">
        <v>6.743820003707051</v>
      </c>
    </row>
    <row r="25" spans="2:8" x14ac:dyDescent="0.3">
      <c r="B25" s="16" t="s">
        <v>252</v>
      </c>
      <c r="C25" s="16" t="s">
        <v>227</v>
      </c>
      <c r="D25" s="16">
        <v>-4.4435022272865217</v>
      </c>
      <c r="E25" s="16">
        <v>0</v>
      </c>
      <c r="F25" s="16">
        <v>0</v>
      </c>
      <c r="G25" s="16">
        <v>1E+30</v>
      </c>
      <c r="H25" s="16">
        <v>4.4435022272865217</v>
      </c>
    </row>
    <row r="26" spans="2:8" x14ac:dyDescent="0.3">
      <c r="B26" s="16" t="s">
        <v>253</v>
      </c>
      <c r="C26" s="16" t="s">
        <v>228</v>
      </c>
      <c r="D26" s="16">
        <v>-7.223899836267015</v>
      </c>
      <c r="E26" s="16">
        <v>0</v>
      </c>
      <c r="F26" s="16">
        <v>0</v>
      </c>
      <c r="G26" s="16">
        <v>1E+30</v>
      </c>
      <c r="H26" s="16">
        <v>7.2238998362670142</v>
      </c>
    </row>
    <row r="27" spans="2:8" x14ac:dyDescent="0.3">
      <c r="B27" s="16" t="s">
        <v>254</v>
      </c>
      <c r="C27" s="16" t="s">
        <v>229</v>
      </c>
      <c r="D27" s="16">
        <v>-9.4278651017126052</v>
      </c>
      <c r="E27" s="16">
        <v>0</v>
      </c>
      <c r="F27" s="16">
        <v>0</v>
      </c>
      <c r="G27" s="16">
        <v>1E+30</v>
      </c>
      <c r="H27" s="16">
        <v>9.4278651017126052</v>
      </c>
    </row>
    <row r="28" spans="2:8" x14ac:dyDescent="0.3">
      <c r="B28" s="16" t="s">
        <v>255</v>
      </c>
      <c r="C28" s="16" t="s">
        <v>230</v>
      </c>
      <c r="D28" s="16">
        <v>-5.3125504663931267</v>
      </c>
      <c r="E28" s="16">
        <v>0</v>
      </c>
      <c r="F28" s="16">
        <v>0</v>
      </c>
      <c r="G28" s="16">
        <v>1E+30</v>
      </c>
      <c r="H28" s="16">
        <v>5.3125504663931276</v>
      </c>
    </row>
    <row r="29" spans="2:8" x14ac:dyDescent="0.3">
      <c r="B29" s="16" t="s">
        <v>256</v>
      </c>
      <c r="C29" s="16" t="s">
        <v>231</v>
      </c>
      <c r="D29" s="16">
        <v>4.4408920985006262E-16</v>
      </c>
      <c r="E29" s="21">
        <v>1.0915982312065697</v>
      </c>
      <c r="F29" s="16">
        <v>0</v>
      </c>
      <c r="G29" s="16">
        <v>7.2697820171622449E-2</v>
      </c>
      <c r="H29" s="16">
        <v>0.84339014279134128</v>
      </c>
    </row>
    <row r="30" spans="2:8" x14ac:dyDescent="0.3">
      <c r="B30" s="16" t="s">
        <v>257</v>
      </c>
      <c r="C30" s="16" t="s">
        <v>232</v>
      </c>
      <c r="D30" s="16">
        <v>-2.676615572004831</v>
      </c>
      <c r="E30" s="16">
        <v>0</v>
      </c>
      <c r="F30" s="16">
        <v>0</v>
      </c>
      <c r="G30" s="16">
        <v>1E+30</v>
      </c>
      <c r="H30" s="16">
        <v>2.6766155720048315</v>
      </c>
    </row>
    <row r="31" spans="2:8" x14ac:dyDescent="0.3">
      <c r="B31" s="16" t="s">
        <v>258</v>
      </c>
      <c r="C31" s="16" t="s">
        <v>233</v>
      </c>
      <c r="D31" s="16">
        <v>-3.7539908278103384</v>
      </c>
      <c r="E31" s="16">
        <v>0</v>
      </c>
      <c r="F31" s="16">
        <v>0</v>
      </c>
      <c r="G31" s="16">
        <v>1E+30</v>
      </c>
      <c r="H31" s="16">
        <v>3.7539908278103393</v>
      </c>
    </row>
    <row r="32" spans="2:8" x14ac:dyDescent="0.3">
      <c r="B32" s="16" t="s">
        <v>259</v>
      </c>
      <c r="C32" s="16" t="s">
        <v>234</v>
      </c>
      <c r="D32" s="16">
        <v>-2.2661279317064391</v>
      </c>
      <c r="E32" s="16">
        <v>0</v>
      </c>
      <c r="F32" s="16">
        <v>0</v>
      </c>
      <c r="G32" s="16">
        <v>1E+30</v>
      </c>
      <c r="H32" s="16">
        <v>2.2661279317064396</v>
      </c>
    </row>
    <row r="33" spans="2:8" x14ac:dyDescent="0.3">
      <c r="B33" s="16" t="s">
        <v>260</v>
      </c>
      <c r="C33" s="16" t="s">
        <v>235</v>
      </c>
      <c r="D33" s="16">
        <v>-2.0199558121717587</v>
      </c>
      <c r="E33" s="16">
        <v>0</v>
      </c>
      <c r="F33" s="16">
        <v>0</v>
      </c>
      <c r="G33" s="16">
        <v>1E+30</v>
      </c>
      <c r="H33" s="16">
        <v>2.0199558121717587</v>
      </c>
    </row>
    <row r="34" spans="2:8" x14ac:dyDescent="0.3">
      <c r="B34" s="16" t="s">
        <v>261</v>
      </c>
      <c r="C34" s="16" t="s">
        <v>236</v>
      </c>
      <c r="D34" s="16">
        <v>-1.4226534054685702</v>
      </c>
      <c r="E34" s="16">
        <v>0</v>
      </c>
      <c r="F34" s="16">
        <v>0</v>
      </c>
      <c r="G34" s="16">
        <v>1E+30</v>
      </c>
      <c r="H34" s="16">
        <v>1.4226534054685702</v>
      </c>
    </row>
    <row r="35" spans="2:8" x14ac:dyDescent="0.3">
      <c r="B35" s="16" t="s">
        <v>262</v>
      </c>
      <c r="C35" s="16" t="s">
        <v>237</v>
      </c>
      <c r="D35" s="16">
        <v>-7.9356811911916014E-2</v>
      </c>
      <c r="E35" s="16">
        <v>0</v>
      </c>
      <c r="F35" s="16">
        <v>0</v>
      </c>
      <c r="G35" s="16">
        <v>1E+30</v>
      </c>
      <c r="H35" s="16">
        <v>7.9356811911916347E-2</v>
      </c>
    </row>
    <row r="36" spans="2:8" ht="15" thickBot="1" x14ac:dyDescent="0.35">
      <c r="B36" s="17" t="s">
        <v>263</v>
      </c>
      <c r="C36" s="17" t="s">
        <v>238</v>
      </c>
      <c r="D36" s="17">
        <v>-0.73907125250931593</v>
      </c>
      <c r="E36" s="17">
        <v>0</v>
      </c>
      <c r="F36" s="17">
        <v>0</v>
      </c>
      <c r="G36" s="17">
        <v>1E+30</v>
      </c>
      <c r="H36" s="17">
        <v>0.73907125250931593</v>
      </c>
    </row>
  </sheetData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40A9-4173-4A0F-9F57-EAF4BDC2810A}">
  <dimension ref="A1:H36"/>
  <sheetViews>
    <sheetView showGridLines="0" topLeftCell="A4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21875" bestFit="1" customWidth="1"/>
    <col min="4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239</v>
      </c>
    </row>
    <row r="3" spans="1:8" x14ac:dyDescent="0.3">
      <c r="A3" s="15" t="s">
        <v>302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240</v>
      </c>
      <c r="C9" s="16" t="s">
        <v>105</v>
      </c>
      <c r="D9" s="16">
        <v>2.3284468042423511E-4</v>
      </c>
      <c r="E9" s="16">
        <v>0</v>
      </c>
      <c r="F9" s="16">
        <v>0</v>
      </c>
      <c r="G9" s="16">
        <v>0</v>
      </c>
      <c r="H9" s="16">
        <v>167.83648423258836</v>
      </c>
    </row>
    <row r="10" spans="1:8" x14ac:dyDescent="0.3">
      <c r="B10" s="16" t="s">
        <v>241</v>
      </c>
      <c r="C10" s="16" t="s">
        <v>214</v>
      </c>
      <c r="D10" s="16">
        <v>2.7534209730641036E-4</v>
      </c>
      <c r="E10" s="16">
        <v>0</v>
      </c>
      <c r="F10" s="16">
        <v>0</v>
      </c>
      <c r="G10" s="16">
        <v>609414.27424852806</v>
      </c>
      <c r="H10" s="16">
        <v>0</v>
      </c>
    </row>
    <row r="11" spans="1:8" x14ac:dyDescent="0.3">
      <c r="B11" s="16" t="s">
        <v>242</v>
      </c>
      <c r="C11" s="16" t="s">
        <v>103</v>
      </c>
      <c r="D11" s="16">
        <v>2.471431886604498E-4</v>
      </c>
      <c r="E11" s="16">
        <v>0</v>
      </c>
      <c r="F11" s="16">
        <v>3638</v>
      </c>
      <c r="G11" s="16">
        <v>0</v>
      </c>
      <c r="H11" s="16">
        <v>0</v>
      </c>
    </row>
    <row r="12" spans="1:8" x14ac:dyDescent="0.3">
      <c r="B12" s="16" t="s">
        <v>243</v>
      </c>
      <c r="C12" s="16" t="s">
        <v>104</v>
      </c>
      <c r="D12" s="16">
        <v>5.7587374231326228E-5</v>
      </c>
      <c r="E12" s="16">
        <v>0</v>
      </c>
      <c r="F12" s="16">
        <v>1752</v>
      </c>
      <c r="G12" s="16">
        <v>0</v>
      </c>
      <c r="H12" s="16">
        <v>0</v>
      </c>
    </row>
    <row r="13" spans="1:8" ht="15" thickBot="1" x14ac:dyDescent="0.35">
      <c r="B13" s="17" t="s">
        <v>244</v>
      </c>
      <c r="C13" s="17" t="s">
        <v>281</v>
      </c>
      <c r="D13" s="17">
        <v>0</v>
      </c>
      <c r="E13" s="17">
        <v>-8.6736173798840355E-19</v>
      </c>
      <c r="F13" s="17">
        <v>1</v>
      </c>
      <c r="G13" s="17">
        <v>8.6736173798840355E-19</v>
      </c>
      <c r="H13" s="17">
        <v>1E+30</v>
      </c>
    </row>
    <row r="15" spans="1:8" ht="15" thickBot="1" x14ac:dyDescent="0.35">
      <c r="A15" t="s">
        <v>123</v>
      </c>
    </row>
    <row r="16" spans="1:8" x14ac:dyDescent="0.3">
      <c r="B16" s="18"/>
      <c r="C16" s="18"/>
      <c r="D16" s="18" t="s">
        <v>114</v>
      </c>
      <c r="E16" s="18" t="s">
        <v>124</v>
      </c>
      <c r="F16" s="18" t="s">
        <v>126</v>
      </c>
      <c r="G16" s="18" t="s">
        <v>120</v>
      </c>
      <c r="H16" s="18" t="s">
        <v>120</v>
      </c>
    </row>
    <row r="17" spans="2:8" ht="15" thickBot="1" x14ac:dyDescent="0.35">
      <c r="B17" s="19" t="s">
        <v>112</v>
      </c>
      <c r="C17" s="19" t="s">
        <v>113</v>
      </c>
      <c r="D17" s="19" t="s">
        <v>115</v>
      </c>
      <c r="E17" s="19" t="s">
        <v>125</v>
      </c>
      <c r="F17" s="19" t="s">
        <v>127</v>
      </c>
      <c r="G17" s="19" t="s">
        <v>121</v>
      </c>
      <c r="H17" s="19" t="s">
        <v>122</v>
      </c>
    </row>
    <row r="18" spans="2:8" x14ac:dyDescent="0.3">
      <c r="B18" s="16" t="s">
        <v>279</v>
      </c>
      <c r="C18" s="16" t="s">
        <v>216</v>
      </c>
      <c r="D18" s="16">
        <v>1.0000000000000002</v>
      </c>
      <c r="E18" s="16">
        <v>0.99999999999999989</v>
      </c>
      <c r="F18" s="16">
        <v>1</v>
      </c>
      <c r="G18" s="16">
        <v>1E+30</v>
      </c>
      <c r="H18" s="16">
        <v>1</v>
      </c>
    </row>
    <row r="19" spans="2:8" x14ac:dyDescent="0.3">
      <c r="B19" s="16" t="s">
        <v>246</v>
      </c>
      <c r="C19" s="16" t="s">
        <v>221</v>
      </c>
      <c r="D19" s="16">
        <v>-0.31739594325758702</v>
      </c>
      <c r="E19" s="16">
        <v>0</v>
      </c>
      <c r="F19" s="16">
        <v>0</v>
      </c>
      <c r="G19" s="16">
        <v>1E+30</v>
      </c>
      <c r="H19" s="16">
        <v>0.31739594325758619</v>
      </c>
    </row>
    <row r="20" spans="2:8" x14ac:dyDescent="0.3">
      <c r="B20" s="16" t="s">
        <v>247</v>
      </c>
      <c r="C20" s="16" t="s">
        <v>222</v>
      </c>
      <c r="D20" s="16">
        <v>-0.27173386727301985</v>
      </c>
      <c r="E20" s="16">
        <v>0</v>
      </c>
      <c r="F20" s="16">
        <v>0</v>
      </c>
      <c r="G20" s="16">
        <v>1E+30</v>
      </c>
      <c r="H20" s="16">
        <v>0.27173386727301752</v>
      </c>
    </row>
    <row r="21" spans="2:8" x14ac:dyDescent="0.3">
      <c r="B21" s="16" t="s">
        <v>248</v>
      </c>
      <c r="C21" s="16" t="s">
        <v>223</v>
      </c>
      <c r="D21" s="16">
        <v>-0.95365896699567365</v>
      </c>
      <c r="E21" s="16">
        <v>0</v>
      </c>
      <c r="F21" s="16">
        <v>0</v>
      </c>
      <c r="G21" s="16">
        <v>1E+30</v>
      </c>
      <c r="H21" s="16">
        <v>0.95365896699567387</v>
      </c>
    </row>
    <row r="22" spans="2:8" x14ac:dyDescent="0.3">
      <c r="B22" s="16" t="s">
        <v>249</v>
      </c>
      <c r="C22" s="16" t="s">
        <v>224</v>
      </c>
      <c r="D22" s="16">
        <v>-0.80846370277723789</v>
      </c>
      <c r="E22" s="16">
        <v>0</v>
      </c>
      <c r="F22" s="16">
        <v>0</v>
      </c>
      <c r="G22" s="16">
        <v>1E+30</v>
      </c>
      <c r="H22" s="16">
        <v>0.80846370277723634</v>
      </c>
    </row>
    <row r="23" spans="2:8" x14ac:dyDescent="0.3">
      <c r="B23" s="16" t="s">
        <v>250</v>
      </c>
      <c r="C23" s="16" t="s">
        <v>225</v>
      </c>
      <c r="D23" s="16">
        <v>-0.12023644957864787</v>
      </c>
      <c r="E23" s="16">
        <v>0</v>
      </c>
      <c r="F23" s="16">
        <v>0</v>
      </c>
      <c r="G23" s="16">
        <v>1E+30</v>
      </c>
      <c r="H23" s="16">
        <v>0.12023644957864692</v>
      </c>
    </row>
    <row r="24" spans="2:8" x14ac:dyDescent="0.3">
      <c r="B24" s="16" t="s">
        <v>251</v>
      </c>
      <c r="C24" s="16" t="s">
        <v>226</v>
      </c>
      <c r="D24" s="16">
        <v>-0.35058869010379468</v>
      </c>
      <c r="E24" s="16">
        <v>0</v>
      </c>
      <c r="F24" s="16">
        <v>0</v>
      </c>
      <c r="G24" s="16">
        <v>1E+30</v>
      </c>
      <c r="H24" s="16">
        <v>0.35058869010379434</v>
      </c>
    </row>
    <row r="25" spans="2:8" x14ac:dyDescent="0.3">
      <c r="B25" s="16" t="s">
        <v>252</v>
      </c>
      <c r="C25" s="16" t="s">
        <v>227</v>
      </c>
      <c r="D25" s="16">
        <v>-0.60999702511496334</v>
      </c>
      <c r="E25" s="16">
        <v>0</v>
      </c>
      <c r="F25" s="16">
        <v>0</v>
      </c>
      <c r="G25" s="16">
        <v>1E+30</v>
      </c>
      <c r="H25" s="16">
        <v>0.60999702511496257</v>
      </c>
    </row>
    <row r="26" spans="2:8" x14ac:dyDescent="0.3">
      <c r="B26" s="16" t="s">
        <v>253</v>
      </c>
      <c r="C26" s="16" t="s">
        <v>228</v>
      </c>
      <c r="D26" s="16">
        <v>-0.75720707242118213</v>
      </c>
      <c r="E26" s="16">
        <v>0</v>
      </c>
      <c r="F26" s="16">
        <v>0</v>
      </c>
      <c r="G26" s="16">
        <v>1E+30</v>
      </c>
      <c r="H26" s="16">
        <v>0.75720707242117979</v>
      </c>
    </row>
    <row r="27" spans="2:8" x14ac:dyDescent="0.3">
      <c r="B27" s="16" t="s">
        <v>254</v>
      </c>
      <c r="C27" s="16" t="s">
        <v>229</v>
      </c>
      <c r="D27" s="16">
        <v>-0.22976727053097257</v>
      </c>
      <c r="E27" s="16">
        <v>0</v>
      </c>
      <c r="F27" s="16">
        <v>0</v>
      </c>
      <c r="G27" s="16">
        <v>1E+30</v>
      </c>
      <c r="H27" s="16">
        <v>0.22976727053097187</v>
      </c>
    </row>
    <row r="28" spans="2:8" x14ac:dyDescent="0.3">
      <c r="B28" s="16" t="s">
        <v>255</v>
      </c>
      <c r="C28" s="16" t="s">
        <v>230</v>
      </c>
      <c r="D28" s="16">
        <v>-0.29683677778699025</v>
      </c>
      <c r="E28" s="16">
        <v>0</v>
      </c>
      <c r="F28" s="16">
        <v>0</v>
      </c>
      <c r="G28" s="16">
        <v>1E+30</v>
      </c>
      <c r="H28" s="16">
        <v>0.29683677778698969</v>
      </c>
    </row>
    <row r="29" spans="2:8" x14ac:dyDescent="0.3">
      <c r="B29" s="16" t="s">
        <v>256</v>
      </c>
      <c r="C29" s="16" t="s">
        <v>231</v>
      </c>
      <c r="D29" s="16">
        <v>-2.2204460492503131E-16</v>
      </c>
      <c r="E29" s="16">
        <v>0</v>
      </c>
      <c r="F29" s="16">
        <v>0</v>
      </c>
      <c r="G29" s="16">
        <v>1.8613434286908467E-2</v>
      </c>
      <c r="H29" s="16">
        <v>1.6034356401920524E-2</v>
      </c>
    </row>
    <row r="30" spans="2:8" x14ac:dyDescent="0.3">
      <c r="B30" s="16" t="s">
        <v>257</v>
      </c>
      <c r="C30" s="16" t="s">
        <v>232</v>
      </c>
      <c r="D30" s="16">
        <v>-0.26707519143813441</v>
      </c>
      <c r="E30" s="16">
        <v>0</v>
      </c>
      <c r="F30" s="16">
        <v>0</v>
      </c>
      <c r="G30" s="16">
        <v>1E+30</v>
      </c>
      <c r="H30" s="16">
        <v>0.26707519143813424</v>
      </c>
    </row>
    <row r="31" spans="2:8" x14ac:dyDescent="0.3">
      <c r="B31" s="16" t="s">
        <v>258</v>
      </c>
      <c r="C31" s="16" t="s">
        <v>233</v>
      </c>
      <c r="D31" s="16">
        <v>-7.9394562484004894E-2</v>
      </c>
      <c r="E31" s="16">
        <v>0</v>
      </c>
      <c r="F31" s="16">
        <v>0</v>
      </c>
      <c r="G31" s="16">
        <v>1E+30</v>
      </c>
      <c r="H31" s="16">
        <v>7.9394562484004561E-2</v>
      </c>
    </row>
    <row r="32" spans="2:8" x14ac:dyDescent="0.3">
      <c r="B32" s="16" t="s">
        <v>259</v>
      </c>
      <c r="C32" s="16" t="s">
        <v>234</v>
      </c>
      <c r="D32" s="16">
        <v>-6.9326294846461689E-2</v>
      </c>
      <c r="E32" s="16">
        <v>0</v>
      </c>
      <c r="F32" s="16">
        <v>0</v>
      </c>
      <c r="G32" s="16">
        <v>1E+30</v>
      </c>
      <c r="H32" s="16">
        <v>6.9326294846461342E-2</v>
      </c>
    </row>
    <row r="33" spans="2:8" x14ac:dyDescent="0.3">
      <c r="B33" s="16" t="s">
        <v>260</v>
      </c>
      <c r="C33" s="16" t="s">
        <v>235</v>
      </c>
      <c r="D33" s="16">
        <v>-2.2204460492503131E-16</v>
      </c>
      <c r="E33" s="16">
        <v>0</v>
      </c>
      <c r="F33" s="16">
        <v>0</v>
      </c>
      <c r="G33" s="16">
        <v>1.6929819497044727E-2</v>
      </c>
      <c r="H33" s="16">
        <v>405.18186326751891</v>
      </c>
    </row>
    <row r="34" spans="2:8" x14ac:dyDescent="0.3">
      <c r="B34" s="16" t="s">
        <v>261</v>
      </c>
      <c r="C34" s="16" t="s">
        <v>236</v>
      </c>
      <c r="D34" s="16">
        <v>-1.4912072848506819E-2</v>
      </c>
      <c r="E34" s="16">
        <v>0</v>
      </c>
      <c r="F34" s="16">
        <v>0</v>
      </c>
      <c r="G34" s="16">
        <v>1E+30</v>
      </c>
      <c r="H34" s="16">
        <v>1.491207284850643E-2</v>
      </c>
    </row>
    <row r="35" spans="2:8" x14ac:dyDescent="0.3">
      <c r="B35" s="16" t="s">
        <v>262</v>
      </c>
      <c r="C35" s="16" t="s">
        <v>237</v>
      </c>
      <c r="D35" s="16">
        <v>-0.61515671144746786</v>
      </c>
      <c r="E35" s="16">
        <v>0</v>
      </c>
      <c r="F35" s="16">
        <v>0</v>
      </c>
      <c r="G35" s="16">
        <v>1E+30</v>
      </c>
      <c r="H35" s="16">
        <v>0.61515671144746775</v>
      </c>
    </row>
    <row r="36" spans="2:8" ht="15" thickBot="1" x14ac:dyDescent="0.35">
      <c r="B36" s="17" t="s">
        <v>263</v>
      </c>
      <c r="C36" s="17" t="s">
        <v>238</v>
      </c>
      <c r="D36" s="17">
        <v>-4.4408920985006262E-16</v>
      </c>
      <c r="E36" s="17">
        <v>1</v>
      </c>
      <c r="F36" s="17">
        <v>0</v>
      </c>
      <c r="G36" s="17">
        <v>7.8856280942674207E-3</v>
      </c>
      <c r="H36" s="17">
        <v>1.0027658988863207E-2</v>
      </c>
    </row>
  </sheetData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5C05-6E01-4114-98BB-A5F5646C15E4}">
  <dimension ref="C2:O43"/>
  <sheetViews>
    <sheetView topLeftCell="A3" zoomScale="70" zoomScaleNormal="70" workbookViewId="0">
      <selection activeCell="I26" sqref="I26"/>
    </sheetView>
  </sheetViews>
  <sheetFormatPr defaultRowHeight="14.4" x14ac:dyDescent="0.3"/>
  <cols>
    <col min="3" max="3" width="7.21875" bestFit="1" customWidth="1"/>
    <col min="4" max="4" width="17.6640625" bestFit="1" customWidth="1"/>
    <col min="5" max="5" width="21.109375" bestFit="1" customWidth="1"/>
    <col min="6" max="6" width="22.21875" bestFit="1" customWidth="1"/>
    <col min="7" max="7" width="33.33203125" bestFit="1" customWidth="1"/>
    <col min="8" max="8" width="18.88671875" bestFit="1" customWidth="1"/>
    <col min="9" max="9" width="27.109375" bestFit="1" customWidth="1"/>
    <col min="10" max="10" width="8.77734375" customWidth="1"/>
    <col min="13" max="13" width="26.5546875" bestFit="1" customWidth="1"/>
  </cols>
  <sheetData>
    <row r="2" spans="3:15" ht="15" thickBot="1" x14ac:dyDescent="0.35"/>
    <row r="3" spans="3:15" ht="15" thickBot="1" x14ac:dyDescent="0.35">
      <c r="C3" s="79"/>
      <c r="D3" s="215" t="s">
        <v>94</v>
      </c>
      <c r="E3" s="215"/>
      <c r="F3" s="215" t="s">
        <v>95</v>
      </c>
      <c r="G3" s="216"/>
      <c r="H3" s="217" t="s">
        <v>102</v>
      </c>
      <c r="I3" s="218"/>
    </row>
    <row r="4" spans="3:15" s="24" customFormat="1" x14ac:dyDescent="0.3">
      <c r="C4" s="74" t="s">
        <v>42</v>
      </c>
      <c r="D4" s="68" t="s">
        <v>67</v>
      </c>
      <c r="E4" s="68" t="s">
        <v>68</v>
      </c>
      <c r="F4" s="68" t="s">
        <v>69</v>
      </c>
      <c r="G4" s="76" t="s">
        <v>70</v>
      </c>
      <c r="H4" s="74" t="s">
        <v>283</v>
      </c>
      <c r="I4" s="75" t="s">
        <v>286</v>
      </c>
      <c r="M4" s="59" t="s">
        <v>217</v>
      </c>
      <c r="N4" s="180"/>
      <c r="O4" s="206"/>
    </row>
    <row r="5" spans="3:15" x14ac:dyDescent="0.3">
      <c r="C5" s="51" t="s">
        <v>47</v>
      </c>
      <c r="D5" s="7">
        <v>1692</v>
      </c>
      <c r="E5" s="7">
        <v>17110</v>
      </c>
      <c r="F5" s="7">
        <v>18955</v>
      </c>
      <c r="G5" s="77">
        <v>1790</v>
      </c>
      <c r="H5" s="51">
        <f>$F$27*F5+$G$27*G5+$H$27</f>
        <v>4.7876805409329002</v>
      </c>
      <c r="I5" s="34">
        <v>0.97022215070483941</v>
      </c>
      <c r="M5" s="33">
        <f>$F$27*F5+$G$27*G5-$D$27*D5-$E$27*E5+$H$27</f>
        <v>-0.31739594325758702</v>
      </c>
      <c r="N5" s="8" t="s">
        <v>108</v>
      </c>
      <c r="O5" s="34">
        <v>0</v>
      </c>
    </row>
    <row r="6" spans="3:15" x14ac:dyDescent="0.3">
      <c r="C6" s="51" t="s">
        <v>48</v>
      </c>
      <c r="D6" s="7">
        <v>6743</v>
      </c>
      <c r="E6" s="7">
        <v>23482</v>
      </c>
      <c r="F6" s="7">
        <v>30786</v>
      </c>
      <c r="G6" s="77">
        <v>2698</v>
      </c>
      <c r="H6" s="51">
        <f t="shared" ref="H6:H22" si="0">$F$27*F6+$G$27*G6+$H$27</f>
        <v>7.7639209417767256</v>
      </c>
      <c r="I6" s="34">
        <v>1</v>
      </c>
      <c r="M6" s="33">
        <f t="shared" ref="M6:M22" si="1">$F$27*F6+$G$27*G6-$D$27*D6-$E$27*E6+$H$27</f>
        <v>-0.27173386727301985</v>
      </c>
      <c r="N6" s="8" t="s">
        <v>108</v>
      </c>
      <c r="O6" s="34">
        <v>0</v>
      </c>
    </row>
    <row r="7" spans="3:15" x14ac:dyDescent="0.3">
      <c r="C7" s="51" t="s">
        <v>49</v>
      </c>
      <c r="D7" s="7">
        <v>7306</v>
      </c>
      <c r="E7" s="7">
        <v>43992</v>
      </c>
      <c r="F7" s="7">
        <v>51560</v>
      </c>
      <c r="G7" s="77">
        <v>2043</v>
      </c>
      <c r="H7" s="51">
        <f t="shared" si="0"/>
        <v>12.860353812887391</v>
      </c>
      <c r="I7" s="34">
        <v>0.97333164410744588</v>
      </c>
      <c r="M7" s="33">
        <f t="shared" si="1"/>
        <v>-0.95365896699567365</v>
      </c>
      <c r="N7" s="8" t="s">
        <v>108</v>
      </c>
      <c r="O7" s="34">
        <v>0</v>
      </c>
    </row>
    <row r="8" spans="3:15" x14ac:dyDescent="0.3">
      <c r="C8" s="51" t="s">
        <v>50</v>
      </c>
      <c r="D8" s="7">
        <v>5843</v>
      </c>
      <c r="E8" s="7">
        <v>23150</v>
      </c>
      <c r="F8" s="7">
        <v>27773</v>
      </c>
      <c r="G8" s="77">
        <v>1082</v>
      </c>
      <c r="H8" s="51">
        <f t="shared" si="0"/>
        <v>6.9262173175849675</v>
      </c>
      <c r="I8" s="34">
        <v>0.93523338609372464</v>
      </c>
      <c r="M8" s="33">
        <f t="shared" si="1"/>
        <v>-0.80846370277723789</v>
      </c>
      <c r="N8" s="8" t="s">
        <v>108</v>
      </c>
      <c r="O8" s="34">
        <v>0</v>
      </c>
    </row>
    <row r="9" spans="3:15" x14ac:dyDescent="0.3">
      <c r="C9" s="51" t="s">
        <v>51</v>
      </c>
      <c r="D9" s="7">
        <v>3144</v>
      </c>
      <c r="E9" s="7">
        <v>12941</v>
      </c>
      <c r="F9" s="7">
        <v>16501</v>
      </c>
      <c r="G9" s="77">
        <v>1683</v>
      </c>
      <c r="H9" s="51">
        <f t="shared" si="0"/>
        <v>4.1750293069174038</v>
      </c>
      <c r="I9" s="34">
        <v>1</v>
      </c>
      <c r="M9" s="33">
        <f t="shared" si="1"/>
        <v>-0.12023644957864787</v>
      </c>
      <c r="N9" s="8" t="s">
        <v>108</v>
      </c>
      <c r="O9" s="34">
        <v>0</v>
      </c>
    </row>
    <row r="10" spans="3:15" x14ac:dyDescent="0.3">
      <c r="C10" s="51" t="s">
        <v>52</v>
      </c>
      <c r="D10" s="7">
        <v>3769</v>
      </c>
      <c r="E10" s="7">
        <v>16414</v>
      </c>
      <c r="F10" s="7">
        <v>20062</v>
      </c>
      <c r="G10" s="77">
        <v>1533</v>
      </c>
      <c r="H10" s="51">
        <f t="shared" si="0"/>
        <v>5.0464680956025667</v>
      </c>
      <c r="I10" s="34">
        <v>0.96789308537147489</v>
      </c>
      <c r="M10" s="33">
        <f t="shared" si="1"/>
        <v>-0.35058869010379468</v>
      </c>
      <c r="N10" s="8" t="s">
        <v>108</v>
      </c>
      <c r="O10" s="34">
        <v>0</v>
      </c>
    </row>
    <row r="11" spans="3:15" x14ac:dyDescent="0.3">
      <c r="C11" s="51" t="s">
        <v>53</v>
      </c>
      <c r="D11" s="7">
        <v>2375</v>
      </c>
      <c r="E11" s="7">
        <v>9648</v>
      </c>
      <c r="F11" s="7">
        <v>10518</v>
      </c>
      <c r="G11" s="77">
        <v>1</v>
      </c>
      <c r="H11" s="51">
        <f t="shared" si="0"/>
        <v>2.5995096457048423</v>
      </c>
      <c r="I11" s="34">
        <v>0.87162536337114083</v>
      </c>
      <c r="M11" s="33">
        <f t="shared" si="1"/>
        <v>-0.60999702511496334</v>
      </c>
      <c r="N11" s="8" t="s">
        <v>108</v>
      </c>
      <c r="O11" s="34">
        <v>0</v>
      </c>
    </row>
    <row r="12" spans="3:15" x14ac:dyDescent="0.3">
      <c r="C12" s="51" t="s">
        <v>54</v>
      </c>
      <c r="D12" s="7">
        <v>3725</v>
      </c>
      <c r="E12" s="7">
        <v>17447</v>
      </c>
      <c r="F12" s="7">
        <v>19528</v>
      </c>
      <c r="G12" s="77">
        <v>1525</v>
      </c>
      <c r="H12" s="51">
        <f t="shared" si="0"/>
        <v>4.9140329338640356</v>
      </c>
      <c r="I12" s="34">
        <v>0.89691426053695189</v>
      </c>
      <c r="M12" s="33">
        <f t="shared" si="1"/>
        <v>-0.75720707242118213</v>
      </c>
      <c r="N12" s="8" t="s">
        <v>108</v>
      </c>
      <c r="O12" s="34">
        <v>0</v>
      </c>
    </row>
    <row r="13" spans="3:15" x14ac:dyDescent="0.3">
      <c r="C13" s="51" t="s">
        <v>55</v>
      </c>
      <c r="D13" s="7">
        <v>1318</v>
      </c>
      <c r="E13" s="7">
        <v>23289</v>
      </c>
      <c r="F13" s="7">
        <v>25690</v>
      </c>
      <c r="G13" s="77">
        <v>2439</v>
      </c>
      <c r="H13" s="51">
        <f t="shared" si="0"/>
        <v>6.4895641224371605</v>
      </c>
      <c r="I13" s="34">
        <v>1</v>
      </c>
      <c r="M13" s="33">
        <f t="shared" si="1"/>
        <v>-0.22976727053097257</v>
      </c>
      <c r="N13" s="8" t="s">
        <v>108</v>
      </c>
      <c r="O13" s="34">
        <v>0</v>
      </c>
    </row>
    <row r="14" spans="3:15" x14ac:dyDescent="0.3">
      <c r="C14" s="51" t="s">
        <v>56</v>
      </c>
      <c r="D14" s="7">
        <v>3076</v>
      </c>
      <c r="E14" s="7">
        <v>13582</v>
      </c>
      <c r="F14" s="7">
        <v>16416</v>
      </c>
      <c r="G14" s="77">
        <v>1771</v>
      </c>
      <c r="H14" s="51">
        <f t="shared" si="0"/>
        <v>4.1590898248136225</v>
      </c>
      <c r="I14" s="34">
        <v>0.95944608677813292</v>
      </c>
      <c r="M14" s="33">
        <f t="shared" si="1"/>
        <v>-0.29683677778699025</v>
      </c>
      <c r="N14" s="8" t="s">
        <v>108</v>
      </c>
      <c r="O14" s="34">
        <v>0</v>
      </c>
    </row>
    <row r="15" spans="3:15" x14ac:dyDescent="0.3">
      <c r="C15" s="51" t="s">
        <v>57</v>
      </c>
      <c r="D15" s="7">
        <v>1</v>
      </c>
      <c r="E15" s="7">
        <v>1831</v>
      </c>
      <c r="F15" s="7">
        <v>1672</v>
      </c>
      <c r="G15" s="77">
        <v>1583</v>
      </c>
      <c r="H15" s="51">
        <f t="shared" si="0"/>
        <v>0.50438422484846146</v>
      </c>
      <c r="I15" s="34">
        <v>1</v>
      </c>
      <c r="M15" s="33">
        <f t="shared" si="1"/>
        <v>-2.2204460492503131E-16</v>
      </c>
      <c r="N15" s="8" t="s">
        <v>108</v>
      </c>
      <c r="O15" s="34">
        <v>0</v>
      </c>
    </row>
    <row r="16" spans="3:15" x14ac:dyDescent="0.3">
      <c r="C16" s="51" t="s">
        <v>58</v>
      </c>
      <c r="D16" s="7">
        <v>1208</v>
      </c>
      <c r="E16" s="7">
        <v>7133</v>
      </c>
      <c r="F16" s="7">
        <v>7738</v>
      </c>
      <c r="G16" s="77">
        <v>1143</v>
      </c>
      <c r="H16" s="51">
        <f t="shared" si="0"/>
        <v>1.9782163626009666</v>
      </c>
      <c r="I16" s="34">
        <v>0.91197994261918836</v>
      </c>
      <c r="M16" s="33">
        <f t="shared" si="1"/>
        <v>-0.26707519143813441</v>
      </c>
      <c r="N16" s="8" t="s">
        <v>108</v>
      </c>
      <c r="O16" s="34">
        <v>0</v>
      </c>
    </row>
    <row r="17" spans="3:15" x14ac:dyDescent="0.3">
      <c r="C17" s="51" t="s">
        <v>59</v>
      </c>
      <c r="D17" s="7">
        <v>2360</v>
      </c>
      <c r="E17" s="7">
        <v>10395</v>
      </c>
      <c r="F17" s="7">
        <v>13031</v>
      </c>
      <c r="G17" s="77">
        <v>1941</v>
      </c>
      <c r="H17" s="51">
        <f t="shared" si="0"/>
        <v>3.3322999848173254</v>
      </c>
      <c r="I17" s="34">
        <v>1</v>
      </c>
      <c r="M17" s="33">
        <f t="shared" si="1"/>
        <v>-7.9394562484004894E-2</v>
      </c>
      <c r="N17" s="8" t="s">
        <v>108</v>
      </c>
      <c r="O17" s="34">
        <v>0</v>
      </c>
    </row>
    <row r="18" spans="3:15" x14ac:dyDescent="0.3">
      <c r="C18" s="51" t="s">
        <v>60</v>
      </c>
      <c r="D18" s="7">
        <v>266</v>
      </c>
      <c r="E18" s="7">
        <v>6974</v>
      </c>
      <c r="F18" s="7">
        <v>7326</v>
      </c>
      <c r="G18" s="77">
        <v>1776</v>
      </c>
      <c r="H18" s="51">
        <f t="shared" si="0"/>
        <v>1.9128461767612905</v>
      </c>
      <c r="I18" s="34">
        <v>0.98053722479932037</v>
      </c>
      <c r="M18" s="33">
        <f t="shared" si="1"/>
        <v>-6.9326294846461689E-2</v>
      </c>
      <c r="N18" s="8" t="s">
        <v>108</v>
      </c>
      <c r="O18" s="34">
        <v>0</v>
      </c>
    </row>
    <row r="19" spans="3:15" x14ac:dyDescent="0.3">
      <c r="C19" s="51" t="s">
        <v>61</v>
      </c>
      <c r="D19" s="7">
        <v>504</v>
      </c>
      <c r="E19" s="7">
        <v>6620</v>
      </c>
      <c r="F19" s="7">
        <v>7400</v>
      </c>
      <c r="G19" s="77">
        <v>1932</v>
      </c>
      <c r="H19" s="51">
        <f t="shared" si="0"/>
        <v>1.9401184031022509</v>
      </c>
      <c r="I19" s="34">
        <v>1</v>
      </c>
      <c r="M19" s="33">
        <f t="shared" si="1"/>
        <v>-2.2204460492503131E-16</v>
      </c>
      <c r="N19" s="8" t="s">
        <v>108</v>
      </c>
      <c r="O19" s="34">
        <v>0</v>
      </c>
    </row>
    <row r="20" spans="3:15" x14ac:dyDescent="0.3">
      <c r="C20" s="51" t="s">
        <v>62</v>
      </c>
      <c r="D20" s="7">
        <v>1</v>
      </c>
      <c r="E20" s="7">
        <v>5218</v>
      </c>
      <c r="F20" s="7">
        <v>5325</v>
      </c>
      <c r="G20" s="77">
        <v>1841</v>
      </c>
      <c r="H20" s="51">
        <f t="shared" si="0"/>
        <v>1.4220558355767667</v>
      </c>
      <c r="I20" s="34">
        <v>1</v>
      </c>
      <c r="M20" s="33">
        <f t="shared" si="1"/>
        <v>-1.4912072848506819E-2</v>
      </c>
      <c r="N20" s="8" t="s">
        <v>108</v>
      </c>
      <c r="O20" s="34">
        <v>0</v>
      </c>
    </row>
    <row r="21" spans="3:15" x14ac:dyDescent="0.3">
      <c r="C21" s="51" t="s">
        <v>65</v>
      </c>
      <c r="D21" s="7">
        <v>795</v>
      </c>
      <c r="E21" s="7">
        <v>2171</v>
      </c>
      <c r="F21" s="7">
        <v>276</v>
      </c>
      <c r="G21" s="77">
        <v>1728</v>
      </c>
      <c r="H21" s="51">
        <f t="shared" si="0"/>
        <v>0.16772250274201589</v>
      </c>
      <c r="I21" s="34">
        <v>0.92064318808808387</v>
      </c>
      <c r="M21" s="33">
        <f t="shared" si="1"/>
        <v>-0.61515671144746786</v>
      </c>
      <c r="N21" s="8" t="s">
        <v>108</v>
      </c>
      <c r="O21" s="34">
        <v>0</v>
      </c>
    </row>
    <row r="22" spans="3:15" ht="15" thickBot="1" x14ac:dyDescent="0.35">
      <c r="C22" s="52" t="s">
        <v>66</v>
      </c>
      <c r="D22" s="37">
        <v>1</v>
      </c>
      <c r="E22" s="37">
        <v>3631</v>
      </c>
      <c r="F22" s="37">
        <v>3638</v>
      </c>
      <c r="G22" s="78">
        <v>1752</v>
      </c>
      <c r="H22" s="52">
        <f t="shared" si="0"/>
        <v>0.99999999999999989</v>
      </c>
      <c r="I22" s="39">
        <v>1</v>
      </c>
      <c r="M22" s="33">
        <f t="shared" si="1"/>
        <v>-4.4408920985006262E-16</v>
      </c>
      <c r="N22" s="26" t="s">
        <v>108</v>
      </c>
      <c r="O22" s="39">
        <v>0</v>
      </c>
    </row>
    <row r="24" spans="3:15" ht="15" thickBot="1" x14ac:dyDescent="0.35"/>
    <row r="25" spans="3:15" x14ac:dyDescent="0.3">
      <c r="D25" s="219" t="s">
        <v>215</v>
      </c>
      <c r="E25" s="186"/>
      <c r="F25" s="186"/>
      <c r="G25" s="186"/>
      <c r="H25" s="187"/>
      <c r="M25" s="29" t="s">
        <v>216</v>
      </c>
      <c r="N25" s="201"/>
      <c r="O25" s="202"/>
    </row>
    <row r="26" spans="3:15" x14ac:dyDescent="0.3">
      <c r="D26" s="33" t="s">
        <v>105</v>
      </c>
      <c r="E26" s="8" t="s">
        <v>214</v>
      </c>
      <c r="F26" s="8" t="s">
        <v>103</v>
      </c>
      <c r="G26" s="8" t="s">
        <v>104</v>
      </c>
      <c r="H26" s="102" t="s">
        <v>281</v>
      </c>
      <c r="M26" s="33">
        <f>$D$27*D5+$E$27*E5</f>
        <v>5.1050764841904872</v>
      </c>
      <c r="N26" s="14" t="s">
        <v>107</v>
      </c>
      <c r="O26" s="55">
        <v>1</v>
      </c>
    </row>
    <row r="27" spans="3:15" ht="15" thickBot="1" x14ac:dyDescent="0.35">
      <c r="D27" s="36">
        <v>2.3284468042423511E-4</v>
      </c>
      <c r="E27" s="26">
        <v>2.7534209730641036E-4</v>
      </c>
      <c r="F27" s="26">
        <v>2.471431886604498E-4</v>
      </c>
      <c r="G27" s="26">
        <v>5.7587374231326228E-5</v>
      </c>
      <c r="H27" s="58">
        <v>0</v>
      </c>
      <c r="M27" s="33">
        <f t="shared" ref="M27:M43" si="2">$D$27*D6+$E$27*E6</f>
        <v>8.0356548090497455</v>
      </c>
      <c r="N27" s="14" t="s">
        <v>107</v>
      </c>
      <c r="O27" s="55">
        <v>1</v>
      </c>
    </row>
    <row r="28" spans="3:15" x14ac:dyDescent="0.3">
      <c r="M28" s="33">
        <f t="shared" si="2"/>
        <v>13.814012779883065</v>
      </c>
      <c r="N28" s="14" t="s">
        <v>107</v>
      </c>
      <c r="O28" s="55">
        <v>1</v>
      </c>
    </row>
    <row r="29" spans="3:15" x14ac:dyDescent="0.3">
      <c r="M29" s="33">
        <f t="shared" si="2"/>
        <v>7.7346810203622054</v>
      </c>
      <c r="N29" s="14" t="s">
        <v>107</v>
      </c>
      <c r="O29" s="55">
        <v>1</v>
      </c>
    </row>
    <row r="30" spans="3:15" x14ac:dyDescent="0.3">
      <c r="M30" s="33">
        <f t="shared" si="2"/>
        <v>4.2952657564960521</v>
      </c>
      <c r="N30" s="14" t="s">
        <v>107</v>
      </c>
      <c r="O30" s="55">
        <v>1</v>
      </c>
    </row>
    <row r="31" spans="3:15" x14ac:dyDescent="0.3">
      <c r="M31" s="33">
        <f t="shared" si="2"/>
        <v>5.3970567857063614</v>
      </c>
      <c r="N31" s="14" t="s">
        <v>107</v>
      </c>
      <c r="O31" s="55">
        <v>1</v>
      </c>
    </row>
    <row r="32" spans="3:15" x14ac:dyDescent="0.3">
      <c r="M32" s="33">
        <f t="shared" si="2"/>
        <v>3.2095066708198057</v>
      </c>
      <c r="N32" s="14" t="s">
        <v>107</v>
      </c>
      <c r="O32" s="55">
        <v>1</v>
      </c>
    </row>
    <row r="33" spans="13:15" x14ac:dyDescent="0.3">
      <c r="M33" s="33">
        <f t="shared" si="2"/>
        <v>5.6712400062852177</v>
      </c>
      <c r="N33" s="14" t="s">
        <v>107</v>
      </c>
      <c r="O33" s="55">
        <v>1</v>
      </c>
    </row>
    <row r="34" spans="13:15" x14ac:dyDescent="0.3">
      <c r="M34" s="33">
        <f t="shared" si="2"/>
        <v>6.7193313929681331</v>
      </c>
      <c r="N34" s="14" t="s">
        <v>107</v>
      </c>
      <c r="O34" s="55">
        <v>1</v>
      </c>
    </row>
    <row r="35" spans="13:15" x14ac:dyDescent="0.3">
      <c r="M35" s="33">
        <f t="shared" si="2"/>
        <v>4.4559266026006128</v>
      </c>
      <c r="N35" s="14" t="s">
        <v>107</v>
      </c>
      <c r="O35" s="55">
        <v>1</v>
      </c>
    </row>
    <row r="36" spans="13:15" x14ac:dyDescent="0.3">
      <c r="M36" s="33">
        <f t="shared" si="2"/>
        <v>0.50438422484846168</v>
      </c>
      <c r="N36" s="14" t="s">
        <v>107</v>
      </c>
      <c r="O36" s="55">
        <v>1</v>
      </c>
    </row>
    <row r="37" spans="13:15" x14ac:dyDescent="0.3">
      <c r="M37" s="33">
        <f t="shared" si="2"/>
        <v>2.2452915540391012</v>
      </c>
      <c r="N37" s="14" t="s">
        <v>107</v>
      </c>
      <c r="O37" s="55">
        <v>1</v>
      </c>
    </row>
    <row r="38" spans="13:15" x14ac:dyDescent="0.3">
      <c r="M38" s="33">
        <f t="shared" si="2"/>
        <v>3.4116945473013303</v>
      </c>
      <c r="N38" s="14" t="s">
        <v>107</v>
      </c>
      <c r="O38" s="55">
        <v>1</v>
      </c>
    </row>
    <row r="39" spans="13:15" x14ac:dyDescent="0.3">
      <c r="M39" s="33">
        <f t="shared" si="2"/>
        <v>1.9821724716077522</v>
      </c>
      <c r="N39" s="14" t="s">
        <v>107</v>
      </c>
      <c r="O39" s="55">
        <v>1</v>
      </c>
    </row>
    <row r="40" spans="13:15" x14ac:dyDescent="0.3">
      <c r="M40" s="33">
        <f t="shared" si="2"/>
        <v>1.9401184031022511</v>
      </c>
      <c r="N40" s="14" t="s">
        <v>107</v>
      </c>
      <c r="O40" s="55">
        <v>1</v>
      </c>
    </row>
    <row r="41" spans="13:15" x14ac:dyDescent="0.3">
      <c r="M41" s="33">
        <f t="shared" si="2"/>
        <v>1.4369679084252736</v>
      </c>
      <c r="N41" s="14" t="s">
        <v>107</v>
      </c>
      <c r="O41" s="55">
        <v>1</v>
      </c>
    </row>
    <row r="42" spans="13:15" x14ac:dyDescent="0.3">
      <c r="M42" s="33">
        <f t="shared" si="2"/>
        <v>0.78287921418948381</v>
      </c>
      <c r="N42" s="14" t="s">
        <v>107</v>
      </c>
      <c r="O42" s="55">
        <v>1</v>
      </c>
    </row>
    <row r="43" spans="13:15" ht="15" thickBot="1" x14ac:dyDescent="0.35">
      <c r="M43" s="33">
        <f t="shared" si="2"/>
        <v>1.0000000000000002</v>
      </c>
      <c r="N43" s="49" t="s">
        <v>107</v>
      </c>
      <c r="O43" s="56">
        <v>1</v>
      </c>
    </row>
  </sheetData>
  <mergeCells count="6">
    <mergeCell ref="D3:E3"/>
    <mergeCell ref="F3:G3"/>
    <mergeCell ref="N4:O4"/>
    <mergeCell ref="N25:O25"/>
    <mergeCell ref="H3:I3"/>
    <mergeCell ref="D25:H25"/>
  </mergeCell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6998-58A9-431F-A3A7-430F1667124F}">
  <dimension ref="C2:L65"/>
  <sheetViews>
    <sheetView topLeftCell="A21" workbookViewId="0">
      <selection activeCell="E37" sqref="E37"/>
    </sheetView>
  </sheetViews>
  <sheetFormatPr defaultRowHeight="14.4" x14ac:dyDescent="0.3"/>
  <cols>
    <col min="4" max="5" width="26.21875" bestFit="1" customWidth="1"/>
    <col min="6" max="6" width="18.88671875" bestFit="1" customWidth="1"/>
    <col min="9" max="9" width="9.109375" customWidth="1"/>
    <col min="10" max="10" width="28.88671875" bestFit="1" customWidth="1"/>
    <col min="11" max="11" width="22.5546875" bestFit="1" customWidth="1"/>
    <col min="12" max="12" width="10.44140625" bestFit="1" customWidth="1"/>
  </cols>
  <sheetData>
    <row r="2" spans="3:12" ht="15" thickBot="1" x14ac:dyDescent="0.35"/>
    <row r="3" spans="3:12" ht="15" thickBot="1" x14ac:dyDescent="0.35">
      <c r="I3" s="210" t="s">
        <v>209</v>
      </c>
      <c r="J3" s="211"/>
      <c r="K3" s="211"/>
      <c r="L3" s="212"/>
    </row>
    <row r="4" spans="3:12" ht="15" thickBot="1" x14ac:dyDescent="0.35">
      <c r="C4" s="86" t="s">
        <v>42</v>
      </c>
      <c r="D4" s="87" t="s">
        <v>219</v>
      </c>
      <c r="E4" s="87" t="s">
        <v>102</v>
      </c>
      <c r="F4" s="88" t="s">
        <v>208</v>
      </c>
      <c r="I4" s="60" t="s">
        <v>42</v>
      </c>
      <c r="J4" s="61" t="s">
        <v>64</v>
      </c>
      <c r="K4" s="61" t="s">
        <v>63</v>
      </c>
      <c r="L4" s="103" t="s">
        <v>102</v>
      </c>
    </row>
    <row r="5" spans="3:12" x14ac:dyDescent="0.3">
      <c r="C5" s="108" t="s">
        <v>47</v>
      </c>
      <c r="D5" s="92">
        <v>1.0309631997445199</v>
      </c>
      <c r="E5" s="89">
        <f>1/D5</f>
        <v>0.96996672650178706</v>
      </c>
      <c r="F5" s="90" t="str">
        <f>IF(D5&lt;=1,"efektivní","neefeknivní")</f>
        <v>neefeknivní</v>
      </c>
      <c r="I5" s="104" t="s">
        <v>48</v>
      </c>
      <c r="J5" s="64" t="s">
        <v>4</v>
      </c>
      <c r="K5" s="64" t="s">
        <v>72</v>
      </c>
      <c r="L5" s="97">
        <v>1.0000000000003653</v>
      </c>
    </row>
    <row r="6" spans="3:12" x14ac:dyDescent="0.3">
      <c r="C6" s="109" t="s">
        <v>48</v>
      </c>
      <c r="D6" s="93">
        <v>0.99999999999963474</v>
      </c>
      <c r="E6" s="89">
        <f t="shared" ref="E6:E22" si="0">1/D6</f>
        <v>1.0000000000003653</v>
      </c>
      <c r="F6" s="90" t="str">
        <f t="shared" ref="F6:F22" si="1">IF(D6&lt;=1,"efektivní","neefeknivní")</f>
        <v>efektivní</v>
      </c>
      <c r="I6" s="105" t="s">
        <v>51</v>
      </c>
      <c r="J6" s="65" t="s">
        <v>7</v>
      </c>
      <c r="K6" s="65" t="s">
        <v>74</v>
      </c>
      <c r="L6" s="111">
        <v>1.0000000000000588</v>
      </c>
    </row>
    <row r="7" spans="3:12" x14ac:dyDescent="0.3">
      <c r="C7" s="109" t="s">
        <v>49</v>
      </c>
      <c r="D7" s="93">
        <v>0.99999999999996803</v>
      </c>
      <c r="E7" s="89">
        <f t="shared" si="0"/>
        <v>1.000000000000032</v>
      </c>
      <c r="F7" s="90" t="str">
        <f t="shared" si="1"/>
        <v>efektivní</v>
      </c>
      <c r="I7" s="105" t="s">
        <v>49</v>
      </c>
      <c r="J7" s="65" t="s">
        <v>5</v>
      </c>
      <c r="K7" s="65" t="s">
        <v>73</v>
      </c>
      <c r="L7" s="111">
        <v>1.000000000000032</v>
      </c>
    </row>
    <row r="8" spans="3:12" x14ac:dyDescent="0.3">
      <c r="C8" s="109" t="s">
        <v>50</v>
      </c>
      <c r="D8" s="93">
        <v>1.0667355154707918</v>
      </c>
      <c r="E8" s="89">
        <f t="shared" si="0"/>
        <v>0.93743949226126699</v>
      </c>
      <c r="F8" s="90" t="str">
        <f t="shared" si="1"/>
        <v>neefeknivní</v>
      </c>
      <c r="I8" s="105" t="s">
        <v>55</v>
      </c>
      <c r="J8" s="65" t="s">
        <v>11</v>
      </c>
      <c r="K8" s="65" t="s">
        <v>78</v>
      </c>
      <c r="L8" s="111">
        <v>1</v>
      </c>
    </row>
    <row r="9" spans="3:12" x14ac:dyDescent="0.3">
      <c r="C9" s="109" t="s">
        <v>51</v>
      </c>
      <c r="D9" s="93">
        <v>0.99999999999994116</v>
      </c>
      <c r="E9" s="89">
        <f t="shared" si="0"/>
        <v>1.0000000000000588</v>
      </c>
      <c r="F9" s="90" t="str">
        <f t="shared" si="1"/>
        <v>efektivní</v>
      </c>
      <c r="I9" s="105" t="s">
        <v>57</v>
      </c>
      <c r="J9" s="65" t="s">
        <v>13</v>
      </c>
      <c r="K9" s="65" t="s">
        <v>79</v>
      </c>
      <c r="L9" s="111">
        <v>1</v>
      </c>
    </row>
    <row r="10" spans="3:12" x14ac:dyDescent="0.3">
      <c r="C10" s="109" t="s">
        <v>52</v>
      </c>
      <c r="D10" s="93">
        <v>1.0318848732970229</v>
      </c>
      <c r="E10" s="89">
        <f t="shared" si="0"/>
        <v>0.96910035787699256</v>
      </c>
      <c r="F10" s="90" t="str">
        <f t="shared" si="1"/>
        <v>neefeknivní</v>
      </c>
      <c r="I10" s="105" t="s">
        <v>59</v>
      </c>
      <c r="J10" s="65" t="s">
        <v>17</v>
      </c>
      <c r="K10" s="65" t="s">
        <v>18</v>
      </c>
      <c r="L10" s="111">
        <v>1</v>
      </c>
    </row>
    <row r="11" spans="3:12" x14ac:dyDescent="0.3">
      <c r="C11" s="109" t="s">
        <v>53</v>
      </c>
      <c r="D11" s="93">
        <v>1.1720240537656093</v>
      </c>
      <c r="E11" s="89">
        <f t="shared" si="0"/>
        <v>0.85322480949694568</v>
      </c>
      <c r="F11" s="90" t="str">
        <f t="shared" si="1"/>
        <v>neefeknivní</v>
      </c>
      <c r="I11" s="105" t="s">
        <v>61</v>
      </c>
      <c r="J11" s="65" t="s">
        <v>20</v>
      </c>
      <c r="K11" s="65" t="s">
        <v>18</v>
      </c>
      <c r="L11" s="111">
        <v>1</v>
      </c>
    </row>
    <row r="12" spans="3:12" x14ac:dyDescent="0.3">
      <c r="C12" s="109" t="s">
        <v>54</v>
      </c>
      <c r="D12" s="93">
        <v>1.1134637698867684</v>
      </c>
      <c r="E12" s="89">
        <f t="shared" si="0"/>
        <v>0.89809837288346894</v>
      </c>
      <c r="F12" s="90" t="str">
        <f t="shared" si="1"/>
        <v>neefeknivní</v>
      </c>
      <c r="I12" s="105" t="s">
        <v>62</v>
      </c>
      <c r="J12" s="65" t="s">
        <v>21</v>
      </c>
      <c r="K12" s="65" t="s">
        <v>81</v>
      </c>
      <c r="L12" s="111">
        <v>1</v>
      </c>
    </row>
    <row r="13" spans="3:12" x14ac:dyDescent="0.3">
      <c r="C13" s="109" t="s">
        <v>55</v>
      </c>
      <c r="D13" s="93">
        <v>1</v>
      </c>
      <c r="E13" s="89">
        <f t="shared" si="0"/>
        <v>1</v>
      </c>
      <c r="F13" s="90" t="str">
        <f t="shared" si="1"/>
        <v>efektivní</v>
      </c>
      <c r="I13" s="105" t="s">
        <v>65</v>
      </c>
      <c r="J13" s="65" t="s">
        <v>36</v>
      </c>
      <c r="K13" s="65" t="s">
        <v>15</v>
      </c>
      <c r="L13" s="111">
        <v>1</v>
      </c>
    </row>
    <row r="14" spans="3:12" x14ac:dyDescent="0.3">
      <c r="C14" s="109" t="s">
        <v>56</v>
      </c>
      <c r="D14" s="93">
        <v>1.0415479824274003</v>
      </c>
      <c r="E14" s="89">
        <f t="shared" si="0"/>
        <v>0.96010939185867383</v>
      </c>
      <c r="F14" s="90" t="str">
        <f t="shared" si="1"/>
        <v>neefeknivní</v>
      </c>
      <c r="I14" s="105" t="s">
        <v>66</v>
      </c>
      <c r="J14" s="65" t="s">
        <v>23</v>
      </c>
      <c r="K14" s="65" t="s">
        <v>24</v>
      </c>
      <c r="L14" s="111">
        <v>1</v>
      </c>
    </row>
    <row r="15" spans="3:12" x14ac:dyDescent="0.3">
      <c r="C15" s="109" t="s">
        <v>57</v>
      </c>
      <c r="D15" s="93">
        <v>1</v>
      </c>
      <c r="E15" s="89">
        <f t="shared" si="0"/>
        <v>1</v>
      </c>
      <c r="F15" s="90" t="str">
        <f t="shared" si="1"/>
        <v>efektivní</v>
      </c>
      <c r="I15" s="106" t="s">
        <v>60</v>
      </c>
      <c r="J15" s="9" t="s">
        <v>19</v>
      </c>
      <c r="K15" s="9" t="s">
        <v>18</v>
      </c>
      <c r="L15" s="112">
        <v>0.97963465531883254</v>
      </c>
    </row>
    <row r="16" spans="3:12" x14ac:dyDescent="0.3">
      <c r="C16" s="109" t="s">
        <v>58</v>
      </c>
      <c r="D16" s="93">
        <v>1.1118262108066406</v>
      </c>
      <c r="E16" s="89">
        <f t="shared" si="0"/>
        <v>0.89942114179381538</v>
      </c>
      <c r="F16" s="90" t="str">
        <f t="shared" si="1"/>
        <v>neefeknivní</v>
      </c>
      <c r="I16" s="106" t="s">
        <v>47</v>
      </c>
      <c r="J16" s="9" t="s">
        <v>3</v>
      </c>
      <c r="K16" s="9" t="s">
        <v>71</v>
      </c>
      <c r="L16" s="112">
        <v>0.96996672650178706</v>
      </c>
    </row>
    <row r="17" spans="3:12" x14ac:dyDescent="0.3">
      <c r="C17" s="109" t="s">
        <v>59</v>
      </c>
      <c r="D17" s="93">
        <v>1</v>
      </c>
      <c r="E17" s="89">
        <f t="shared" si="0"/>
        <v>1</v>
      </c>
      <c r="F17" s="90" t="str">
        <f t="shared" si="1"/>
        <v>efektivní</v>
      </c>
      <c r="I17" s="106" t="s">
        <v>52</v>
      </c>
      <c r="J17" s="9" t="s">
        <v>8</v>
      </c>
      <c r="K17" s="9" t="s">
        <v>75</v>
      </c>
      <c r="L17" s="112">
        <v>0.96910035787699256</v>
      </c>
    </row>
    <row r="18" spans="3:12" x14ac:dyDescent="0.3">
      <c r="C18" s="109" t="s">
        <v>60</v>
      </c>
      <c r="D18" s="93">
        <v>1.0207887140074066</v>
      </c>
      <c r="E18" s="89">
        <f t="shared" si="0"/>
        <v>0.97963465531883254</v>
      </c>
      <c r="F18" s="90" t="str">
        <f t="shared" si="1"/>
        <v>neefeknivní</v>
      </c>
      <c r="I18" s="106" t="s">
        <v>56</v>
      </c>
      <c r="J18" s="9" t="s">
        <v>12</v>
      </c>
      <c r="K18" s="9" t="s">
        <v>16</v>
      </c>
      <c r="L18" s="112">
        <v>0.96010939185867383</v>
      </c>
    </row>
    <row r="19" spans="3:12" x14ac:dyDescent="0.3">
      <c r="C19" s="109" t="s">
        <v>61</v>
      </c>
      <c r="D19" s="93">
        <v>1</v>
      </c>
      <c r="E19" s="89">
        <f t="shared" si="0"/>
        <v>1</v>
      </c>
      <c r="F19" s="90" t="str">
        <f t="shared" si="1"/>
        <v>efektivní</v>
      </c>
      <c r="I19" s="106" t="s">
        <v>50</v>
      </c>
      <c r="J19" s="9" t="s">
        <v>6</v>
      </c>
      <c r="K19" s="9" t="s">
        <v>15</v>
      </c>
      <c r="L19" s="112">
        <v>0.93743949226126699</v>
      </c>
    </row>
    <row r="20" spans="3:12" x14ac:dyDescent="0.3">
      <c r="C20" s="109" t="s">
        <v>62</v>
      </c>
      <c r="D20" s="93">
        <v>1</v>
      </c>
      <c r="E20" s="89">
        <f t="shared" si="0"/>
        <v>1</v>
      </c>
      <c r="F20" s="90" t="str">
        <f t="shared" si="1"/>
        <v>efektivní</v>
      </c>
      <c r="I20" s="106" t="s">
        <v>58</v>
      </c>
      <c r="J20" s="9" t="s">
        <v>14</v>
      </c>
      <c r="K20" s="9" t="s">
        <v>80</v>
      </c>
      <c r="L20" s="112">
        <v>0.89942114179381538</v>
      </c>
    </row>
    <row r="21" spans="3:12" x14ac:dyDescent="0.3">
      <c r="C21" s="109" t="s">
        <v>65</v>
      </c>
      <c r="D21" s="93">
        <v>1</v>
      </c>
      <c r="E21" s="89">
        <f t="shared" si="0"/>
        <v>1</v>
      </c>
      <c r="F21" s="90" t="str">
        <f t="shared" si="1"/>
        <v>efektivní</v>
      </c>
      <c r="I21" s="106" t="s">
        <v>54</v>
      </c>
      <c r="J21" s="9" t="s">
        <v>10</v>
      </c>
      <c r="K21" s="9" t="s">
        <v>77</v>
      </c>
      <c r="L21" s="112">
        <v>0.89809837288346894</v>
      </c>
    </row>
    <row r="22" spans="3:12" ht="15" thickBot="1" x14ac:dyDescent="0.35">
      <c r="C22" s="110" t="s">
        <v>66</v>
      </c>
      <c r="D22" s="94">
        <v>1</v>
      </c>
      <c r="E22" s="91">
        <f t="shared" si="0"/>
        <v>1</v>
      </c>
      <c r="F22" s="95" t="str">
        <f t="shared" si="1"/>
        <v>efektivní</v>
      </c>
      <c r="I22" s="107" t="s">
        <v>53</v>
      </c>
      <c r="J22" s="38" t="s">
        <v>9</v>
      </c>
      <c r="K22" s="38" t="s">
        <v>76</v>
      </c>
      <c r="L22" s="113">
        <v>0.85322480949694568</v>
      </c>
    </row>
    <row r="24" spans="3:12" ht="15" thickBot="1" x14ac:dyDescent="0.35"/>
    <row r="25" spans="3:12" ht="15" thickBot="1" x14ac:dyDescent="0.35">
      <c r="I25" s="210" t="s">
        <v>209</v>
      </c>
      <c r="J25" s="211"/>
      <c r="K25" s="211"/>
      <c r="L25" s="212"/>
    </row>
    <row r="26" spans="3:12" ht="15" thickBot="1" x14ac:dyDescent="0.35">
      <c r="C26" s="86" t="s">
        <v>42</v>
      </c>
      <c r="D26" s="87" t="s">
        <v>286</v>
      </c>
      <c r="E26" s="87" t="s">
        <v>102</v>
      </c>
      <c r="F26" s="88" t="s">
        <v>208</v>
      </c>
      <c r="I26" s="60" t="s">
        <v>42</v>
      </c>
      <c r="J26" s="61" t="s">
        <v>64</v>
      </c>
      <c r="K26" s="61" t="s">
        <v>63</v>
      </c>
      <c r="L26" s="103" t="s">
        <v>102</v>
      </c>
    </row>
    <row r="27" spans="3:12" x14ac:dyDescent="0.3">
      <c r="C27" s="108" t="s">
        <v>47</v>
      </c>
      <c r="D27" s="92">
        <v>0.97022215070483941</v>
      </c>
      <c r="E27" s="89">
        <f>D27</f>
        <v>0.97022215070483941</v>
      </c>
      <c r="F27" s="90" t="str">
        <f>IF(D27&gt;=1,"efektivní","neefektivní")</f>
        <v>neefektivní</v>
      </c>
      <c r="I27" s="96" t="s">
        <v>51</v>
      </c>
      <c r="J27" s="64" t="s">
        <v>7</v>
      </c>
      <c r="K27" s="64" t="s">
        <v>74</v>
      </c>
      <c r="L27" s="97">
        <v>1</v>
      </c>
    </row>
    <row r="28" spans="3:12" x14ac:dyDescent="0.3">
      <c r="C28" s="109" t="s">
        <v>48</v>
      </c>
      <c r="D28" s="92">
        <v>1</v>
      </c>
      <c r="E28" s="114">
        <f t="shared" ref="E28:E44" si="2">D28</f>
        <v>1</v>
      </c>
      <c r="F28" s="90" t="str">
        <f t="shared" ref="F28:F44" si="3">IF(D28&gt;=1,"efektivní","neefektivní")</f>
        <v>efektivní</v>
      </c>
      <c r="I28" s="63" t="s">
        <v>57</v>
      </c>
      <c r="J28" s="65" t="s">
        <v>13</v>
      </c>
      <c r="K28" s="65" t="s">
        <v>79</v>
      </c>
      <c r="L28" s="111">
        <v>1</v>
      </c>
    </row>
    <row r="29" spans="3:12" x14ac:dyDescent="0.3">
      <c r="C29" s="109" t="s">
        <v>49</v>
      </c>
      <c r="D29" s="92">
        <v>0.97333164410744588</v>
      </c>
      <c r="E29" s="114">
        <f t="shared" si="2"/>
        <v>0.97333164410744588</v>
      </c>
      <c r="F29" s="90" t="str">
        <f t="shared" si="3"/>
        <v>neefektivní</v>
      </c>
      <c r="I29" s="63" t="s">
        <v>65</v>
      </c>
      <c r="J29" s="65" t="s">
        <v>36</v>
      </c>
      <c r="K29" s="65" t="s">
        <v>15</v>
      </c>
      <c r="L29" s="111">
        <v>1</v>
      </c>
    </row>
    <row r="30" spans="3:12" x14ac:dyDescent="0.3">
      <c r="C30" s="109" t="s">
        <v>50</v>
      </c>
      <c r="D30" s="92">
        <v>0.93523338609372464</v>
      </c>
      <c r="E30" s="114">
        <f t="shared" si="2"/>
        <v>0.93523338609372464</v>
      </c>
      <c r="F30" s="90" t="str">
        <f t="shared" si="3"/>
        <v>neefektivní</v>
      </c>
      <c r="I30" s="63" t="s">
        <v>60</v>
      </c>
      <c r="J30" s="65" t="s">
        <v>19</v>
      </c>
      <c r="K30" s="65" t="s">
        <v>18</v>
      </c>
      <c r="L30" s="111">
        <v>1</v>
      </c>
    </row>
    <row r="31" spans="3:12" x14ac:dyDescent="0.3">
      <c r="C31" s="109" t="s">
        <v>51</v>
      </c>
      <c r="D31" s="92">
        <v>1</v>
      </c>
      <c r="E31" s="114">
        <f t="shared" si="2"/>
        <v>1</v>
      </c>
      <c r="F31" s="90" t="str">
        <f t="shared" si="3"/>
        <v>efektivní</v>
      </c>
      <c r="I31" s="63" t="s">
        <v>52</v>
      </c>
      <c r="J31" s="65" t="s">
        <v>8</v>
      </c>
      <c r="K31" s="65" t="s">
        <v>75</v>
      </c>
      <c r="L31" s="111">
        <v>1</v>
      </c>
    </row>
    <row r="32" spans="3:12" x14ac:dyDescent="0.3">
      <c r="C32" s="109" t="s">
        <v>52</v>
      </c>
      <c r="D32" s="92">
        <v>0.96789308537147489</v>
      </c>
      <c r="E32" s="114">
        <f t="shared" si="2"/>
        <v>0.96789308537147489</v>
      </c>
      <c r="F32" s="90" t="str">
        <f t="shared" si="3"/>
        <v>neefektivní</v>
      </c>
      <c r="I32" s="63" t="s">
        <v>50</v>
      </c>
      <c r="J32" s="65" t="s">
        <v>6</v>
      </c>
      <c r="K32" s="65" t="s">
        <v>15</v>
      </c>
      <c r="L32" s="111">
        <v>1</v>
      </c>
    </row>
    <row r="33" spans="3:12" x14ac:dyDescent="0.3">
      <c r="C33" s="109" t="s">
        <v>53</v>
      </c>
      <c r="D33" s="92">
        <v>0.87162536337114083</v>
      </c>
      <c r="E33" s="114">
        <f t="shared" si="2"/>
        <v>0.87162536337114083</v>
      </c>
      <c r="F33" s="90" t="str">
        <f t="shared" si="3"/>
        <v>neefektivní</v>
      </c>
      <c r="I33" s="63" t="s">
        <v>58</v>
      </c>
      <c r="J33" s="65" t="s">
        <v>14</v>
      </c>
      <c r="K33" s="65" t="s">
        <v>80</v>
      </c>
      <c r="L33" s="111">
        <v>1</v>
      </c>
    </row>
    <row r="34" spans="3:12" x14ac:dyDescent="0.3">
      <c r="C34" s="109" t="s">
        <v>54</v>
      </c>
      <c r="D34" s="92">
        <v>0.89691426053695189</v>
      </c>
      <c r="E34" s="114">
        <f t="shared" si="2"/>
        <v>0.89691426053695189</v>
      </c>
      <c r="F34" s="90" t="str">
        <f t="shared" si="3"/>
        <v>neefektivní</v>
      </c>
      <c r="I34" s="63" t="s">
        <v>53</v>
      </c>
      <c r="J34" s="65" t="s">
        <v>9</v>
      </c>
      <c r="K34" s="65" t="s">
        <v>76</v>
      </c>
      <c r="L34" s="111">
        <v>1</v>
      </c>
    </row>
    <row r="35" spans="3:12" x14ac:dyDescent="0.3">
      <c r="C35" s="109" t="s">
        <v>55</v>
      </c>
      <c r="D35" s="92">
        <v>1</v>
      </c>
      <c r="E35" s="114">
        <f t="shared" si="2"/>
        <v>1</v>
      </c>
      <c r="F35" s="90" t="str">
        <f t="shared" si="3"/>
        <v>efektivní</v>
      </c>
      <c r="I35" s="66" t="s">
        <v>56</v>
      </c>
      <c r="J35" s="9" t="s">
        <v>12</v>
      </c>
      <c r="K35" s="9" t="s">
        <v>16</v>
      </c>
      <c r="L35" s="112">
        <v>0.98053722479932037</v>
      </c>
    </row>
    <row r="36" spans="3:12" x14ac:dyDescent="0.3">
      <c r="C36" s="109" t="s">
        <v>56</v>
      </c>
      <c r="D36" s="92">
        <v>0.95944608677813292</v>
      </c>
      <c r="E36" s="114">
        <f t="shared" si="2"/>
        <v>0.95944608677813292</v>
      </c>
      <c r="F36" s="90" t="str">
        <f t="shared" si="3"/>
        <v>neefektivní</v>
      </c>
      <c r="I36" s="66" t="s">
        <v>49</v>
      </c>
      <c r="J36" s="9" t="s">
        <v>5</v>
      </c>
      <c r="K36" s="9" t="s">
        <v>73</v>
      </c>
      <c r="L36" s="112">
        <v>0.97333164410744588</v>
      </c>
    </row>
    <row r="37" spans="3:12" x14ac:dyDescent="0.3">
      <c r="C37" s="109" t="s">
        <v>57</v>
      </c>
      <c r="D37" s="92">
        <v>1</v>
      </c>
      <c r="E37" s="114">
        <f t="shared" si="2"/>
        <v>1</v>
      </c>
      <c r="F37" s="90" t="str">
        <f t="shared" si="3"/>
        <v>efektivní</v>
      </c>
      <c r="I37" s="66" t="s">
        <v>48</v>
      </c>
      <c r="J37" s="9" t="s">
        <v>4</v>
      </c>
      <c r="K37" s="9" t="s">
        <v>72</v>
      </c>
      <c r="L37" s="112">
        <v>0.97022215070483941</v>
      </c>
    </row>
    <row r="38" spans="3:12" x14ac:dyDescent="0.3">
      <c r="C38" s="109" t="s">
        <v>58</v>
      </c>
      <c r="D38" s="92">
        <v>0.91197994261918836</v>
      </c>
      <c r="E38" s="114">
        <f t="shared" si="2"/>
        <v>0.91197994261918836</v>
      </c>
      <c r="F38" s="90" t="str">
        <f t="shared" si="3"/>
        <v>neefektivní</v>
      </c>
      <c r="I38" s="66" t="s">
        <v>59</v>
      </c>
      <c r="J38" s="9" t="s">
        <v>17</v>
      </c>
      <c r="K38" s="9" t="s">
        <v>18</v>
      </c>
      <c r="L38" s="112">
        <v>0.96789308537147489</v>
      </c>
    </row>
    <row r="39" spans="3:12" x14ac:dyDescent="0.3">
      <c r="C39" s="109" t="s">
        <v>59</v>
      </c>
      <c r="D39" s="92">
        <v>1</v>
      </c>
      <c r="E39" s="114">
        <f t="shared" si="2"/>
        <v>1</v>
      </c>
      <c r="F39" s="90" t="str">
        <f t="shared" si="3"/>
        <v>efektivní</v>
      </c>
      <c r="I39" s="66" t="s">
        <v>66</v>
      </c>
      <c r="J39" s="9" t="s">
        <v>23</v>
      </c>
      <c r="K39" s="9" t="s">
        <v>24</v>
      </c>
      <c r="L39" s="112">
        <v>0.95944608677813292</v>
      </c>
    </row>
    <row r="40" spans="3:12" x14ac:dyDescent="0.3">
      <c r="C40" s="109" t="s">
        <v>60</v>
      </c>
      <c r="D40" s="92">
        <v>0.98053722479932037</v>
      </c>
      <c r="E40" s="114">
        <f t="shared" si="2"/>
        <v>0.98053722479932037</v>
      </c>
      <c r="F40" s="90" t="str">
        <f t="shared" si="3"/>
        <v>neefektivní</v>
      </c>
      <c r="I40" s="66" t="s">
        <v>55</v>
      </c>
      <c r="J40" s="9" t="s">
        <v>11</v>
      </c>
      <c r="K40" s="9" t="s">
        <v>78</v>
      </c>
      <c r="L40" s="112">
        <v>0.93523338609372464</v>
      </c>
    </row>
    <row r="41" spans="3:12" x14ac:dyDescent="0.3">
      <c r="C41" s="109" t="s">
        <v>61</v>
      </c>
      <c r="D41" s="92">
        <v>1</v>
      </c>
      <c r="E41" s="114">
        <f t="shared" si="2"/>
        <v>1</v>
      </c>
      <c r="F41" s="90" t="str">
        <f t="shared" si="3"/>
        <v>efektivní</v>
      </c>
      <c r="I41" s="66" t="s">
        <v>54</v>
      </c>
      <c r="J41" s="9" t="s">
        <v>10</v>
      </c>
      <c r="K41" s="9" t="s">
        <v>77</v>
      </c>
      <c r="L41" s="112">
        <v>0.92064318808808387</v>
      </c>
    </row>
    <row r="42" spans="3:12" x14ac:dyDescent="0.3">
      <c r="C42" s="109" t="s">
        <v>62</v>
      </c>
      <c r="D42" s="92">
        <v>1</v>
      </c>
      <c r="E42" s="114">
        <f t="shared" si="2"/>
        <v>1</v>
      </c>
      <c r="F42" s="90" t="str">
        <f t="shared" si="3"/>
        <v>efektivní</v>
      </c>
      <c r="I42" s="66" t="s">
        <v>47</v>
      </c>
      <c r="J42" s="9" t="s">
        <v>3</v>
      </c>
      <c r="K42" s="9" t="s">
        <v>71</v>
      </c>
      <c r="L42" s="112">
        <v>0.91197994261918836</v>
      </c>
    </row>
    <row r="43" spans="3:12" x14ac:dyDescent="0.3">
      <c r="C43" s="109" t="s">
        <v>65</v>
      </c>
      <c r="D43" s="92">
        <v>0.92064318808808387</v>
      </c>
      <c r="E43" s="114">
        <f t="shared" si="2"/>
        <v>0.92064318808808387</v>
      </c>
      <c r="F43" s="90" t="str">
        <f t="shared" si="3"/>
        <v>neefektivní</v>
      </c>
      <c r="I43" s="66" t="s">
        <v>62</v>
      </c>
      <c r="J43" s="9" t="s">
        <v>21</v>
      </c>
      <c r="K43" s="9" t="s">
        <v>81</v>
      </c>
      <c r="L43" s="112">
        <v>0.89691426053695189</v>
      </c>
    </row>
    <row r="44" spans="3:12" ht="15" thickBot="1" x14ac:dyDescent="0.35">
      <c r="C44" s="110" t="s">
        <v>66</v>
      </c>
      <c r="D44" s="116">
        <v>1</v>
      </c>
      <c r="E44" s="115">
        <f t="shared" si="2"/>
        <v>1</v>
      </c>
      <c r="F44" s="95" t="str">
        <f t="shared" si="3"/>
        <v>efektivní</v>
      </c>
      <c r="I44" s="67" t="s">
        <v>61</v>
      </c>
      <c r="J44" s="38" t="s">
        <v>20</v>
      </c>
      <c r="K44" s="38" t="s">
        <v>18</v>
      </c>
      <c r="L44" s="113">
        <v>0.87162536337114083</v>
      </c>
    </row>
    <row r="46" spans="3:12" ht="15" thickBot="1" x14ac:dyDescent="0.35"/>
    <row r="47" spans="3:12" ht="15" thickBot="1" x14ac:dyDescent="0.35">
      <c r="C47" s="86" t="s">
        <v>42</v>
      </c>
      <c r="D47" s="87" t="s">
        <v>286</v>
      </c>
      <c r="E47" s="88" t="s">
        <v>219</v>
      </c>
    </row>
    <row r="48" spans="3:12" x14ac:dyDescent="0.3">
      <c r="C48" s="108" t="s">
        <v>47</v>
      </c>
      <c r="D48" s="89">
        <f>D27</f>
        <v>0.97022215070483941</v>
      </c>
      <c r="E48" s="140">
        <f>1/D5</f>
        <v>0.96996672650178706</v>
      </c>
    </row>
    <row r="49" spans="3:5" x14ac:dyDescent="0.3">
      <c r="C49" s="109" t="s">
        <v>48</v>
      </c>
      <c r="D49" s="141">
        <f t="shared" ref="D49:D65" si="4">D28</f>
        <v>1</v>
      </c>
      <c r="E49" s="142">
        <f t="shared" ref="E49:E65" si="5">1/D6</f>
        <v>1.0000000000003653</v>
      </c>
    </row>
    <row r="50" spans="3:5" x14ac:dyDescent="0.3">
      <c r="C50" s="109" t="s">
        <v>49</v>
      </c>
      <c r="D50" s="89">
        <f t="shared" si="4"/>
        <v>0.97333164410744588</v>
      </c>
      <c r="E50" s="140">
        <f t="shared" si="5"/>
        <v>1.000000000000032</v>
      </c>
    </row>
    <row r="51" spans="3:5" x14ac:dyDescent="0.3">
      <c r="C51" s="109" t="s">
        <v>50</v>
      </c>
      <c r="D51" s="89">
        <f t="shared" si="4"/>
        <v>0.93523338609372464</v>
      </c>
      <c r="E51" s="140">
        <f t="shared" si="5"/>
        <v>0.93743949226126699</v>
      </c>
    </row>
    <row r="52" spans="3:5" x14ac:dyDescent="0.3">
      <c r="C52" s="109" t="s">
        <v>51</v>
      </c>
      <c r="D52" s="141">
        <f t="shared" si="4"/>
        <v>1</v>
      </c>
      <c r="E52" s="142">
        <f t="shared" si="5"/>
        <v>1.0000000000000588</v>
      </c>
    </row>
    <row r="53" spans="3:5" x14ac:dyDescent="0.3">
      <c r="C53" s="109" t="s">
        <v>52</v>
      </c>
      <c r="D53" s="89">
        <f t="shared" si="4"/>
        <v>0.96789308537147489</v>
      </c>
      <c r="E53" s="140">
        <f t="shared" si="5"/>
        <v>0.96910035787699256</v>
      </c>
    </row>
    <row r="54" spans="3:5" x14ac:dyDescent="0.3">
      <c r="C54" s="109" t="s">
        <v>53</v>
      </c>
      <c r="D54" s="89">
        <f t="shared" si="4"/>
        <v>0.87162536337114083</v>
      </c>
      <c r="E54" s="140">
        <f t="shared" si="5"/>
        <v>0.85322480949694568</v>
      </c>
    </row>
    <row r="55" spans="3:5" x14ac:dyDescent="0.3">
      <c r="C55" s="109" t="s">
        <v>54</v>
      </c>
      <c r="D55" s="89">
        <f t="shared" si="4"/>
        <v>0.89691426053695189</v>
      </c>
      <c r="E55" s="140">
        <f t="shared" si="5"/>
        <v>0.89809837288346894</v>
      </c>
    </row>
    <row r="56" spans="3:5" x14ac:dyDescent="0.3">
      <c r="C56" s="109" t="s">
        <v>55</v>
      </c>
      <c r="D56" s="141">
        <f t="shared" si="4"/>
        <v>1</v>
      </c>
      <c r="E56" s="142">
        <f t="shared" si="5"/>
        <v>1</v>
      </c>
    </row>
    <row r="57" spans="3:5" x14ac:dyDescent="0.3">
      <c r="C57" s="109" t="s">
        <v>56</v>
      </c>
      <c r="D57" s="89">
        <f t="shared" si="4"/>
        <v>0.95944608677813292</v>
      </c>
      <c r="E57" s="140">
        <f t="shared" si="5"/>
        <v>0.96010939185867383</v>
      </c>
    </row>
    <row r="58" spans="3:5" x14ac:dyDescent="0.3">
      <c r="C58" s="109" t="s">
        <v>57</v>
      </c>
      <c r="D58" s="141">
        <f t="shared" si="4"/>
        <v>1</v>
      </c>
      <c r="E58" s="142">
        <f t="shared" si="5"/>
        <v>1</v>
      </c>
    </row>
    <row r="59" spans="3:5" x14ac:dyDescent="0.3">
      <c r="C59" s="109" t="s">
        <v>58</v>
      </c>
      <c r="D59" s="89">
        <f t="shared" si="4"/>
        <v>0.91197994261918836</v>
      </c>
      <c r="E59" s="140">
        <f t="shared" si="5"/>
        <v>0.89942114179381538</v>
      </c>
    </row>
    <row r="60" spans="3:5" x14ac:dyDescent="0.3">
      <c r="C60" s="109" t="s">
        <v>59</v>
      </c>
      <c r="D60" s="143">
        <f t="shared" si="4"/>
        <v>1</v>
      </c>
      <c r="E60" s="144">
        <f t="shared" si="5"/>
        <v>1</v>
      </c>
    </row>
    <row r="61" spans="3:5" x14ac:dyDescent="0.3">
      <c r="C61" s="109" t="s">
        <v>60</v>
      </c>
      <c r="D61" s="89">
        <f t="shared" si="4"/>
        <v>0.98053722479932037</v>
      </c>
      <c r="E61" s="140">
        <f t="shared" si="5"/>
        <v>0.97963465531883254</v>
      </c>
    </row>
    <row r="62" spans="3:5" x14ac:dyDescent="0.3">
      <c r="C62" s="109" t="s">
        <v>61</v>
      </c>
      <c r="D62" s="143">
        <f t="shared" si="4"/>
        <v>1</v>
      </c>
      <c r="E62" s="144">
        <f t="shared" si="5"/>
        <v>1</v>
      </c>
    </row>
    <row r="63" spans="3:5" x14ac:dyDescent="0.3">
      <c r="C63" s="109" t="s">
        <v>62</v>
      </c>
      <c r="D63" s="143">
        <f t="shared" si="4"/>
        <v>1</v>
      </c>
      <c r="E63" s="144">
        <f t="shared" si="5"/>
        <v>1</v>
      </c>
    </row>
    <row r="64" spans="3:5" x14ac:dyDescent="0.3">
      <c r="C64" s="109" t="s">
        <v>65</v>
      </c>
      <c r="D64" s="89">
        <f t="shared" si="4"/>
        <v>0.92064318808808387</v>
      </c>
      <c r="E64" s="140">
        <f t="shared" si="5"/>
        <v>1</v>
      </c>
    </row>
    <row r="65" spans="3:5" ht="15" thickBot="1" x14ac:dyDescent="0.35">
      <c r="C65" s="110" t="s">
        <v>66</v>
      </c>
      <c r="D65" s="145">
        <f t="shared" si="4"/>
        <v>1</v>
      </c>
      <c r="E65" s="146">
        <f t="shared" si="5"/>
        <v>1</v>
      </c>
    </row>
  </sheetData>
  <sortState xmlns:xlrd2="http://schemas.microsoft.com/office/spreadsheetml/2017/richdata2" ref="I27:L44">
    <sortCondition descending="1" ref="L44"/>
  </sortState>
  <mergeCells count="2">
    <mergeCell ref="I3:L3"/>
    <mergeCell ref="I25:L25"/>
  </mergeCells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ECF9-6596-4D0B-BC9A-1E7048032837}">
  <dimension ref="A1:L39"/>
  <sheetViews>
    <sheetView topLeftCell="A16" workbookViewId="0">
      <selection activeCell="M32" sqref="M32"/>
    </sheetView>
  </sheetViews>
  <sheetFormatPr defaultRowHeight="14.4" x14ac:dyDescent="0.3"/>
  <cols>
    <col min="1" max="1" width="9.5546875" customWidth="1"/>
    <col min="2" max="2" width="10.5546875" customWidth="1"/>
    <col min="3" max="4" width="9.5546875" customWidth="1"/>
    <col min="5" max="5" width="9" customWidth="1"/>
    <col min="6" max="6" width="8.6640625" customWidth="1"/>
    <col min="7" max="7" width="9.109375" customWidth="1"/>
    <col min="8" max="9" width="9.5546875" customWidth="1"/>
    <col min="10" max="10" width="9.21875" customWidth="1"/>
    <col min="11" max="11" width="8.88671875" customWidth="1"/>
    <col min="12" max="12" width="9.6640625" customWidth="1"/>
  </cols>
  <sheetData>
    <row r="1" spans="1:6" x14ac:dyDescent="0.3">
      <c r="B1" t="s">
        <v>94</v>
      </c>
      <c r="D1" t="s">
        <v>95</v>
      </c>
    </row>
    <row r="2" spans="1:6" x14ac:dyDescent="0.3">
      <c r="A2" t="s">
        <v>42</v>
      </c>
      <c r="B2" t="s">
        <v>67</v>
      </c>
      <c r="C2" t="s">
        <v>68</v>
      </c>
      <c r="D2" t="s">
        <v>69</v>
      </c>
      <c r="E2" t="s">
        <v>70</v>
      </c>
      <c r="F2" t="s">
        <v>218</v>
      </c>
    </row>
    <row r="3" spans="1:6" x14ac:dyDescent="0.3">
      <c r="A3" t="s">
        <v>47</v>
      </c>
      <c r="B3">
        <v>1692</v>
      </c>
      <c r="C3">
        <v>17110</v>
      </c>
      <c r="D3">
        <v>18955</v>
      </c>
      <c r="E3">
        <v>1790</v>
      </c>
      <c r="F3">
        <v>0.97022215070483941</v>
      </c>
    </row>
    <row r="4" spans="1:6" x14ac:dyDescent="0.3">
      <c r="A4" s="147" t="s">
        <v>48</v>
      </c>
      <c r="B4" s="147">
        <v>6743</v>
      </c>
      <c r="C4" s="147">
        <v>23482</v>
      </c>
      <c r="D4" s="147">
        <v>30786</v>
      </c>
      <c r="E4" s="147">
        <v>2698</v>
      </c>
      <c r="F4" s="147">
        <v>1</v>
      </c>
    </row>
    <row r="5" spans="1:6" x14ac:dyDescent="0.3">
      <c r="A5" t="s">
        <v>49</v>
      </c>
      <c r="B5">
        <v>7306</v>
      </c>
      <c r="C5">
        <v>43992</v>
      </c>
      <c r="D5">
        <v>51560</v>
      </c>
      <c r="E5">
        <v>2043</v>
      </c>
      <c r="F5">
        <v>0.97333164410744588</v>
      </c>
    </row>
    <row r="6" spans="1:6" x14ac:dyDescent="0.3">
      <c r="A6" t="s">
        <v>50</v>
      </c>
      <c r="B6">
        <v>5843</v>
      </c>
      <c r="C6">
        <v>23150</v>
      </c>
      <c r="D6">
        <v>27773</v>
      </c>
      <c r="E6">
        <v>1082</v>
      </c>
      <c r="F6">
        <v>0.93523338609372464</v>
      </c>
    </row>
    <row r="7" spans="1:6" x14ac:dyDescent="0.3">
      <c r="A7" s="147" t="s">
        <v>51</v>
      </c>
      <c r="B7" s="147">
        <v>3144</v>
      </c>
      <c r="C7" s="147">
        <v>12941</v>
      </c>
      <c r="D7" s="147">
        <v>16501</v>
      </c>
      <c r="E7" s="147">
        <v>1683</v>
      </c>
      <c r="F7" s="147">
        <v>1</v>
      </c>
    </row>
    <row r="8" spans="1:6" x14ac:dyDescent="0.3">
      <c r="A8" t="s">
        <v>52</v>
      </c>
      <c r="B8">
        <v>3769</v>
      </c>
      <c r="C8">
        <v>16414</v>
      </c>
      <c r="D8">
        <v>20062</v>
      </c>
      <c r="E8">
        <v>1533</v>
      </c>
      <c r="F8">
        <v>0.96789308537147489</v>
      </c>
    </row>
    <row r="9" spans="1:6" x14ac:dyDescent="0.3">
      <c r="A9" t="s">
        <v>53</v>
      </c>
      <c r="B9">
        <v>2375</v>
      </c>
      <c r="C9">
        <v>9648</v>
      </c>
      <c r="D9">
        <v>10518</v>
      </c>
      <c r="E9">
        <v>1</v>
      </c>
      <c r="F9">
        <v>0.87162536337114083</v>
      </c>
    </row>
    <row r="10" spans="1:6" x14ac:dyDescent="0.3">
      <c r="A10" t="s">
        <v>54</v>
      </c>
      <c r="B10">
        <v>3725</v>
      </c>
      <c r="C10">
        <v>17447</v>
      </c>
      <c r="D10">
        <v>19528</v>
      </c>
      <c r="E10">
        <v>1525</v>
      </c>
      <c r="F10">
        <v>0.89691426053695189</v>
      </c>
    </row>
    <row r="11" spans="1:6" x14ac:dyDescent="0.3">
      <c r="A11" s="147" t="s">
        <v>55</v>
      </c>
      <c r="B11" s="147">
        <v>1318</v>
      </c>
      <c r="C11" s="147">
        <v>23289</v>
      </c>
      <c r="D11" s="147">
        <v>25690</v>
      </c>
      <c r="E11" s="147">
        <v>2439</v>
      </c>
      <c r="F11" s="147">
        <v>1</v>
      </c>
    </row>
    <row r="12" spans="1:6" x14ac:dyDescent="0.3">
      <c r="A12" t="s">
        <v>56</v>
      </c>
      <c r="B12">
        <v>3076</v>
      </c>
      <c r="C12">
        <v>13582</v>
      </c>
      <c r="D12">
        <v>16416</v>
      </c>
      <c r="E12">
        <v>1771</v>
      </c>
      <c r="F12">
        <v>0.95944608677813292</v>
      </c>
    </row>
    <row r="13" spans="1:6" x14ac:dyDescent="0.3">
      <c r="A13" s="147" t="s">
        <v>57</v>
      </c>
      <c r="B13" s="147">
        <v>1</v>
      </c>
      <c r="C13" s="147">
        <v>1831</v>
      </c>
      <c r="D13" s="147">
        <v>1672</v>
      </c>
      <c r="E13" s="147">
        <v>1583</v>
      </c>
      <c r="F13" s="147">
        <v>1</v>
      </c>
    </row>
    <row r="14" spans="1:6" x14ac:dyDescent="0.3">
      <c r="A14" t="s">
        <v>58</v>
      </c>
      <c r="B14">
        <v>1208</v>
      </c>
      <c r="C14">
        <v>7133</v>
      </c>
      <c r="D14">
        <v>7738</v>
      </c>
      <c r="E14">
        <v>1143</v>
      </c>
      <c r="F14">
        <v>0.91197994261918836</v>
      </c>
    </row>
    <row r="15" spans="1:6" x14ac:dyDescent="0.3">
      <c r="A15" s="147" t="s">
        <v>59</v>
      </c>
      <c r="B15" s="147">
        <v>2360</v>
      </c>
      <c r="C15" s="147">
        <v>10395</v>
      </c>
      <c r="D15" s="147">
        <v>13031</v>
      </c>
      <c r="E15" s="147">
        <v>1941</v>
      </c>
      <c r="F15" s="147">
        <v>1</v>
      </c>
    </row>
    <row r="16" spans="1:6" x14ac:dyDescent="0.3">
      <c r="A16" t="s">
        <v>60</v>
      </c>
      <c r="B16">
        <v>266</v>
      </c>
      <c r="C16">
        <v>6974</v>
      </c>
      <c r="D16">
        <v>7326</v>
      </c>
      <c r="E16">
        <v>1776</v>
      </c>
      <c r="F16">
        <v>0.98053722479932037</v>
      </c>
    </row>
    <row r="17" spans="1:12" x14ac:dyDescent="0.3">
      <c r="A17" s="147" t="s">
        <v>61</v>
      </c>
      <c r="B17" s="147">
        <v>504</v>
      </c>
      <c r="C17" s="147">
        <v>6620</v>
      </c>
      <c r="D17" s="147">
        <v>7400</v>
      </c>
      <c r="E17" s="147">
        <v>1932</v>
      </c>
      <c r="F17" s="147">
        <v>1</v>
      </c>
    </row>
    <row r="18" spans="1:12" x14ac:dyDescent="0.3">
      <c r="A18" s="147" t="s">
        <v>62</v>
      </c>
      <c r="B18" s="147">
        <v>1</v>
      </c>
      <c r="C18" s="147">
        <v>5218</v>
      </c>
      <c r="D18" s="147">
        <v>5325</v>
      </c>
      <c r="E18" s="147">
        <v>1841</v>
      </c>
      <c r="F18" s="147">
        <v>1</v>
      </c>
    </row>
    <row r="19" spans="1:12" x14ac:dyDescent="0.3">
      <c r="A19" t="s">
        <v>65</v>
      </c>
      <c r="B19">
        <v>795</v>
      </c>
      <c r="C19">
        <v>2171</v>
      </c>
      <c r="D19">
        <v>276</v>
      </c>
      <c r="E19">
        <v>1728</v>
      </c>
      <c r="F19">
        <v>0.92064318808808387</v>
      </c>
    </row>
    <row r="20" spans="1:12" x14ac:dyDescent="0.3">
      <c r="A20" s="147" t="s">
        <v>66</v>
      </c>
      <c r="B20" s="147">
        <v>1</v>
      </c>
      <c r="C20" s="147">
        <v>3631</v>
      </c>
      <c r="D20" s="147">
        <v>3638</v>
      </c>
      <c r="E20" s="147">
        <v>1752</v>
      </c>
      <c r="F20" s="147">
        <v>1</v>
      </c>
    </row>
    <row r="23" spans="1:12" x14ac:dyDescent="0.3">
      <c r="B23" s="220" t="s">
        <v>42</v>
      </c>
      <c r="C23" s="220" t="s">
        <v>47</v>
      </c>
      <c r="D23" s="220" t="s">
        <v>49</v>
      </c>
      <c r="E23" s="220" t="s">
        <v>50</v>
      </c>
      <c r="F23" s="220" t="s">
        <v>52</v>
      </c>
      <c r="G23" s="220" t="s">
        <v>53</v>
      </c>
      <c r="H23" s="220" t="s">
        <v>54</v>
      </c>
      <c r="I23" s="220" t="s">
        <v>56</v>
      </c>
      <c r="J23" s="220" t="s">
        <v>58</v>
      </c>
      <c r="K23" s="220" t="s">
        <v>60</v>
      </c>
      <c r="L23" s="220" t="s">
        <v>65</v>
      </c>
    </row>
    <row r="24" spans="1:12" x14ac:dyDescent="0.3"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</row>
    <row r="25" spans="1:12" x14ac:dyDescent="0.3">
      <c r="B25" s="8" t="s">
        <v>48</v>
      </c>
      <c r="C25" s="7">
        <v>0</v>
      </c>
      <c r="D25" s="7">
        <v>0</v>
      </c>
      <c r="E25" s="153">
        <v>0.19706556672950115</v>
      </c>
      <c r="F25" s="7">
        <v>0</v>
      </c>
      <c r="G25" s="153">
        <v>0.30384007693892967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</row>
    <row r="26" spans="1:12" x14ac:dyDescent="0.3">
      <c r="B26" s="8" t="s">
        <v>51</v>
      </c>
      <c r="C26" s="153">
        <v>0.278912756964803</v>
      </c>
      <c r="D26" s="153">
        <v>1.9438769969632324</v>
      </c>
      <c r="E26" s="153">
        <v>1.3154438799264017</v>
      </c>
      <c r="F26" s="153">
        <v>1.1398497912977399</v>
      </c>
      <c r="G26" s="7">
        <v>0</v>
      </c>
      <c r="H26" s="153">
        <v>1.0181543455408455</v>
      </c>
      <c r="I26" s="153">
        <v>0.91332924546657301</v>
      </c>
      <c r="J26" s="73">
        <v>0.30855593716172081</v>
      </c>
      <c r="K26" s="7">
        <v>0</v>
      </c>
      <c r="L26" s="7">
        <v>0</v>
      </c>
    </row>
    <row r="27" spans="1:12" x14ac:dyDescent="0.3">
      <c r="B27" s="8" t="s">
        <v>55</v>
      </c>
      <c r="C27" s="153">
        <v>0.49298059042445747</v>
      </c>
      <c r="D27" s="153">
        <v>0.75843073854066689</v>
      </c>
      <c r="E27" s="7">
        <v>0</v>
      </c>
      <c r="F27" s="153">
        <v>4.8787021946127399E-2</v>
      </c>
      <c r="G27" s="7">
        <v>0</v>
      </c>
      <c r="H27" s="153">
        <v>0.10616719128962637</v>
      </c>
      <c r="I27" s="153">
        <v>2.7488907520533103E-2</v>
      </c>
      <c r="J27" s="7">
        <v>0</v>
      </c>
      <c r="K27" s="153">
        <v>6.2226292038953829E-2</v>
      </c>
      <c r="L27" s="7">
        <v>0</v>
      </c>
    </row>
    <row r="28" spans="1:12" x14ac:dyDescent="0.3">
      <c r="B28" s="8" t="s">
        <v>57</v>
      </c>
      <c r="C28" s="7">
        <v>0</v>
      </c>
      <c r="D28" s="7">
        <v>0</v>
      </c>
      <c r="E28" s="7">
        <v>0</v>
      </c>
      <c r="F28" s="7">
        <v>0</v>
      </c>
      <c r="G28" s="153">
        <v>0.69615992306106977</v>
      </c>
      <c r="H28" s="7">
        <v>0</v>
      </c>
      <c r="I28" s="7">
        <v>0</v>
      </c>
      <c r="J28" s="153">
        <v>0.43124434080112101</v>
      </c>
      <c r="K28" s="7">
        <v>0</v>
      </c>
      <c r="L28" s="153">
        <v>1.0915982312065697</v>
      </c>
    </row>
    <row r="29" spans="1:12" x14ac:dyDescent="0.3">
      <c r="B29" s="8" t="s">
        <v>59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</row>
    <row r="30" spans="1:12" x14ac:dyDescent="0.3">
      <c r="B30" s="8" t="s">
        <v>61</v>
      </c>
      <c r="C30" s="153">
        <v>0.22810665261073967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153">
        <v>8.634649815589146E-2</v>
      </c>
      <c r="J30" s="153">
        <v>0.26019972203715852</v>
      </c>
      <c r="K30" s="153">
        <v>0.35362003018154475</v>
      </c>
      <c r="L30" s="7">
        <v>0</v>
      </c>
    </row>
    <row r="31" spans="1:12" x14ac:dyDescent="0.3">
      <c r="B31" s="8" t="s">
        <v>62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153">
        <v>0.58415367777950156</v>
      </c>
      <c r="L31" s="7">
        <v>0</v>
      </c>
    </row>
    <row r="32" spans="1:12" x14ac:dyDescent="0.3">
      <c r="B32" s="8" t="s">
        <v>66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</row>
    <row r="34" spans="2:12" ht="15" thickBot="1" x14ac:dyDescent="0.35"/>
    <row r="35" spans="2:12" ht="15" thickBot="1" x14ac:dyDescent="0.35">
      <c r="B35" s="151"/>
      <c r="C35" s="152" t="s">
        <v>47</v>
      </c>
      <c r="D35" s="61" t="s">
        <v>49</v>
      </c>
      <c r="E35" s="61" t="s">
        <v>50</v>
      </c>
      <c r="F35" s="61" t="s">
        <v>52</v>
      </c>
      <c r="G35" s="61" t="s">
        <v>53</v>
      </c>
      <c r="H35" s="61" t="s">
        <v>54</v>
      </c>
      <c r="I35" s="61" t="s">
        <v>56</v>
      </c>
      <c r="J35" s="61" t="s">
        <v>58</v>
      </c>
      <c r="K35" s="61" t="s">
        <v>60</v>
      </c>
      <c r="L35" s="103" t="s">
        <v>65</v>
      </c>
    </row>
    <row r="36" spans="2:12" x14ac:dyDescent="0.3">
      <c r="B36" s="150" t="s">
        <v>43</v>
      </c>
      <c r="C36" s="154">
        <f>C26*B7+C27*B11+C30*B17</f>
        <v>1641.6158789925883</v>
      </c>
      <c r="D36" s="155">
        <f>D26*B7+D27*B11</f>
        <v>7111.1609918490012</v>
      </c>
      <c r="E36" s="155">
        <f>E25*B4+E26*B7</f>
        <v>5464.5686749456327</v>
      </c>
      <c r="F36" s="155">
        <f>F26*B7+F27*B11</f>
        <v>3647.9890387650903</v>
      </c>
      <c r="G36" s="155">
        <f>G25*B4+G28*B13</f>
        <v>2049.4897987222639</v>
      </c>
      <c r="H36" s="155">
        <f>H26*B7+H27*B11</f>
        <v>3341.0056205001456</v>
      </c>
      <c r="I36" s="155">
        <f>I26*B7+I27*B11+I30*B17</f>
        <v>2951.2561629295374</v>
      </c>
      <c r="J36" s="155">
        <f>J26*B7+J28*B13+J30*B17</f>
        <v>1101.671770683979</v>
      </c>
      <c r="K36" s="155">
        <f>K27*B11+K30*B17+K31*B18</f>
        <v>260.82290179661919</v>
      </c>
      <c r="L36" s="156">
        <f>L28*B13</f>
        <v>1.0915982312065697</v>
      </c>
    </row>
    <row r="37" spans="2:12" x14ac:dyDescent="0.3">
      <c r="B37" s="148" t="s">
        <v>44</v>
      </c>
      <c r="C37" s="157">
        <f>C26*C7+C27*C11+C30*C17</f>
        <v>16600.500998559804</v>
      </c>
      <c r="D37" s="158">
        <f>D26*C7+D27*C11</f>
        <v>42818.805687574786</v>
      </c>
      <c r="E37" s="158">
        <f>E25*C4+E26*C7</f>
        <v>21650.652888069708</v>
      </c>
      <c r="F37" s="158">
        <f>F26*C7+F27*C11</f>
        <v>15886.997103287413</v>
      </c>
      <c r="G37" s="158">
        <f>G25*C4+G28*C13</f>
        <v>8409.4415058047653</v>
      </c>
      <c r="H37" s="158">
        <f>H26*C7+H27*C11</f>
        <v>15648.46310358819</v>
      </c>
      <c r="I37" s="158">
        <f>I26*C7+I27*C11+I30*C17</f>
        <v>13031.196750620618</v>
      </c>
      <c r="J37" s="158">
        <f>J26*C7+J28*C13+J30*C17</f>
        <v>6505.1529307026703</v>
      </c>
      <c r="K37" s="158">
        <f>K27*C11+K30*C17+K31*C18</f>
        <v>6838.2666057504612</v>
      </c>
      <c r="L37" s="159">
        <f>L28*C13</f>
        <v>1998.7163613392293</v>
      </c>
    </row>
    <row r="38" spans="2:12" x14ac:dyDescent="0.3">
      <c r="B38" s="148" t="s">
        <v>303</v>
      </c>
      <c r="C38" s="157">
        <f>B3-C36</f>
        <v>50.38412100741175</v>
      </c>
      <c r="D38" s="158">
        <f>B5-D36</f>
        <v>194.83900815099878</v>
      </c>
      <c r="E38" s="158">
        <f>B6-E36</f>
        <v>378.43132505436733</v>
      </c>
      <c r="F38" s="158">
        <f>B8-F36</f>
        <v>121.0109612349097</v>
      </c>
      <c r="G38" s="158">
        <f>B9-G36</f>
        <v>325.51020127773609</v>
      </c>
      <c r="H38" s="158">
        <f>B10-H36</f>
        <v>383.9943794998544</v>
      </c>
      <c r="I38" s="158">
        <f>B12-I36</f>
        <v>124.74383707046263</v>
      </c>
      <c r="J38" s="158">
        <f>B14-J36</f>
        <v>106.32822931602095</v>
      </c>
      <c r="K38" s="158">
        <f>B16-K36</f>
        <v>5.1770982033808082</v>
      </c>
      <c r="L38" s="159">
        <f>B19-L36</f>
        <v>793.9084017687934</v>
      </c>
    </row>
    <row r="39" spans="2:12" ht="15" thickBot="1" x14ac:dyDescent="0.35">
      <c r="B39" s="149" t="s">
        <v>304</v>
      </c>
      <c r="C39" s="160">
        <f>C3-C37</f>
        <v>509.49900144019557</v>
      </c>
      <c r="D39" s="161">
        <f>C5-D37</f>
        <v>1173.1943124252139</v>
      </c>
      <c r="E39" s="161">
        <f>C6-E37</f>
        <v>1499.3471119302922</v>
      </c>
      <c r="F39" s="161">
        <f>C8-F37</f>
        <v>527.00289671258724</v>
      </c>
      <c r="G39" s="161">
        <f>C9-G37</f>
        <v>1238.5584941952347</v>
      </c>
      <c r="H39" s="161">
        <f>C10-H37</f>
        <v>1798.5368964118097</v>
      </c>
      <c r="I39" s="161">
        <f>C12-I37</f>
        <v>550.80324937938167</v>
      </c>
      <c r="J39" s="161">
        <f>C14-J37</f>
        <v>627.84706929732965</v>
      </c>
      <c r="K39" s="161">
        <f>C16-K37</f>
        <v>135.73339424953883</v>
      </c>
      <c r="L39" s="162">
        <f>C19-L37</f>
        <v>172.28363866077075</v>
      </c>
    </row>
  </sheetData>
  <mergeCells count="11">
    <mergeCell ref="I23:I24"/>
    <mergeCell ref="J23:J24"/>
    <mergeCell ref="K23:K24"/>
    <mergeCell ref="L23:L24"/>
    <mergeCell ref="B23:B24"/>
    <mergeCell ref="C23:C24"/>
    <mergeCell ref="D23:D24"/>
    <mergeCell ref="E23:E24"/>
    <mergeCell ref="F23:F24"/>
    <mergeCell ref="G23:G24"/>
    <mergeCell ref="H23:H24"/>
  </mergeCells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AEE0-55AA-4697-944B-AC618653940E}">
  <dimension ref="C2:J21"/>
  <sheetViews>
    <sheetView tabSelected="1" workbookViewId="0">
      <selection activeCell="C3" sqref="C3:F21"/>
    </sheetView>
  </sheetViews>
  <sheetFormatPr defaultRowHeight="14.4" x14ac:dyDescent="0.3"/>
  <cols>
    <col min="4" max="4" width="25.109375" bestFit="1" customWidth="1"/>
    <col min="5" max="6" width="24.21875" bestFit="1" customWidth="1"/>
    <col min="10" max="10" width="25.109375" bestFit="1" customWidth="1"/>
  </cols>
  <sheetData>
    <row r="2" spans="3:10" ht="15" thickBot="1" x14ac:dyDescent="0.35"/>
    <row r="3" spans="3:10" ht="15" thickBot="1" x14ac:dyDescent="0.35">
      <c r="C3" s="60" t="s">
        <v>42</v>
      </c>
      <c r="D3" s="61" t="s">
        <v>219</v>
      </c>
      <c r="E3" s="61" t="s">
        <v>286</v>
      </c>
      <c r="F3" s="103" t="s">
        <v>207</v>
      </c>
      <c r="J3" t="s">
        <v>219</v>
      </c>
    </row>
    <row r="4" spans="3:10" x14ac:dyDescent="0.3">
      <c r="C4" s="222" t="s">
        <v>47</v>
      </c>
      <c r="D4" s="89">
        <f>1/J4</f>
        <v>0.96996672650178706</v>
      </c>
      <c r="E4" s="89">
        <v>0.97022215070483941</v>
      </c>
      <c r="F4" s="140">
        <v>0.96996672650162741</v>
      </c>
      <c r="J4" s="221">
        <v>1.0309631997445199</v>
      </c>
    </row>
    <row r="5" spans="3:10" x14ac:dyDescent="0.3">
      <c r="C5" s="33" t="s">
        <v>48</v>
      </c>
      <c r="D5" s="114">
        <f t="shared" ref="D5:D21" si="0">1/J5</f>
        <v>1.0000000000003653</v>
      </c>
      <c r="E5" s="114">
        <v>1</v>
      </c>
      <c r="F5" s="223">
        <v>1</v>
      </c>
      <c r="J5" s="221">
        <v>0.99999999999963474</v>
      </c>
    </row>
    <row r="6" spans="3:10" x14ac:dyDescent="0.3">
      <c r="C6" s="33" t="s">
        <v>49</v>
      </c>
      <c r="D6" s="114">
        <f t="shared" si="0"/>
        <v>1.000000000000032</v>
      </c>
      <c r="E6" s="114">
        <v>0.97333164410744588</v>
      </c>
      <c r="F6" s="223">
        <v>0.97333164410744577</v>
      </c>
      <c r="J6" s="221">
        <v>0.99999999999996803</v>
      </c>
    </row>
    <row r="7" spans="3:10" x14ac:dyDescent="0.3">
      <c r="C7" s="33" t="s">
        <v>50</v>
      </c>
      <c r="D7" s="114">
        <f t="shared" si="0"/>
        <v>0.93743949226126699</v>
      </c>
      <c r="E7" s="114">
        <v>0.93523338609372464</v>
      </c>
      <c r="F7" s="223">
        <v>0.93523338609372508</v>
      </c>
      <c r="J7" s="221">
        <v>1.0667355154707918</v>
      </c>
    </row>
    <row r="8" spans="3:10" x14ac:dyDescent="0.3">
      <c r="C8" s="33" t="s">
        <v>51</v>
      </c>
      <c r="D8" s="114">
        <f t="shared" si="0"/>
        <v>1.0000000000000588</v>
      </c>
      <c r="E8" s="114">
        <v>1</v>
      </c>
      <c r="F8" s="223">
        <v>1</v>
      </c>
      <c r="J8" s="221">
        <v>0.99999999999994116</v>
      </c>
    </row>
    <row r="9" spans="3:10" x14ac:dyDescent="0.3">
      <c r="C9" s="33" t="s">
        <v>52</v>
      </c>
      <c r="D9" s="114">
        <f t="shared" si="0"/>
        <v>0.96910035787699256</v>
      </c>
      <c r="E9" s="114">
        <v>0.96789308537147489</v>
      </c>
      <c r="F9" s="223">
        <v>0.96789308537147534</v>
      </c>
      <c r="J9" s="221">
        <v>1.0318848732970229</v>
      </c>
    </row>
    <row r="10" spans="3:10" x14ac:dyDescent="0.3">
      <c r="C10" s="33" t="s">
        <v>53</v>
      </c>
      <c r="D10" s="114">
        <f t="shared" si="0"/>
        <v>0.85322480949694568</v>
      </c>
      <c r="E10" s="114">
        <v>0.87162536337114083</v>
      </c>
      <c r="F10" s="223">
        <v>0.85322480949694735</v>
      </c>
      <c r="J10" s="221">
        <v>1.1720240537656093</v>
      </c>
    </row>
    <row r="11" spans="3:10" x14ac:dyDescent="0.3">
      <c r="C11" s="33" t="s">
        <v>54</v>
      </c>
      <c r="D11" s="114">
        <f t="shared" si="0"/>
        <v>0.89809837288346894</v>
      </c>
      <c r="E11" s="114">
        <v>0.89691426053695189</v>
      </c>
      <c r="F11" s="223">
        <v>0.89691426053695178</v>
      </c>
      <c r="J11" s="221">
        <v>1.1134637698867684</v>
      </c>
    </row>
    <row r="12" spans="3:10" x14ac:dyDescent="0.3">
      <c r="C12" s="33" t="s">
        <v>55</v>
      </c>
      <c r="D12" s="114">
        <f t="shared" si="0"/>
        <v>1</v>
      </c>
      <c r="E12" s="114">
        <v>1</v>
      </c>
      <c r="F12" s="223">
        <v>1</v>
      </c>
      <c r="J12" s="221">
        <v>1</v>
      </c>
    </row>
    <row r="13" spans="3:10" x14ac:dyDescent="0.3">
      <c r="C13" s="33" t="s">
        <v>56</v>
      </c>
      <c r="D13" s="114">
        <f t="shared" si="0"/>
        <v>0.96010939185867383</v>
      </c>
      <c r="E13" s="114">
        <v>0.95944608677813292</v>
      </c>
      <c r="F13" s="223">
        <v>0.95944608677813314</v>
      </c>
      <c r="J13" s="221">
        <v>1.0415479824274003</v>
      </c>
    </row>
    <row r="14" spans="3:10" x14ac:dyDescent="0.3">
      <c r="C14" s="33" t="s">
        <v>57</v>
      </c>
      <c r="D14" s="114">
        <f t="shared" si="0"/>
        <v>1</v>
      </c>
      <c r="E14" s="114">
        <v>1</v>
      </c>
      <c r="F14" s="223">
        <v>1</v>
      </c>
      <c r="J14" s="221">
        <v>1</v>
      </c>
    </row>
    <row r="15" spans="3:10" x14ac:dyDescent="0.3">
      <c r="C15" s="33" t="s">
        <v>58</v>
      </c>
      <c r="D15" s="114">
        <f t="shared" si="0"/>
        <v>0.89942114179381538</v>
      </c>
      <c r="E15" s="114">
        <v>0.91197994261918836</v>
      </c>
      <c r="F15" s="223">
        <v>0.89942114179359411</v>
      </c>
      <c r="J15" s="221">
        <v>1.1118262108066406</v>
      </c>
    </row>
    <row r="16" spans="3:10" x14ac:dyDescent="0.3">
      <c r="C16" s="33" t="s">
        <v>59</v>
      </c>
      <c r="D16" s="114">
        <f t="shared" si="0"/>
        <v>1</v>
      </c>
      <c r="E16" s="114">
        <v>1</v>
      </c>
      <c r="F16" s="223">
        <v>1</v>
      </c>
      <c r="J16" s="221">
        <v>1</v>
      </c>
    </row>
    <row r="17" spans="3:10" x14ac:dyDescent="0.3">
      <c r="C17" s="33" t="s">
        <v>60</v>
      </c>
      <c r="D17" s="114">
        <f t="shared" si="0"/>
        <v>0.97963465531883254</v>
      </c>
      <c r="E17" s="114">
        <v>0.98053722479932037</v>
      </c>
      <c r="F17" s="223">
        <v>0.97963465531842353</v>
      </c>
      <c r="J17" s="221">
        <v>1.0207887140074066</v>
      </c>
    </row>
    <row r="18" spans="3:10" x14ac:dyDescent="0.3">
      <c r="C18" s="33" t="s">
        <v>61</v>
      </c>
      <c r="D18" s="114">
        <f t="shared" si="0"/>
        <v>1</v>
      </c>
      <c r="E18" s="114">
        <v>1</v>
      </c>
      <c r="F18" s="223">
        <v>1</v>
      </c>
      <c r="J18" s="221">
        <v>1</v>
      </c>
    </row>
    <row r="19" spans="3:10" x14ac:dyDescent="0.3">
      <c r="C19" s="33" t="s">
        <v>62</v>
      </c>
      <c r="D19" s="114">
        <f t="shared" si="0"/>
        <v>1</v>
      </c>
      <c r="E19" s="114">
        <v>1</v>
      </c>
      <c r="F19" s="223">
        <v>1</v>
      </c>
      <c r="J19" s="221">
        <v>1</v>
      </c>
    </row>
    <row r="20" spans="3:10" x14ac:dyDescent="0.3">
      <c r="C20" s="33" t="s">
        <v>65</v>
      </c>
      <c r="D20" s="114">
        <f t="shared" si="0"/>
        <v>1</v>
      </c>
      <c r="E20" s="114">
        <v>0.92064318808808387</v>
      </c>
      <c r="F20" s="223">
        <v>0.92064318808808354</v>
      </c>
      <c r="J20" s="221">
        <v>1</v>
      </c>
    </row>
    <row r="21" spans="3:10" ht="15" thickBot="1" x14ac:dyDescent="0.35">
      <c r="C21" s="36" t="s">
        <v>66</v>
      </c>
      <c r="D21" s="115">
        <f t="shared" si="0"/>
        <v>1</v>
      </c>
      <c r="E21" s="115">
        <v>1</v>
      </c>
      <c r="F21" s="224">
        <v>1</v>
      </c>
      <c r="J21" s="221">
        <v>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0F5CA-8953-46B0-ACAF-348244528BF9}">
  <dimension ref="A1:I35"/>
  <sheetViews>
    <sheetView showGridLines="0" topLeftCell="A10" workbookViewId="0">
      <selection activeCell="E15" sqref="E15:E34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5" width="12.664062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173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1.7423324320607543E-5</v>
      </c>
      <c r="E9" s="16">
        <v>0</v>
      </c>
      <c r="F9" s="16">
        <v>0</v>
      </c>
      <c r="G9" s="16">
        <v>5117.3366544368482</v>
      </c>
      <c r="H9" s="16">
        <v>3108.4577910100161</v>
      </c>
    </row>
    <row r="10" spans="1:8" x14ac:dyDescent="0.3">
      <c r="B10" s="16" t="s">
        <v>129</v>
      </c>
      <c r="C10" s="16" t="s">
        <v>104</v>
      </c>
      <c r="D10" s="16">
        <v>1.9837815796363913E-5</v>
      </c>
      <c r="E10" s="16">
        <v>0</v>
      </c>
      <c r="F10" s="16">
        <v>0</v>
      </c>
      <c r="G10" s="16">
        <v>18717.119510280951</v>
      </c>
      <c r="H10" s="16">
        <v>30813.28690144893</v>
      </c>
    </row>
    <row r="11" spans="1:8" x14ac:dyDescent="0.3">
      <c r="B11" s="16" t="s">
        <v>130</v>
      </c>
      <c r="C11" s="16" t="s">
        <v>105</v>
      </c>
      <c r="D11" s="16">
        <v>1.8877650196032694E-5</v>
      </c>
      <c r="E11" s="16">
        <v>0</v>
      </c>
      <c r="F11" s="16">
        <v>51560</v>
      </c>
      <c r="G11" s="16">
        <v>1E+30</v>
      </c>
      <c r="H11" s="16">
        <v>30991.805175930611</v>
      </c>
    </row>
    <row r="12" spans="1:8" ht="15" thickBot="1" x14ac:dyDescent="0.35">
      <c r="B12" s="17" t="s">
        <v>131</v>
      </c>
      <c r="C12" s="17" t="s">
        <v>106</v>
      </c>
      <c r="D12" s="17">
        <v>0</v>
      </c>
      <c r="E12" s="17">
        <v>-3078.3575571898045</v>
      </c>
      <c r="F12" s="17">
        <v>2043</v>
      </c>
      <c r="G12" s="17">
        <v>3078.3575571898045</v>
      </c>
      <c r="H12" s="17">
        <v>1E+30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9" x14ac:dyDescent="0.3">
      <c r="B17" s="16" t="s">
        <v>132</v>
      </c>
      <c r="C17" s="16" t="s">
        <v>133</v>
      </c>
      <c r="D17" s="16">
        <v>-1.1079433560454821E-2</v>
      </c>
      <c r="E17" s="16">
        <v>0</v>
      </c>
      <c r="F17" s="16">
        <v>0</v>
      </c>
      <c r="G17" s="16">
        <v>1E+30</v>
      </c>
      <c r="H17" s="16">
        <v>1.1079433560454793E-2</v>
      </c>
    </row>
    <row r="18" spans="2:9" x14ac:dyDescent="0.3">
      <c r="B18" s="16" t="s">
        <v>134</v>
      </c>
      <c r="C18" s="16" t="s">
        <v>135</v>
      </c>
      <c r="D18" s="16">
        <v>-2.1497274890115436E-3</v>
      </c>
      <c r="E18" s="16">
        <v>0</v>
      </c>
      <c r="F18" s="16">
        <v>0</v>
      </c>
      <c r="G18" s="16">
        <v>1E+30</v>
      </c>
      <c r="H18" s="16">
        <v>2.1497274890114812E-3</v>
      </c>
    </row>
    <row r="19" spans="2:9" x14ac:dyDescent="0.3">
      <c r="B19" s="16" t="s">
        <v>136</v>
      </c>
      <c r="C19" s="16" t="s">
        <v>137</v>
      </c>
      <c r="D19" s="16">
        <v>-2.666835589255423E-2</v>
      </c>
      <c r="E19" s="16">
        <v>0</v>
      </c>
      <c r="F19" s="16">
        <v>0</v>
      </c>
      <c r="G19" s="16">
        <v>1E+30</v>
      </c>
      <c r="H19" s="16">
        <v>2.6668355892554185E-2</v>
      </c>
    </row>
    <row r="20" spans="2:9" x14ac:dyDescent="0.3">
      <c r="B20" s="16" t="s">
        <v>138</v>
      </c>
      <c r="C20" s="16" t="s">
        <v>139</v>
      </c>
      <c r="D20" s="16">
        <v>-3.6760940796718433E-2</v>
      </c>
      <c r="E20" s="16">
        <v>0</v>
      </c>
      <c r="F20" s="16">
        <v>0</v>
      </c>
      <c r="G20" s="16">
        <v>1E+30</v>
      </c>
      <c r="H20" s="16">
        <v>3.6760940796718357E-2</v>
      </c>
    </row>
    <row r="21" spans="2:9" x14ac:dyDescent="0.3">
      <c r="B21" s="16" t="s">
        <v>140</v>
      </c>
      <c r="C21" s="16" t="s">
        <v>141</v>
      </c>
      <c r="D21" s="16">
        <v>0</v>
      </c>
      <c r="E21" s="21">
        <v>1.9438769969632341</v>
      </c>
      <c r="F21" s="16">
        <v>0</v>
      </c>
      <c r="G21" s="16">
        <v>9.5940149454390748E-4</v>
      </c>
      <c r="H21" s="16">
        <v>2.3489631443787254E-2</v>
      </c>
      <c r="I21" t="s">
        <v>175</v>
      </c>
    </row>
    <row r="22" spans="2:9" x14ac:dyDescent="0.3">
      <c r="B22" s="16" t="s">
        <v>142</v>
      </c>
      <c r="C22" s="16" t="s">
        <v>143</v>
      </c>
      <c r="D22" s="16">
        <v>-1.2562999613079162E-2</v>
      </c>
      <c r="E22" s="16">
        <v>0</v>
      </c>
      <c r="F22" s="16">
        <v>0</v>
      </c>
      <c r="G22" s="16">
        <v>1E+30</v>
      </c>
      <c r="H22" s="16">
        <v>1.2562999613079174E-2</v>
      </c>
    </row>
    <row r="23" spans="2:9" x14ac:dyDescent="0.3">
      <c r="B23" s="16" t="s">
        <v>144</v>
      </c>
      <c r="C23" s="16" t="s">
        <v>145</v>
      </c>
      <c r="D23" s="16">
        <v>-3.422051730289008E-2</v>
      </c>
      <c r="E23" s="16">
        <v>0</v>
      </c>
      <c r="F23" s="16">
        <v>0</v>
      </c>
      <c r="G23" s="16">
        <v>1E+30</v>
      </c>
      <c r="H23" s="16">
        <v>3.4220517302890038E-2</v>
      </c>
    </row>
    <row r="24" spans="2:9" x14ac:dyDescent="0.3">
      <c r="B24" s="16" t="s">
        <v>146</v>
      </c>
      <c r="C24" s="16" t="s">
        <v>147</v>
      </c>
      <c r="D24" s="16">
        <v>-4.2369502265297843E-2</v>
      </c>
      <c r="E24" s="16">
        <v>0</v>
      </c>
      <c r="F24" s="16">
        <v>0</v>
      </c>
      <c r="G24" s="16">
        <v>1E+30</v>
      </c>
      <c r="H24" s="16">
        <v>4.2369502265297815E-2</v>
      </c>
    </row>
    <row r="25" spans="2:9" x14ac:dyDescent="0.3">
      <c r="B25" s="16" t="s">
        <v>148</v>
      </c>
      <c r="C25" s="16" t="s">
        <v>149</v>
      </c>
      <c r="D25" s="16">
        <v>0</v>
      </c>
      <c r="E25" s="21">
        <v>0.75843073854066589</v>
      </c>
      <c r="F25" s="16">
        <v>0</v>
      </c>
      <c r="G25" s="16">
        <v>1.6254984606239166E-3</v>
      </c>
      <c r="H25" s="16">
        <v>8.925160837346971E-3</v>
      </c>
      <c r="I25" t="s">
        <v>175</v>
      </c>
    </row>
    <row r="26" spans="2:9" x14ac:dyDescent="0.3">
      <c r="B26" s="16" t="s">
        <v>150</v>
      </c>
      <c r="C26" s="16" t="s">
        <v>151</v>
      </c>
      <c r="D26" s="16">
        <v>-1.3135854138330738E-2</v>
      </c>
      <c r="E26" s="16">
        <v>0</v>
      </c>
      <c r="F26" s="16">
        <v>0</v>
      </c>
      <c r="G26" s="16">
        <v>1E+30</v>
      </c>
      <c r="H26" s="16">
        <v>1.313585413833075E-2</v>
      </c>
    </row>
    <row r="27" spans="2:9" x14ac:dyDescent="0.3">
      <c r="B27" s="16" t="s">
        <v>152</v>
      </c>
      <c r="C27" s="16" t="s">
        <v>153</v>
      </c>
      <c r="D27" s="16">
        <v>-4.7770329196962641E-3</v>
      </c>
      <c r="E27" s="16">
        <v>0</v>
      </c>
      <c r="F27" s="16">
        <v>0</v>
      </c>
      <c r="G27" s="16">
        <v>1E+30</v>
      </c>
      <c r="H27" s="16">
        <v>4.7770329196962632E-3</v>
      </c>
    </row>
    <row r="28" spans="2:9" x14ac:dyDescent="0.3">
      <c r="B28" s="16" t="s">
        <v>154</v>
      </c>
      <c r="C28" s="16" t="s">
        <v>155</v>
      </c>
      <c r="D28" s="16">
        <v>-1.6475258637856732E-2</v>
      </c>
      <c r="E28" s="16">
        <v>0</v>
      </c>
      <c r="F28" s="16">
        <v>0</v>
      </c>
      <c r="G28" s="16">
        <v>1E+30</v>
      </c>
      <c r="H28" s="16">
        <v>1.6475258637856698E-2</v>
      </c>
    </row>
    <row r="29" spans="2:9" x14ac:dyDescent="0.3">
      <c r="B29" s="16" t="s">
        <v>156</v>
      </c>
      <c r="C29" s="16" t="s">
        <v>157</v>
      </c>
      <c r="D29" s="16">
        <v>-1.3384808953346428E-3</v>
      </c>
      <c r="E29" s="16">
        <v>0</v>
      </c>
      <c r="F29" s="16">
        <v>0</v>
      </c>
      <c r="G29" s="16">
        <v>1E+30</v>
      </c>
      <c r="H29" s="16">
        <v>1.3384808953346347E-3</v>
      </c>
    </row>
    <row r="30" spans="2:9" x14ac:dyDescent="0.3">
      <c r="B30" s="16" t="s">
        <v>158</v>
      </c>
      <c r="C30" s="16" t="s">
        <v>159</v>
      </c>
      <c r="D30" s="16">
        <v>-4.6858662969880283E-3</v>
      </c>
      <c r="E30" s="16">
        <v>0</v>
      </c>
      <c r="F30" s="16">
        <v>0</v>
      </c>
      <c r="G30" s="16">
        <v>1E+30</v>
      </c>
      <c r="H30" s="16">
        <v>4.6858662969880126E-3</v>
      </c>
    </row>
    <row r="31" spans="2:9" x14ac:dyDescent="0.3">
      <c r="B31" s="16" t="s">
        <v>160</v>
      </c>
      <c r="C31" s="16" t="s">
        <v>161</v>
      </c>
      <c r="D31" s="16">
        <v>-4.1308457887337391E-4</v>
      </c>
      <c r="E31" s="16">
        <v>0</v>
      </c>
      <c r="F31" s="16">
        <v>0</v>
      </c>
      <c r="G31" s="16">
        <v>1E+30</v>
      </c>
      <c r="H31" s="16">
        <v>4.1308457887336784E-4</v>
      </c>
    </row>
    <row r="32" spans="2:9" x14ac:dyDescent="0.3">
      <c r="B32" s="16" t="s">
        <v>162</v>
      </c>
      <c r="C32" s="16" t="s">
        <v>163</v>
      </c>
      <c r="D32" s="16">
        <v>-3.0076588558733963E-3</v>
      </c>
      <c r="E32" s="16">
        <v>0</v>
      </c>
      <c r="F32" s="16">
        <v>0</v>
      </c>
      <c r="G32" s="16">
        <v>1E+30</v>
      </c>
      <c r="H32" s="16">
        <v>3.0076588558734076E-3</v>
      </c>
    </row>
    <row r="33" spans="2:8" x14ac:dyDescent="0.3">
      <c r="B33" s="16" t="s">
        <v>164</v>
      </c>
      <c r="C33" s="16" t="s">
        <v>165</v>
      </c>
      <c r="D33" s="16">
        <v>-5.1709209474684027E-2</v>
      </c>
      <c r="E33" s="16">
        <v>0</v>
      </c>
      <c r="F33" s="16">
        <v>0</v>
      </c>
      <c r="G33" s="16">
        <v>1E+30</v>
      </c>
      <c r="H33" s="16">
        <v>5.170920947468402E-2</v>
      </c>
    </row>
    <row r="34" spans="2:8" x14ac:dyDescent="0.3">
      <c r="B34" s="16" t="s">
        <v>166</v>
      </c>
      <c r="C34" s="16" t="s">
        <v>167</v>
      </c>
      <c r="D34" s="16">
        <v>-3.3716410677510217E-3</v>
      </c>
      <c r="E34" s="16">
        <v>0</v>
      </c>
      <c r="F34" s="16">
        <v>0</v>
      </c>
      <c r="G34" s="16">
        <v>1E+30</v>
      </c>
      <c r="H34" s="16">
        <v>3.3716410677510364E-3</v>
      </c>
    </row>
    <row r="35" spans="2:8" ht="15" thickBot="1" x14ac:dyDescent="0.35">
      <c r="B35" s="17" t="s">
        <v>174</v>
      </c>
      <c r="C35" s="17" t="s">
        <v>169</v>
      </c>
      <c r="D35" s="17">
        <v>1</v>
      </c>
      <c r="E35" s="17">
        <v>0.97333164410744577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5AACE-F67A-4B41-873E-7ECEE18CAC7C}">
  <dimension ref="A1:I35"/>
  <sheetViews>
    <sheetView showGridLines="0" topLeftCell="A12" workbookViewId="0">
      <selection activeCell="E15" sqref="E15:E34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5" width="12.664062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176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2.7385895977130924E-5</v>
      </c>
      <c r="E9" s="16">
        <v>0</v>
      </c>
      <c r="F9" s="16">
        <v>0</v>
      </c>
      <c r="G9" s="16">
        <v>205.80205296543963</v>
      </c>
      <c r="H9" s="16">
        <v>736.32285362101834</v>
      </c>
    </row>
    <row r="10" spans="1:8" x14ac:dyDescent="0.3">
      <c r="B10" s="16" t="s">
        <v>129</v>
      </c>
      <c r="C10" s="16" t="s">
        <v>104</v>
      </c>
      <c r="D10" s="16">
        <v>3.6284415110394131E-5</v>
      </c>
      <c r="E10" s="16">
        <v>0</v>
      </c>
      <c r="F10" s="16">
        <v>0</v>
      </c>
      <c r="G10" s="16">
        <v>2917.3154306566103</v>
      </c>
      <c r="H10" s="16">
        <v>815.38893139653032</v>
      </c>
    </row>
    <row r="11" spans="1:8" x14ac:dyDescent="0.3">
      <c r="B11" s="16" t="s">
        <v>130</v>
      </c>
      <c r="C11" s="16" t="s">
        <v>105</v>
      </c>
      <c r="D11" s="16">
        <v>3.3674193860718145E-5</v>
      </c>
      <c r="E11" s="16">
        <v>0</v>
      </c>
      <c r="F11" s="16">
        <v>27773</v>
      </c>
      <c r="G11" s="16">
        <v>1E+30</v>
      </c>
      <c r="H11" s="16">
        <v>16827.975165960503</v>
      </c>
    </row>
    <row r="12" spans="1:8" ht="15" thickBot="1" x14ac:dyDescent="0.35">
      <c r="B12" s="17" t="s">
        <v>131</v>
      </c>
      <c r="C12" s="17" t="s">
        <v>106</v>
      </c>
      <c r="D12" s="17">
        <v>0</v>
      </c>
      <c r="E12" s="17">
        <v>-1663.5749489523323</v>
      </c>
      <c r="F12" s="17">
        <v>1082</v>
      </c>
      <c r="G12" s="17">
        <v>1663.5749489523323</v>
      </c>
      <c r="H12" s="17">
        <v>1E+30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9" x14ac:dyDescent="0.3">
      <c r="B17" s="16" t="s">
        <v>132</v>
      </c>
      <c r="C17" s="16" t="s">
        <v>133</v>
      </c>
      <c r="D17" s="16">
        <v>-2.8868933902236771E-2</v>
      </c>
      <c r="E17" s="16">
        <v>0</v>
      </c>
      <c r="F17" s="16">
        <v>0</v>
      </c>
      <c r="G17" s="16">
        <v>1E+30</v>
      </c>
      <c r="H17" s="16">
        <v>2.8868933902236646E-2</v>
      </c>
    </row>
    <row r="18" spans="2:9" x14ac:dyDescent="0.3">
      <c r="B18" s="16" t="s">
        <v>134</v>
      </c>
      <c r="C18" s="16" t="s">
        <v>135</v>
      </c>
      <c r="D18" s="16">
        <v>0</v>
      </c>
      <c r="E18" s="21">
        <v>0.19706556672949749</v>
      </c>
      <c r="F18" s="16">
        <v>0</v>
      </c>
      <c r="G18" s="16">
        <v>2.8599991910955646E-2</v>
      </c>
      <c r="H18" s="16">
        <v>3.8316153582107163E-3</v>
      </c>
      <c r="I18" t="s">
        <v>175</v>
      </c>
    </row>
    <row r="19" spans="2:9" x14ac:dyDescent="0.3">
      <c r="B19" s="16" t="s">
        <v>136</v>
      </c>
      <c r="C19" s="16" t="s">
        <v>137</v>
      </c>
      <c r="D19" s="16">
        <v>-6.0063910086749717E-2</v>
      </c>
      <c r="E19" s="16">
        <v>0</v>
      </c>
      <c r="F19" s="16">
        <v>0</v>
      </c>
      <c r="G19" s="16">
        <v>1E+30</v>
      </c>
      <c r="H19" s="16">
        <v>6.0063910086749495E-2</v>
      </c>
    </row>
    <row r="20" spans="2:9" x14ac:dyDescent="0.3">
      <c r="B20" s="16" t="s">
        <v>138</v>
      </c>
      <c r="C20" s="16" t="s">
        <v>139</v>
      </c>
      <c r="D20" s="16">
        <v>-6.4766613906275028E-2</v>
      </c>
      <c r="E20" s="16">
        <v>0</v>
      </c>
      <c r="F20" s="16">
        <v>0</v>
      </c>
      <c r="G20" s="16">
        <v>1E+30</v>
      </c>
      <c r="H20" s="16">
        <v>6.4766613906275E-2</v>
      </c>
    </row>
    <row r="21" spans="2:9" x14ac:dyDescent="0.3">
      <c r="B21" s="16" t="s">
        <v>140</v>
      </c>
      <c r="C21" s="16" t="s">
        <v>141</v>
      </c>
      <c r="D21" s="16">
        <v>0</v>
      </c>
      <c r="E21" s="21">
        <v>1.3154438799264099</v>
      </c>
      <c r="F21" s="16">
        <v>0</v>
      </c>
      <c r="G21" s="16">
        <v>1.712233512048945E-3</v>
      </c>
      <c r="H21" s="16">
        <v>1.5329320682215264E-2</v>
      </c>
      <c r="I21" t="s">
        <v>175</v>
      </c>
    </row>
    <row r="22" spans="2:9" x14ac:dyDescent="0.3">
      <c r="B22" s="16" t="s">
        <v>142</v>
      </c>
      <c r="C22" s="16" t="s">
        <v>143</v>
      </c>
      <c r="D22" s="16">
        <v>-2.3218154326088314E-2</v>
      </c>
      <c r="E22" s="16">
        <v>0</v>
      </c>
      <c r="F22" s="16">
        <v>0</v>
      </c>
      <c r="G22" s="16">
        <v>1E+30</v>
      </c>
      <c r="H22" s="16">
        <v>2.3218154326088234E-2</v>
      </c>
    </row>
    <row r="23" spans="2:9" x14ac:dyDescent="0.3">
      <c r="B23" s="16" t="s">
        <v>144</v>
      </c>
      <c r="C23" s="16" t="s">
        <v>145</v>
      </c>
      <c r="D23" s="16">
        <v>-6.0928368903735097E-2</v>
      </c>
      <c r="E23" s="16">
        <v>0</v>
      </c>
      <c r="F23" s="16">
        <v>0</v>
      </c>
      <c r="G23" s="16">
        <v>1E+30</v>
      </c>
      <c r="H23" s="16">
        <v>6.0928368903735063E-2</v>
      </c>
    </row>
    <row r="24" spans="2:9" x14ac:dyDescent="0.3">
      <c r="B24" s="16" t="s">
        <v>146</v>
      </c>
      <c r="C24" s="16" t="s">
        <v>147</v>
      </c>
      <c r="D24" s="16">
        <v>-7.7476995233755064E-2</v>
      </c>
      <c r="E24" s="16">
        <v>0</v>
      </c>
      <c r="F24" s="16">
        <v>0</v>
      </c>
      <c r="G24" s="16">
        <v>1E+30</v>
      </c>
      <c r="H24" s="16">
        <v>7.7476995233755064E-2</v>
      </c>
    </row>
    <row r="25" spans="2:9" x14ac:dyDescent="0.3">
      <c r="B25" s="16" t="s">
        <v>148</v>
      </c>
      <c r="C25" s="16" t="s">
        <v>149</v>
      </c>
      <c r="D25" s="16">
        <v>-1.6032314121978364E-2</v>
      </c>
      <c r="E25" s="16">
        <v>0</v>
      </c>
      <c r="F25" s="16">
        <v>0</v>
      </c>
      <c r="G25" s="16">
        <v>1E+30</v>
      </c>
      <c r="H25" s="16">
        <v>1.6032314121978308E-2</v>
      </c>
    </row>
    <row r="26" spans="2:9" x14ac:dyDescent="0.3">
      <c r="B26" s="16" t="s">
        <v>150</v>
      </c>
      <c r="C26" s="16" t="s">
        <v>151</v>
      </c>
      <c r="D26" s="16">
        <v>-2.4258375637478846E-2</v>
      </c>
      <c r="E26" s="16">
        <v>0</v>
      </c>
      <c r="F26" s="16">
        <v>0</v>
      </c>
      <c r="G26" s="16">
        <v>1E+30</v>
      </c>
      <c r="H26" s="16">
        <v>2.4258375637478728E-2</v>
      </c>
    </row>
    <row r="27" spans="2:9" x14ac:dyDescent="0.3">
      <c r="B27" s="16" t="s">
        <v>152</v>
      </c>
      <c r="C27" s="16" t="s">
        <v>153</v>
      </c>
      <c r="D27" s="16">
        <v>-1.0160897827988048E-2</v>
      </c>
      <c r="E27" s="16">
        <v>0</v>
      </c>
      <c r="F27" s="16">
        <v>0</v>
      </c>
      <c r="G27" s="16">
        <v>1E+30</v>
      </c>
      <c r="H27" s="16">
        <v>1.016089782798804E-2</v>
      </c>
    </row>
    <row r="28" spans="2:9" x14ac:dyDescent="0.3">
      <c r="B28" s="16" t="s">
        <v>154</v>
      </c>
      <c r="C28" s="16" t="s">
        <v>155</v>
      </c>
      <c r="D28" s="16">
        <v>-3.1327983228578493E-2</v>
      </c>
      <c r="E28" s="16">
        <v>0</v>
      </c>
      <c r="F28" s="16">
        <v>0</v>
      </c>
      <c r="G28" s="16">
        <v>1E+30</v>
      </c>
      <c r="H28" s="16">
        <v>3.1327983228578445E-2</v>
      </c>
    </row>
    <row r="29" spans="2:9" x14ac:dyDescent="0.3">
      <c r="B29" s="16" t="s">
        <v>156</v>
      </c>
      <c r="C29" s="16" t="s">
        <v>157</v>
      </c>
      <c r="D29" s="16">
        <v>-2.9987893795577758E-3</v>
      </c>
      <c r="E29" s="16">
        <v>0</v>
      </c>
      <c r="F29" s="16">
        <v>0</v>
      </c>
      <c r="G29" s="16">
        <v>1E+30</v>
      </c>
      <c r="H29" s="16">
        <v>2.9987893795578001E-3</v>
      </c>
    </row>
    <row r="30" spans="2:9" x14ac:dyDescent="0.3">
      <c r="B30" s="16" t="s">
        <v>158</v>
      </c>
      <c r="C30" s="16" t="s">
        <v>159</v>
      </c>
      <c r="D30" s="16">
        <v>-1.3635015086184338E-2</v>
      </c>
      <c r="E30" s="16">
        <v>0</v>
      </c>
      <c r="F30" s="16">
        <v>0</v>
      </c>
      <c r="G30" s="16">
        <v>1E+30</v>
      </c>
      <c r="H30" s="16">
        <v>1.3635015086184359E-2</v>
      </c>
    </row>
    <row r="31" spans="2:9" x14ac:dyDescent="0.3">
      <c r="B31" s="16" t="s">
        <v>160</v>
      </c>
      <c r="C31" s="16" t="s">
        <v>161</v>
      </c>
      <c r="D31" s="16">
        <v>-4.816285033968859E-3</v>
      </c>
      <c r="E31" s="16">
        <v>0</v>
      </c>
      <c r="F31" s="16">
        <v>0</v>
      </c>
      <c r="G31" s="16">
        <v>1E+30</v>
      </c>
      <c r="H31" s="16">
        <v>4.8162850339688382E-3</v>
      </c>
    </row>
    <row r="32" spans="2:9" x14ac:dyDescent="0.3">
      <c r="B32" s="16" t="s">
        <v>162</v>
      </c>
      <c r="C32" s="16" t="s">
        <v>163</v>
      </c>
      <c r="D32" s="16">
        <v>-1.0044381633689592E-2</v>
      </c>
      <c r="E32" s="16">
        <v>0</v>
      </c>
      <c r="F32" s="16">
        <v>0</v>
      </c>
      <c r="G32" s="16">
        <v>1E+30</v>
      </c>
      <c r="H32" s="16">
        <v>1.0044381633689571E-2</v>
      </c>
    </row>
    <row r="33" spans="2:8" x14ac:dyDescent="0.3">
      <c r="B33" s="16" t="s">
        <v>164</v>
      </c>
      <c r="C33" s="16" t="s">
        <v>165</v>
      </c>
      <c r="D33" s="16">
        <v>-9.125117500092654E-2</v>
      </c>
      <c r="E33" s="16">
        <v>0</v>
      </c>
      <c r="F33" s="16">
        <v>0</v>
      </c>
      <c r="G33" s="16">
        <v>1E+30</v>
      </c>
      <c r="H33" s="16">
        <v>9.1251175000926527E-2</v>
      </c>
    </row>
    <row r="34" spans="2:8" x14ac:dyDescent="0.3">
      <c r="B34" s="16" t="s">
        <v>166</v>
      </c>
      <c r="C34" s="16" t="s">
        <v>167</v>
      </c>
      <c r="D34" s="16">
        <v>-9.2693798965256119E-3</v>
      </c>
      <c r="E34" s="16">
        <v>0</v>
      </c>
      <c r="F34" s="16">
        <v>0</v>
      </c>
      <c r="G34" s="16">
        <v>1E+30</v>
      </c>
      <c r="H34" s="16">
        <v>9.2693798965256015E-3</v>
      </c>
    </row>
    <row r="35" spans="2:8" ht="15" thickBot="1" x14ac:dyDescent="0.35">
      <c r="B35" s="17" t="s">
        <v>177</v>
      </c>
      <c r="C35" s="17" t="s">
        <v>169</v>
      </c>
      <c r="D35" s="17">
        <v>1.0000000000000002</v>
      </c>
      <c r="E35" s="17">
        <v>0.93523338609372497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BF9C-326C-44B2-BC5D-B54DA1F2B40C}">
  <dimension ref="A1:H35"/>
  <sheetViews>
    <sheetView showGridLines="0" topLeftCell="A9" workbookViewId="0"/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5" width="12.664062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178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4.9285535781962829E-5</v>
      </c>
      <c r="E9" s="16">
        <v>0</v>
      </c>
      <c r="F9" s="16">
        <v>0</v>
      </c>
      <c r="G9" s="16">
        <v>0</v>
      </c>
      <c r="H9" s="16">
        <v>6.6753723471336374E-14</v>
      </c>
    </row>
    <row r="10" spans="1:8" x14ac:dyDescent="0.3">
      <c r="B10" s="16" t="s">
        <v>129</v>
      </c>
      <c r="C10" s="16" t="s">
        <v>104</v>
      </c>
      <c r="D10" s="16">
        <v>6.5299920833127956E-5</v>
      </c>
      <c r="E10" s="16">
        <v>0</v>
      </c>
      <c r="F10" s="16">
        <v>0</v>
      </c>
      <c r="G10" s="16">
        <v>2.7476461050972137E-13</v>
      </c>
      <c r="H10" s="16">
        <v>0</v>
      </c>
    </row>
    <row r="11" spans="1:8" x14ac:dyDescent="0.3">
      <c r="B11" s="16" t="s">
        <v>130</v>
      </c>
      <c r="C11" s="16" t="s">
        <v>105</v>
      </c>
      <c r="D11" s="16">
        <v>6.0602387734076725E-5</v>
      </c>
      <c r="E11" s="16">
        <v>0</v>
      </c>
      <c r="F11" s="16">
        <v>16501</v>
      </c>
      <c r="G11" s="16">
        <v>1E+30</v>
      </c>
      <c r="H11" s="16">
        <v>2.7866109762988503E-13</v>
      </c>
    </row>
    <row r="12" spans="1:8" ht="15" thickBot="1" x14ac:dyDescent="0.35">
      <c r="B12" s="17" t="s">
        <v>131</v>
      </c>
      <c r="C12" s="17" t="s">
        <v>106</v>
      </c>
      <c r="D12" s="17">
        <v>0</v>
      </c>
      <c r="E12" s="17">
        <v>-2.8421709430404007E-14</v>
      </c>
      <c r="F12" s="17">
        <v>1683</v>
      </c>
      <c r="G12" s="17">
        <v>2.8421709430404007E-14</v>
      </c>
      <c r="H12" s="17">
        <v>1E+30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8" x14ac:dyDescent="0.3">
      <c r="B17" s="16" t="s">
        <v>132</v>
      </c>
      <c r="C17" s="16" t="s">
        <v>133</v>
      </c>
      <c r="D17" s="16">
        <v>-5.1954512498476157E-2</v>
      </c>
      <c r="E17" s="16">
        <v>0</v>
      </c>
      <c r="F17" s="16">
        <v>0</v>
      </c>
      <c r="G17" s="16">
        <v>1E+30</v>
      </c>
      <c r="H17" s="16">
        <v>5.195451249847613E-2</v>
      </c>
    </row>
    <row r="18" spans="2:8" x14ac:dyDescent="0.3">
      <c r="B18" s="16" t="s">
        <v>134</v>
      </c>
      <c r="C18" s="16" t="s">
        <v>135</v>
      </c>
      <c r="D18" s="16">
        <v>0</v>
      </c>
      <c r="E18" s="16">
        <v>0</v>
      </c>
      <c r="F18" s="16">
        <v>0</v>
      </c>
      <c r="G18" s="16">
        <v>5.1162183195937141E-2</v>
      </c>
      <c r="H18" s="16">
        <v>6.9012094968819923E-3</v>
      </c>
    </row>
    <row r="19" spans="2:8" x14ac:dyDescent="0.3">
      <c r="B19" s="16" t="s">
        <v>136</v>
      </c>
      <c r="C19" s="16" t="s">
        <v>137</v>
      </c>
      <c r="D19" s="16">
        <v>-0.10809513014498906</v>
      </c>
      <c r="E19" s="16">
        <v>0</v>
      </c>
      <c r="F19" s="16">
        <v>0</v>
      </c>
      <c r="G19" s="16">
        <v>1E+30</v>
      </c>
      <c r="H19" s="16">
        <v>0.10809513014498945</v>
      </c>
    </row>
    <row r="20" spans="2:8" x14ac:dyDescent="0.3">
      <c r="B20" s="16" t="s">
        <v>138</v>
      </c>
      <c r="C20" s="16" t="s">
        <v>139</v>
      </c>
      <c r="D20" s="16">
        <v>-0.11655843832240831</v>
      </c>
      <c r="E20" s="16">
        <v>0</v>
      </c>
      <c r="F20" s="16">
        <v>0</v>
      </c>
      <c r="G20" s="16">
        <v>1E+30</v>
      </c>
      <c r="H20" s="16">
        <v>0.11655843832240817</v>
      </c>
    </row>
    <row r="21" spans="2:8" x14ac:dyDescent="0.3">
      <c r="B21" s="16" t="s">
        <v>140</v>
      </c>
      <c r="C21" s="16" t="s">
        <v>141</v>
      </c>
      <c r="D21" s="16">
        <v>0</v>
      </c>
      <c r="E21" s="16">
        <v>1</v>
      </c>
      <c r="F21" s="16">
        <v>0</v>
      </c>
      <c r="G21" s="16">
        <v>3.0835284117149229E-3</v>
      </c>
      <c r="H21" s="16">
        <v>2.7422438280912065E-2</v>
      </c>
    </row>
    <row r="22" spans="2:8" x14ac:dyDescent="0.3">
      <c r="B22" s="16" t="s">
        <v>142</v>
      </c>
      <c r="C22" s="16" t="s">
        <v>143</v>
      </c>
      <c r="D22" s="16">
        <v>-4.1784982196132914E-2</v>
      </c>
      <c r="E22" s="16">
        <v>0</v>
      </c>
      <c r="F22" s="16">
        <v>0</v>
      </c>
      <c r="G22" s="16">
        <v>1E+30</v>
      </c>
      <c r="H22" s="16">
        <v>4.1784982196133004E-2</v>
      </c>
    </row>
    <row r="23" spans="2:8" x14ac:dyDescent="0.3">
      <c r="B23" s="16" t="s">
        <v>144</v>
      </c>
      <c r="C23" s="16" t="s">
        <v>145</v>
      </c>
      <c r="D23" s="16">
        <v>-0.10965086949316116</v>
      </c>
      <c r="E23" s="16">
        <v>0</v>
      </c>
      <c r="F23" s="16">
        <v>0</v>
      </c>
      <c r="G23" s="16">
        <v>1E+30</v>
      </c>
      <c r="H23" s="16">
        <v>0.10965086949316126</v>
      </c>
    </row>
    <row r="24" spans="2:8" x14ac:dyDescent="0.3">
      <c r="B24" s="16" t="s">
        <v>146</v>
      </c>
      <c r="C24" s="16" t="s">
        <v>147</v>
      </c>
      <c r="D24" s="16">
        <v>-0.13943291189234464</v>
      </c>
      <c r="E24" s="16">
        <v>0</v>
      </c>
      <c r="F24" s="16">
        <v>0</v>
      </c>
      <c r="G24" s="16">
        <v>1E+30</v>
      </c>
      <c r="H24" s="16">
        <v>0.13943291189234472</v>
      </c>
    </row>
    <row r="25" spans="2:8" x14ac:dyDescent="0.3">
      <c r="B25" s="16" t="s">
        <v>148</v>
      </c>
      <c r="C25" s="16" t="s">
        <v>149</v>
      </c>
      <c r="D25" s="16">
        <v>-2.8852851554912906E-2</v>
      </c>
      <c r="E25" s="16">
        <v>0</v>
      </c>
      <c r="F25" s="16">
        <v>0</v>
      </c>
      <c r="G25" s="16">
        <v>1E+30</v>
      </c>
      <c r="H25" s="16">
        <v>2.8852851554912962E-2</v>
      </c>
    </row>
    <row r="26" spans="2:8" x14ac:dyDescent="0.3">
      <c r="B26" s="16" t="s">
        <v>150</v>
      </c>
      <c r="C26" s="16" t="s">
        <v>151</v>
      </c>
      <c r="D26" s="16">
        <v>-4.3657035778257969E-2</v>
      </c>
      <c r="E26" s="16">
        <v>0</v>
      </c>
      <c r="F26" s="16">
        <v>0</v>
      </c>
      <c r="G26" s="16">
        <v>1E+30</v>
      </c>
      <c r="H26" s="16">
        <v>4.3657035778258142E-2</v>
      </c>
    </row>
    <row r="27" spans="2:8" x14ac:dyDescent="0.3">
      <c r="B27" s="16" t="s">
        <v>152</v>
      </c>
      <c r="C27" s="16" t="s">
        <v>153</v>
      </c>
      <c r="D27" s="16">
        <v>-1.8286248289862958E-2</v>
      </c>
      <c r="E27" s="16">
        <v>0</v>
      </c>
      <c r="F27" s="16">
        <v>0</v>
      </c>
      <c r="G27" s="16">
        <v>1E+30</v>
      </c>
      <c r="H27" s="16">
        <v>1.8286248289862975E-2</v>
      </c>
    </row>
    <row r="28" spans="2:8" x14ac:dyDescent="0.3">
      <c r="B28" s="16" t="s">
        <v>154</v>
      </c>
      <c r="C28" s="16" t="s">
        <v>155</v>
      </c>
      <c r="D28" s="16">
        <v>-5.6379986241027136E-2</v>
      </c>
      <c r="E28" s="16">
        <v>0</v>
      </c>
      <c r="F28" s="16">
        <v>0</v>
      </c>
      <c r="G28" s="16">
        <v>1E+30</v>
      </c>
      <c r="H28" s="16">
        <v>5.6379986241027122E-2</v>
      </c>
    </row>
    <row r="29" spans="2:8" x14ac:dyDescent="0.3">
      <c r="B29" s="16" t="s">
        <v>156</v>
      </c>
      <c r="C29" s="16" t="s">
        <v>157</v>
      </c>
      <c r="D29" s="16">
        <v>-5.3968269430434423E-3</v>
      </c>
      <c r="E29" s="16">
        <v>0</v>
      </c>
      <c r="F29" s="16">
        <v>0</v>
      </c>
      <c r="G29" s="16">
        <v>1E+30</v>
      </c>
      <c r="H29" s="16">
        <v>5.3968269430436158E-3</v>
      </c>
    </row>
    <row r="30" spans="2:8" x14ac:dyDescent="0.3">
      <c r="B30" s="16" t="s">
        <v>158</v>
      </c>
      <c r="C30" s="16" t="s">
        <v>159</v>
      </c>
      <c r="D30" s="16">
        <v>-2.4538507868390402E-2</v>
      </c>
      <c r="E30" s="16">
        <v>0</v>
      </c>
      <c r="F30" s="16">
        <v>0</v>
      </c>
      <c r="G30" s="16">
        <v>1E+30</v>
      </c>
      <c r="H30" s="16">
        <v>2.4538507868390347E-2</v>
      </c>
    </row>
    <row r="31" spans="2:8" x14ac:dyDescent="0.3">
      <c r="B31" s="16" t="s">
        <v>160</v>
      </c>
      <c r="C31" s="16" t="s">
        <v>161</v>
      </c>
      <c r="D31" s="16">
        <v>-8.6677167172485858E-3</v>
      </c>
      <c r="E31" s="16">
        <v>0</v>
      </c>
      <c r="F31" s="16">
        <v>0</v>
      </c>
      <c r="G31" s="16">
        <v>1E+30</v>
      </c>
      <c r="H31" s="16">
        <v>8.6677167172485997E-3</v>
      </c>
    </row>
    <row r="32" spans="2:8" x14ac:dyDescent="0.3">
      <c r="B32" s="16" t="s">
        <v>162</v>
      </c>
      <c r="C32" s="16" t="s">
        <v>163</v>
      </c>
      <c r="D32" s="16">
        <v>-1.8076557759085121E-2</v>
      </c>
      <c r="E32" s="16">
        <v>0</v>
      </c>
      <c r="F32" s="16">
        <v>0</v>
      </c>
      <c r="G32" s="16">
        <v>1E+30</v>
      </c>
      <c r="H32" s="16">
        <v>1.8076557759085066E-2</v>
      </c>
    </row>
    <row r="33" spans="2:8" x14ac:dyDescent="0.3">
      <c r="B33" s="16" t="s">
        <v>164</v>
      </c>
      <c r="C33" s="16" t="s">
        <v>165</v>
      </c>
      <c r="D33" s="16">
        <v>-0.16422187006077607</v>
      </c>
      <c r="E33" s="16">
        <v>0</v>
      </c>
      <c r="F33" s="16">
        <v>0</v>
      </c>
      <c r="G33" s="16">
        <v>1E+30</v>
      </c>
      <c r="H33" s="16">
        <v>0.16422187006077604</v>
      </c>
    </row>
    <row r="34" spans="2:8" x14ac:dyDescent="0.3">
      <c r="B34" s="16" t="s">
        <v>166</v>
      </c>
      <c r="C34" s="16" t="s">
        <v>167</v>
      </c>
      <c r="D34" s="16">
        <v>-1.6681811504298455E-2</v>
      </c>
      <c r="E34" s="16">
        <v>0</v>
      </c>
      <c r="F34" s="16">
        <v>0</v>
      </c>
      <c r="G34" s="16">
        <v>1E+30</v>
      </c>
      <c r="H34" s="16">
        <v>1.6681811504298434E-2</v>
      </c>
    </row>
    <row r="35" spans="2:8" ht="15" thickBot="1" x14ac:dyDescent="0.35">
      <c r="B35" s="17" t="s">
        <v>179</v>
      </c>
      <c r="C35" s="17" t="s">
        <v>169</v>
      </c>
      <c r="D35" s="17">
        <v>1</v>
      </c>
      <c r="E35" s="17">
        <v>1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6C662-CF0D-479F-856B-879C35D30123}">
  <dimension ref="A1:I35"/>
  <sheetViews>
    <sheetView showGridLines="0" topLeftCell="A12" workbookViewId="0">
      <selection activeCell="E15" sqref="E15:E34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5" width="12.664062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180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4.4528313598326639E-5</v>
      </c>
      <c r="E9" s="16">
        <v>0</v>
      </c>
      <c r="F9" s="16">
        <v>0</v>
      </c>
      <c r="G9" s="16">
        <v>3146.8560943688376</v>
      </c>
      <c r="H9" s="16">
        <v>209.69467773467449</v>
      </c>
    </row>
    <row r="10" spans="1:8" x14ac:dyDescent="0.3">
      <c r="B10" s="16" t="s">
        <v>129</v>
      </c>
      <c r="C10" s="16" t="s">
        <v>104</v>
      </c>
      <c r="D10" s="16">
        <v>5.0698963448757584E-5</v>
      </c>
      <c r="E10" s="16">
        <v>0</v>
      </c>
      <c r="F10" s="16">
        <v>0</v>
      </c>
      <c r="G10" s="16">
        <v>913.22059971794818</v>
      </c>
      <c r="H10" s="16">
        <v>13704.562465632818</v>
      </c>
    </row>
    <row r="11" spans="1:8" x14ac:dyDescent="0.3">
      <c r="B11" s="16" t="s">
        <v>130</v>
      </c>
      <c r="C11" s="16" t="s">
        <v>105</v>
      </c>
      <c r="D11" s="16">
        <v>4.8245094475699097E-5</v>
      </c>
      <c r="E11" s="16">
        <v>0</v>
      </c>
      <c r="F11" s="16">
        <v>20062</v>
      </c>
      <c r="G11" s="16">
        <v>1E+30</v>
      </c>
      <c r="H11" s="16">
        <v>4966.4523595854535</v>
      </c>
    </row>
    <row r="12" spans="1:8" ht="15" thickBot="1" x14ac:dyDescent="0.35">
      <c r="B12" s="17" t="s">
        <v>131</v>
      </c>
      <c r="C12" s="17" t="s">
        <v>106</v>
      </c>
      <c r="D12" s="17">
        <v>0</v>
      </c>
      <c r="E12" s="17">
        <v>-504.35874528069922</v>
      </c>
      <c r="F12" s="17">
        <v>1533</v>
      </c>
      <c r="G12" s="17">
        <v>504.35874528069922</v>
      </c>
      <c r="H12" s="17">
        <v>1E+30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9" x14ac:dyDescent="0.3">
      <c r="B17" s="16" t="s">
        <v>132</v>
      </c>
      <c r="C17" s="16" t="s">
        <v>133</v>
      </c>
      <c r="D17" s="16">
        <v>-2.8315405429734652E-2</v>
      </c>
      <c r="E17" s="16">
        <v>0</v>
      </c>
      <c r="F17" s="16">
        <v>0</v>
      </c>
      <c r="G17" s="16">
        <v>1E+30</v>
      </c>
      <c r="H17" s="16">
        <v>2.8315405429734465E-2</v>
      </c>
    </row>
    <row r="18" spans="2:9" x14ac:dyDescent="0.3">
      <c r="B18" s="16" t="s">
        <v>134</v>
      </c>
      <c r="C18" s="16" t="s">
        <v>135</v>
      </c>
      <c r="D18" s="16">
        <v>-5.4939997683698394E-3</v>
      </c>
      <c r="E18" s="16">
        <v>0</v>
      </c>
      <c r="F18" s="16">
        <v>0</v>
      </c>
      <c r="G18" s="16">
        <v>1E+30</v>
      </c>
      <c r="H18" s="16">
        <v>5.4939997683694525E-3</v>
      </c>
    </row>
    <row r="19" spans="2:9" x14ac:dyDescent="0.3">
      <c r="B19" s="16" t="s">
        <v>136</v>
      </c>
      <c r="C19" s="16" t="s">
        <v>137</v>
      </c>
      <c r="D19" s="16">
        <v>-6.8155588020072599E-2</v>
      </c>
      <c r="E19" s="16">
        <v>0</v>
      </c>
      <c r="F19" s="16">
        <v>0</v>
      </c>
      <c r="G19" s="16">
        <v>1E+30</v>
      </c>
      <c r="H19" s="16">
        <v>6.8155588020071961E-2</v>
      </c>
    </row>
    <row r="20" spans="2:9" x14ac:dyDescent="0.3">
      <c r="B20" s="16" t="s">
        <v>138</v>
      </c>
      <c r="C20" s="16" t="s">
        <v>139</v>
      </c>
      <c r="D20" s="16">
        <v>-9.3948931320169571E-2</v>
      </c>
      <c r="E20" s="16">
        <v>0</v>
      </c>
      <c r="F20" s="16">
        <v>0</v>
      </c>
      <c r="G20" s="16">
        <v>1E+30</v>
      </c>
      <c r="H20" s="16">
        <v>9.394893132016939E-2</v>
      </c>
    </row>
    <row r="21" spans="2:9" x14ac:dyDescent="0.3">
      <c r="B21" s="16" t="s">
        <v>140</v>
      </c>
      <c r="C21" s="16" t="s">
        <v>141</v>
      </c>
      <c r="D21" s="16">
        <v>0</v>
      </c>
      <c r="E21" s="21">
        <v>1.1398497912977406</v>
      </c>
      <c r="F21" s="16">
        <v>0</v>
      </c>
      <c r="G21" s="16">
        <v>2.4543004458313969E-3</v>
      </c>
      <c r="H21" s="16">
        <v>5.8637119674463015E-2</v>
      </c>
      <c r="I21" t="s">
        <v>175</v>
      </c>
    </row>
    <row r="22" spans="2:9" x14ac:dyDescent="0.3">
      <c r="B22" s="16" t="s">
        <v>142</v>
      </c>
      <c r="C22" s="16" t="s">
        <v>143</v>
      </c>
      <c r="D22" s="16">
        <v>-3.2106914628524774E-2</v>
      </c>
      <c r="E22" s="16">
        <v>0</v>
      </c>
      <c r="F22" s="16">
        <v>0</v>
      </c>
      <c r="G22" s="16">
        <v>1E+30</v>
      </c>
      <c r="H22" s="16">
        <v>3.2106914628524656E-2</v>
      </c>
    </row>
    <row r="23" spans="2:9" x14ac:dyDescent="0.3">
      <c r="B23" s="16" t="s">
        <v>144</v>
      </c>
      <c r="C23" s="16" t="s">
        <v>145</v>
      </c>
      <c r="D23" s="16">
        <v>-8.745644045423584E-2</v>
      </c>
      <c r="E23" s="16">
        <v>0</v>
      </c>
      <c r="F23" s="16">
        <v>0</v>
      </c>
      <c r="G23" s="16">
        <v>1E+30</v>
      </c>
      <c r="H23" s="16">
        <v>8.7456440454235784E-2</v>
      </c>
    </row>
    <row r="24" spans="2:9" x14ac:dyDescent="0.3">
      <c r="B24" s="16" t="s">
        <v>146</v>
      </c>
      <c r="C24" s="16" t="s">
        <v>147</v>
      </c>
      <c r="D24" s="16">
        <v>-0.10828257852278833</v>
      </c>
      <c r="E24" s="16">
        <v>0</v>
      </c>
      <c r="F24" s="16">
        <v>0</v>
      </c>
      <c r="G24" s="16">
        <v>1E+30</v>
      </c>
      <c r="H24" s="16">
        <v>0.10828257852278825</v>
      </c>
    </row>
    <row r="25" spans="2:9" x14ac:dyDescent="0.3">
      <c r="B25" s="16" t="s">
        <v>148</v>
      </c>
      <c r="C25" s="16" t="s">
        <v>149</v>
      </c>
      <c r="D25" s="16">
        <v>0</v>
      </c>
      <c r="E25" s="21">
        <v>4.8787021946126323E-2</v>
      </c>
      <c r="F25" s="16">
        <v>0</v>
      </c>
      <c r="G25" s="16">
        <v>4.1498547048653394E-3</v>
      </c>
      <c r="H25" s="16">
        <v>2.2942969971659902E-2</v>
      </c>
      <c r="I25" t="s">
        <v>175</v>
      </c>
    </row>
    <row r="26" spans="2:9" x14ac:dyDescent="0.3">
      <c r="B26" s="16" t="s">
        <v>150</v>
      </c>
      <c r="C26" s="16" t="s">
        <v>151</v>
      </c>
      <c r="D26" s="16">
        <v>-3.3570943276401866E-2</v>
      </c>
      <c r="E26" s="16">
        <v>0</v>
      </c>
      <c r="F26" s="16">
        <v>0</v>
      </c>
      <c r="G26" s="16">
        <v>1E+30</v>
      </c>
      <c r="H26" s="16">
        <v>3.3570943276401692E-2</v>
      </c>
    </row>
    <row r="27" spans="2:9" x14ac:dyDescent="0.3">
      <c r="B27" s="16" t="s">
        <v>152</v>
      </c>
      <c r="C27" s="16" t="s">
        <v>153</v>
      </c>
      <c r="D27" s="16">
        <v>-1.2208532424904564E-2</v>
      </c>
      <c r="E27" s="16">
        <v>0</v>
      </c>
      <c r="F27" s="16">
        <v>0</v>
      </c>
      <c r="G27" s="16">
        <v>1E+30</v>
      </c>
      <c r="H27" s="16">
        <v>1.2208532424904552E-2</v>
      </c>
    </row>
    <row r="28" spans="2:9" x14ac:dyDescent="0.3">
      <c r="B28" s="16" t="s">
        <v>154</v>
      </c>
      <c r="C28" s="16" t="s">
        <v>155</v>
      </c>
      <c r="D28" s="16">
        <v>-4.2105368053806824E-2</v>
      </c>
      <c r="E28" s="16">
        <v>0</v>
      </c>
      <c r="F28" s="16">
        <v>0</v>
      </c>
      <c r="G28" s="16">
        <v>1E+30</v>
      </c>
      <c r="H28" s="16">
        <v>4.2105368053806748E-2</v>
      </c>
    </row>
    <row r="29" spans="2:9" x14ac:dyDescent="0.3">
      <c r="B29" s="16" t="s">
        <v>156</v>
      </c>
      <c r="C29" s="16" t="s">
        <v>157</v>
      </c>
      <c r="D29" s="16">
        <v>-3.4207190290509448E-3</v>
      </c>
      <c r="E29" s="16">
        <v>0</v>
      </c>
      <c r="F29" s="16">
        <v>0</v>
      </c>
      <c r="G29" s="16">
        <v>1E+30</v>
      </c>
      <c r="H29" s="16">
        <v>3.4207190290508997E-3</v>
      </c>
    </row>
    <row r="30" spans="2:9" x14ac:dyDescent="0.3">
      <c r="B30" s="16" t="s">
        <v>158</v>
      </c>
      <c r="C30" s="16" t="s">
        <v>159</v>
      </c>
      <c r="D30" s="16">
        <v>-1.1975540379818628E-2</v>
      </c>
      <c r="E30" s="16">
        <v>0</v>
      </c>
      <c r="F30" s="16">
        <v>0</v>
      </c>
      <c r="G30" s="16">
        <v>1E+30</v>
      </c>
      <c r="H30" s="16">
        <v>1.19755403798186E-2</v>
      </c>
    </row>
    <row r="31" spans="2:9" x14ac:dyDescent="0.3">
      <c r="B31" s="16" t="s">
        <v>160</v>
      </c>
      <c r="C31" s="16" t="s">
        <v>161</v>
      </c>
      <c r="D31" s="16">
        <v>-1.0557089641585193E-3</v>
      </c>
      <c r="E31" s="16">
        <v>0</v>
      </c>
      <c r="F31" s="16">
        <v>0</v>
      </c>
      <c r="G31" s="16">
        <v>1E+30</v>
      </c>
      <c r="H31" s="16">
        <v>1.0557089641584369E-3</v>
      </c>
    </row>
    <row r="32" spans="2:9" x14ac:dyDescent="0.3">
      <c r="B32" s="16" t="s">
        <v>162</v>
      </c>
      <c r="C32" s="16" t="s">
        <v>163</v>
      </c>
      <c r="D32" s="16">
        <v>-7.6865915061176682E-3</v>
      </c>
      <c r="E32" s="16">
        <v>0</v>
      </c>
      <c r="F32" s="16">
        <v>0</v>
      </c>
      <c r="G32" s="16">
        <v>1E+30</v>
      </c>
      <c r="H32" s="16">
        <v>7.6865915061176708E-3</v>
      </c>
    </row>
    <row r="33" spans="2:8" x14ac:dyDescent="0.3">
      <c r="B33" s="16" t="s">
        <v>164</v>
      </c>
      <c r="C33" s="16" t="s">
        <v>165</v>
      </c>
      <c r="D33" s="16">
        <v>-0.13215181288262945</v>
      </c>
      <c r="E33" s="16">
        <v>0</v>
      </c>
      <c r="F33" s="16">
        <v>0</v>
      </c>
      <c r="G33" s="16">
        <v>1E+30</v>
      </c>
      <c r="H33" s="16">
        <v>0.13215181288262942</v>
      </c>
    </row>
    <row r="34" spans="2:8" x14ac:dyDescent="0.3">
      <c r="B34" s="16" t="s">
        <v>166</v>
      </c>
      <c r="C34" s="16" t="s">
        <v>167</v>
      </c>
      <c r="D34" s="16">
        <v>-8.6168108934437937E-3</v>
      </c>
      <c r="E34" s="16">
        <v>0</v>
      </c>
      <c r="F34" s="16">
        <v>0</v>
      </c>
      <c r="G34" s="16">
        <v>1E+30</v>
      </c>
      <c r="H34" s="16">
        <v>8.6168108934437781E-3</v>
      </c>
    </row>
    <row r="35" spans="2:8" ht="15" thickBot="1" x14ac:dyDescent="0.35">
      <c r="B35" s="17" t="s">
        <v>181</v>
      </c>
      <c r="C35" s="17" t="s">
        <v>169</v>
      </c>
      <c r="D35" s="17">
        <v>1</v>
      </c>
      <c r="E35" s="17">
        <v>0.96789308537147534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DAC1-CC7B-48AE-A530-80AC640BDEC1}">
  <dimension ref="A1:I35"/>
  <sheetViews>
    <sheetView showGridLines="0" topLeftCell="A12" workbookViewId="0">
      <selection activeCell="E15" sqref="E15:E34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31.33203125" bestFit="1" customWidth="1"/>
    <col min="4" max="5" width="12.6640625" bestFit="1" customWidth="1"/>
    <col min="6" max="6" width="18.33203125" bestFit="1" customWidth="1"/>
    <col min="7" max="8" width="12" bestFit="1" customWidth="1"/>
  </cols>
  <sheetData>
    <row r="1" spans="1:8" x14ac:dyDescent="0.3">
      <c r="A1" s="15" t="s">
        <v>109</v>
      </c>
    </row>
    <row r="2" spans="1:8" x14ac:dyDescent="0.3">
      <c r="A2" s="15" t="s">
        <v>110</v>
      </c>
    </row>
    <row r="3" spans="1:8" x14ac:dyDescent="0.3">
      <c r="A3" s="15" t="s">
        <v>182</v>
      </c>
    </row>
    <row r="6" spans="1:8" ht="15" thickBot="1" x14ac:dyDescent="0.35">
      <c r="A6" t="s">
        <v>111</v>
      </c>
    </row>
    <row r="7" spans="1:8" x14ac:dyDescent="0.3">
      <c r="B7" s="18"/>
      <c r="C7" s="18"/>
      <c r="D7" s="18" t="s">
        <v>114</v>
      </c>
      <c r="E7" s="18" t="s">
        <v>116</v>
      </c>
      <c r="F7" s="18" t="s">
        <v>118</v>
      </c>
      <c r="G7" s="18" t="s">
        <v>120</v>
      </c>
      <c r="H7" s="18" t="s">
        <v>120</v>
      </c>
    </row>
    <row r="8" spans="1:8" ht="15" thickBot="1" x14ac:dyDescent="0.35">
      <c r="B8" s="19" t="s">
        <v>112</v>
      </c>
      <c r="C8" s="19" t="s">
        <v>113</v>
      </c>
      <c r="D8" s="19" t="s">
        <v>115</v>
      </c>
      <c r="E8" s="19" t="s">
        <v>117</v>
      </c>
      <c r="F8" s="19" t="s">
        <v>119</v>
      </c>
      <c r="G8" s="19" t="s">
        <v>121</v>
      </c>
      <c r="H8" s="19" t="s">
        <v>122</v>
      </c>
    </row>
    <row r="9" spans="1:8" x14ac:dyDescent="0.3">
      <c r="B9" s="16" t="s">
        <v>128</v>
      </c>
      <c r="C9" s="16" t="s">
        <v>103</v>
      </c>
      <c r="D9" s="16">
        <v>6.5972061479127342E-5</v>
      </c>
      <c r="E9" s="16">
        <v>0</v>
      </c>
      <c r="F9" s="16">
        <v>0</v>
      </c>
      <c r="G9" s="16">
        <v>26.530125077599639</v>
      </c>
      <c r="H9" s="16">
        <v>328.85517278966046</v>
      </c>
    </row>
    <row r="10" spans="1:8" x14ac:dyDescent="0.3">
      <c r="B10" s="16" t="s">
        <v>129</v>
      </c>
      <c r="C10" s="16" t="s">
        <v>104</v>
      </c>
      <c r="D10" s="16">
        <v>8.740841148290553E-5</v>
      </c>
      <c r="E10" s="16">
        <v>0</v>
      </c>
      <c r="F10" s="16">
        <v>0</v>
      </c>
      <c r="G10" s="16">
        <v>1335.9135608735344</v>
      </c>
      <c r="H10" s="16">
        <v>107.77374599944476</v>
      </c>
    </row>
    <row r="11" spans="1:8" x14ac:dyDescent="0.3">
      <c r="B11" s="16" t="s">
        <v>130</v>
      </c>
      <c r="C11" s="16" t="s">
        <v>105</v>
      </c>
      <c r="D11" s="16">
        <v>8.1120442051430626E-5</v>
      </c>
      <c r="E11" s="16">
        <v>0</v>
      </c>
      <c r="F11" s="16">
        <v>10518</v>
      </c>
      <c r="G11" s="16">
        <v>1E+30</v>
      </c>
      <c r="H11" s="16">
        <v>10508.091365050557</v>
      </c>
    </row>
    <row r="12" spans="1:8" ht="15" thickBot="1" x14ac:dyDescent="0.35">
      <c r="B12" s="17" t="s">
        <v>131</v>
      </c>
      <c r="C12" s="17" t="s">
        <v>106</v>
      </c>
      <c r="D12" s="17">
        <v>0</v>
      </c>
      <c r="E12" s="17">
        <v>-1060.4983853644676</v>
      </c>
      <c r="F12" s="17">
        <v>1</v>
      </c>
      <c r="G12" s="17">
        <v>1060.4983853644676</v>
      </c>
      <c r="H12" s="17">
        <v>1E+30</v>
      </c>
    </row>
    <row r="14" spans="1:8" ht="15" thickBot="1" x14ac:dyDescent="0.35">
      <c r="A14" t="s">
        <v>123</v>
      </c>
    </row>
    <row r="15" spans="1:8" x14ac:dyDescent="0.3">
      <c r="B15" s="18"/>
      <c r="C15" s="18"/>
      <c r="D15" s="18" t="s">
        <v>114</v>
      </c>
      <c r="E15" s="18" t="s">
        <v>124</v>
      </c>
      <c r="F15" s="18" t="s">
        <v>126</v>
      </c>
      <c r="G15" s="18" t="s">
        <v>120</v>
      </c>
      <c r="H15" s="18" t="s">
        <v>120</v>
      </c>
    </row>
    <row r="16" spans="1:8" ht="15" thickBot="1" x14ac:dyDescent="0.35">
      <c r="B16" s="19" t="s">
        <v>112</v>
      </c>
      <c r="C16" s="19" t="s">
        <v>113</v>
      </c>
      <c r="D16" s="19" t="s">
        <v>115</v>
      </c>
      <c r="E16" s="19" t="s">
        <v>125</v>
      </c>
      <c r="F16" s="19" t="s">
        <v>127</v>
      </c>
      <c r="G16" s="19" t="s">
        <v>121</v>
      </c>
      <c r="H16" s="19" t="s">
        <v>122</v>
      </c>
    </row>
    <row r="17" spans="2:9" x14ac:dyDescent="0.3">
      <c r="B17" s="16" t="s">
        <v>132</v>
      </c>
      <c r="C17" s="16" t="s">
        <v>133</v>
      </c>
      <c r="D17" s="16">
        <v>-6.954466941032944E-2</v>
      </c>
      <c r="E17" s="16">
        <v>0</v>
      </c>
      <c r="F17" s="16">
        <v>0</v>
      </c>
      <c r="G17" s="16">
        <v>1E+30</v>
      </c>
      <c r="H17" s="16">
        <v>6.9544669410329607E-2</v>
      </c>
    </row>
    <row r="18" spans="2:9" x14ac:dyDescent="0.3">
      <c r="B18" s="16" t="s">
        <v>134</v>
      </c>
      <c r="C18" s="16" t="s">
        <v>135</v>
      </c>
      <c r="D18" s="16">
        <v>0</v>
      </c>
      <c r="E18" s="21">
        <v>2.5504671938413492E-2</v>
      </c>
      <c r="F18" s="16">
        <v>0</v>
      </c>
      <c r="G18" s="16">
        <v>6.8624565996954934E-2</v>
      </c>
      <c r="H18" s="16">
        <v>9.2351908900048154E-3</v>
      </c>
      <c r="I18" t="s">
        <v>175</v>
      </c>
    </row>
    <row r="19" spans="2:9" x14ac:dyDescent="0.3">
      <c r="B19" s="16" t="s">
        <v>136</v>
      </c>
      <c r="C19" s="16" t="s">
        <v>137</v>
      </c>
      <c r="D19" s="16">
        <v>-0.144692726950721</v>
      </c>
      <c r="E19" s="16">
        <v>0</v>
      </c>
      <c r="F19" s="16">
        <v>0</v>
      </c>
      <c r="G19" s="16">
        <v>1E+30</v>
      </c>
      <c r="H19" s="16">
        <v>0.14469272695072166</v>
      </c>
    </row>
    <row r="20" spans="2:9" x14ac:dyDescent="0.3">
      <c r="B20" s="16" t="s">
        <v>138</v>
      </c>
      <c r="C20" s="16" t="s">
        <v>139</v>
      </c>
      <c r="D20" s="16">
        <v>-0.15602144395742124</v>
      </c>
      <c r="E20" s="16">
        <v>0</v>
      </c>
      <c r="F20" s="16">
        <v>0</v>
      </c>
      <c r="G20" s="16">
        <v>1E+30</v>
      </c>
      <c r="H20" s="16">
        <v>0.15602144395742115</v>
      </c>
    </row>
    <row r="21" spans="2:9" x14ac:dyDescent="0.3">
      <c r="B21" s="16" t="s">
        <v>140</v>
      </c>
      <c r="C21" s="16" t="s">
        <v>141</v>
      </c>
      <c r="D21" s="16">
        <v>0</v>
      </c>
      <c r="E21" s="21">
        <v>0.5898317174537302</v>
      </c>
      <c r="F21" s="16">
        <v>0</v>
      </c>
      <c r="G21" s="16">
        <v>4.1265638398246523E-3</v>
      </c>
      <c r="H21" s="16">
        <v>3.6782107565638711E-2</v>
      </c>
      <c r="I21" t="s">
        <v>175</v>
      </c>
    </row>
    <row r="22" spans="2:9" x14ac:dyDescent="0.3">
      <c r="B22" s="16" t="s">
        <v>142</v>
      </c>
      <c r="C22" s="16" t="s">
        <v>143</v>
      </c>
      <c r="D22" s="16">
        <v>-5.5932057359441067E-2</v>
      </c>
      <c r="E22" s="16">
        <v>0</v>
      </c>
      <c r="F22" s="16">
        <v>0</v>
      </c>
      <c r="G22" s="16">
        <v>1E+30</v>
      </c>
      <c r="H22" s="16">
        <v>5.593205735944113E-2</v>
      </c>
    </row>
    <row r="23" spans="2:9" x14ac:dyDescent="0.3">
      <c r="B23" s="16" t="s">
        <v>144</v>
      </c>
      <c r="C23" s="16" t="s">
        <v>145</v>
      </c>
      <c r="D23" s="16">
        <v>-0.14677519050305254</v>
      </c>
      <c r="E23" s="16">
        <v>0</v>
      </c>
      <c r="F23" s="16">
        <v>0</v>
      </c>
      <c r="G23" s="16">
        <v>1E+30</v>
      </c>
      <c r="H23" s="16">
        <v>0.14677519050305265</v>
      </c>
    </row>
    <row r="24" spans="2:9" x14ac:dyDescent="0.3">
      <c r="B24" s="16" t="s">
        <v>146</v>
      </c>
      <c r="C24" s="16" t="s">
        <v>147</v>
      </c>
      <c r="D24" s="16">
        <v>-0.18664049177166486</v>
      </c>
      <c r="E24" s="16">
        <v>0</v>
      </c>
      <c r="F24" s="16">
        <v>0</v>
      </c>
      <c r="G24" s="16">
        <v>1E+30</v>
      </c>
      <c r="H24" s="16">
        <v>0.18664049177166492</v>
      </c>
    </row>
    <row r="25" spans="2:9" x14ac:dyDescent="0.3">
      <c r="B25" s="16" t="s">
        <v>148</v>
      </c>
      <c r="C25" s="16" t="s">
        <v>149</v>
      </c>
      <c r="D25" s="16">
        <v>-3.8621515753623825E-2</v>
      </c>
      <c r="E25" s="16">
        <v>0</v>
      </c>
      <c r="F25" s="16">
        <v>0</v>
      </c>
      <c r="G25" s="16">
        <v>1E+30</v>
      </c>
      <c r="H25" s="16">
        <v>3.8621515753624103E-2</v>
      </c>
    </row>
    <row r="26" spans="2:9" x14ac:dyDescent="0.3">
      <c r="B26" s="16" t="s">
        <v>150</v>
      </c>
      <c r="C26" s="16" t="s">
        <v>151</v>
      </c>
      <c r="D26" s="16">
        <v>-5.8437929154333546E-2</v>
      </c>
      <c r="E26" s="16">
        <v>0</v>
      </c>
      <c r="F26" s="16">
        <v>0</v>
      </c>
      <c r="G26" s="16">
        <v>1E+30</v>
      </c>
      <c r="H26" s="16">
        <v>5.8437929154333379E-2</v>
      </c>
    </row>
    <row r="27" spans="2:9" x14ac:dyDescent="0.3">
      <c r="B27" s="16" t="s">
        <v>152</v>
      </c>
      <c r="C27" s="16" t="s">
        <v>153</v>
      </c>
      <c r="D27" s="16">
        <v>-2.4477394376687139E-2</v>
      </c>
      <c r="E27" s="16">
        <v>0</v>
      </c>
      <c r="F27" s="16">
        <v>0</v>
      </c>
      <c r="G27" s="16">
        <v>1E+30</v>
      </c>
      <c r="H27" s="16">
        <v>2.4477394376687139E-2</v>
      </c>
    </row>
    <row r="28" spans="2:9" x14ac:dyDescent="0.3">
      <c r="B28" s="16" t="s">
        <v>154</v>
      </c>
      <c r="C28" s="16" t="s">
        <v>155</v>
      </c>
      <c r="D28" s="16">
        <v>-7.5468468780380715E-2</v>
      </c>
      <c r="E28" s="16">
        <v>0</v>
      </c>
      <c r="F28" s="16">
        <v>0</v>
      </c>
      <c r="G28" s="16">
        <v>1E+30</v>
      </c>
      <c r="H28" s="16">
        <v>7.5468468780380799E-2</v>
      </c>
    </row>
    <row r="29" spans="2:9" x14ac:dyDescent="0.3">
      <c r="B29" s="16" t="s">
        <v>156</v>
      </c>
      <c r="C29" s="16" t="s">
        <v>157</v>
      </c>
      <c r="D29" s="16">
        <v>-7.2240220833510449E-3</v>
      </c>
      <c r="E29" s="16">
        <v>0</v>
      </c>
      <c r="F29" s="16">
        <v>0</v>
      </c>
      <c r="G29" s="16">
        <v>1E+30</v>
      </c>
      <c r="H29" s="16">
        <v>7.2240220833510171E-3</v>
      </c>
    </row>
    <row r="30" spans="2:9" x14ac:dyDescent="0.3">
      <c r="B30" s="16" t="s">
        <v>158</v>
      </c>
      <c r="C30" s="16" t="s">
        <v>159</v>
      </c>
      <c r="D30" s="16">
        <v>-3.2846471566450264E-2</v>
      </c>
      <c r="E30" s="16">
        <v>0</v>
      </c>
      <c r="F30" s="16">
        <v>0</v>
      </c>
      <c r="G30" s="16">
        <v>1E+30</v>
      </c>
      <c r="H30" s="16">
        <v>3.2846471566450305E-2</v>
      </c>
    </row>
    <row r="31" spans="2:9" x14ac:dyDescent="0.3">
      <c r="B31" s="16" t="s">
        <v>160</v>
      </c>
      <c r="C31" s="16" t="s">
        <v>161</v>
      </c>
      <c r="D31" s="16">
        <v>-1.1602331821728096E-2</v>
      </c>
      <c r="E31" s="16">
        <v>0</v>
      </c>
      <c r="F31" s="16">
        <v>0</v>
      </c>
      <c r="G31" s="16">
        <v>1E+30</v>
      </c>
      <c r="H31" s="16">
        <v>1.1602331821728165E-2</v>
      </c>
    </row>
    <row r="32" spans="2:9" x14ac:dyDescent="0.3">
      <c r="B32" s="16" t="s">
        <v>162</v>
      </c>
      <c r="C32" s="16" t="s">
        <v>163</v>
      </c>
      <c r="D32" s="16">
        <v>-2.4196709255412119E-2</v>
      </c>
      <c r="E32" s="16">
        <v>0</v>
      </c>
      <c r="F32" s="16">
        <v>0</v>
      </c>
      <c r="G32" s="16">
        <v>1E+30</v>
      </c>
      <c r="H32" s="16">
        <v>2.4196709255412077E-2</v>
      </c>
    </row>
    <row r="33" spans="2:8" x14ac:dyDescent="0.3">
      <c r="B33" s="16" t="s">
        <v>164</v>
      </c>
      <c r="C33" s="16" t="s">
        <v>165</v>
      </c>
      <c r="D33" s="16">
        <v>-0.21982220819909928</v>
      </c>
      <c r="E33" s="16">
        <v>0</v>
      </c>
      <c r="F33" s="16">
        <v>0</v>
      </c>
      <c r="G33" s="16">
        <v>1E+30</v>
      </c>
      <c r="H33" s="16">
        <v>0.21982220819909928</v>
      </c>
    </row>
    <row r="34" spans="2:8" x14ac:dyDescent="0.3">
      <c r="B34" s="16" t="s">
        <v>166</v>
      </c>
      <c r="C34" s="16" t="s">
        <v>167</v>
      </c>
      <c r="D34" s="16">
        <v>-2.2329745972804516E-2</v>
      </c>
      <c r="E34" s="16">
        <v>0</v>
      </c>
      <c r="F34" s="16">
        <v>0</v>
      </c>
      <c r="G34" s="16">
        <v>1E+30</v>
      </c>
      <c r="H34" s="16">
        <v>2.2329745972804474E-2</v>
      </c>
    </row>
    <row r="35" spans="2:8" ht="15" thickBot="1" x14ac:dyDescent="0.35">
      <c r="B35" s="17" t="s">
        <v>183</v>
      </c>
      <c r="C35" s="17" t="s">
        <v>169</v>
      </c>
      <c r="D35" s="17">
        <v>1</v>
      </c>
      <c r="E35" s="17">
        <v>0.85322480949694735</v>
      </c>
      <c r="F35" s="17">
        <v>1</v>
      </c>
      <c r="G35" s="17">
        <v>1E+30</v>
      </c>
      <c r="H35" s="17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45</vt:i4>
      </vt:variant>
    </vt:vector>
  </HeadingPairs>
  <TitlesOfParts>
    <vt:vector size="45" baseType="lpstr">
      <vt:lpstr>Data</vt:lpstr>
      <vt:lpstr>Statistiky</vt:lpstr>
      <vt:lpstr>CS 1</vt:lpstr>
      <vt:lpstr>CS 2</vt:lpstr>
      <vt:lpstr>CS 3</vt:lpstr>
      <vt:lpstr>CS 4</vt:lpstr>
      <vt:lpstr>CS 5</vt:lpstr>
      <vt:lpstr>CS 6</vt:lpstr>
      <vt:lpstr>CS 7</vt:lpstr>
      <vt:lpstr>CS 8</vt:lpstr>
      <vt:lpstr>CS 9</vt:lpstr>
      <vt:lpstr>CS 10</vt:lpstr>
      <vt:lpstr>CS 11</vt:lpstr>
      <vt:lpstr>CS 12</vt:lpstr>
      <vt:lpstr>CS 13</vt:lpstr>
      <vt:lpstr>CS 14</vt:lpstr>
      <vt:lpstr>CS 15</vt:lpstr>
      <vt:lpstr>CS 16</vt:lpstr>
      <vt:lpstr>CS 17</vt:lpstr>
      <vt:lpstr>CS 18</vt:lpstr>
      <vt:lpstr>Výpočty CCR</vt:lpstr>
      <vt:lpstr>Interpretace CCR</vt:lpstr>
      <vt:lpstr>Zlepšení CCR</vt:lpstr>
      <vt:lpstr>CS 1 BCC</vt:lpstr>
      <vt:lpstr>CS 2 BCC</vt:lpstr>
      <vt:lpstr>CS 3 BCC</vt:lpstr>
      <vt:lpstr>CS 4 BCC</vt:lpstr>
      <vt:lpstr>CS 5 BCC</vt:lpstr>
      <vt:lpstr>CS 6 BCC</vt:lpstr>
      <vt:lpstr>CS 7 BCC</vt:lpstr>
      <vt:lpstr>CS 8 BCC</vt:lpstr>
      <vt:lpstr>CS 9 BCC</vt:lpstr>
      <vt:lpstr>CS 10 BCC</vt:lpstr>
      <vt:lpstr>CS 11 BCC</vt:lpstr>
      <vt:lpstr>CS 12 BCC</vt:lpstr>
      <vt:lpstr>CS 13 BCC</vt:lpstr>
      <vt:lpstr>CS 14 BCC</vt:lpstr>
      <vt:lpstr>CS 15 BCC</vt:lpstr>
      <vt:lpstr>CS 16 BCC</vt:lpstr>
      <vt:lpstr>CS 17 BCC</vt:lpstr>
      <vt:lpstr>CS 18 BCC</vt:lpstr>
      <vt:lpstr>Výpočty BCC</vt:lpstr>
      <vt:lpstr>Interpretace BCC</vt:lpstr>
      <vt:lpstr>Zlepšení BCC</vt:lpstr>
      <vt:lpstr>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</dc:creator>
  <cp:lastModifiedBy>Dubinchenko Vlada</cp:lastModifiedBy>
  <dcterms:created xsi:type="dcterms:W3CDTF">2015-06-05T18:19:34Z</dcterms:created>
  <dcterms:modified xsi:type="dcterms:W3CDTF">2024-03-14T16:08:19Z</dcterms:modified>
</cp:coreProperties>
</file>