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2"/>
  </bookViews>
  <sheets>
    <sheet name="Celková databáze" sheetId="1" r:id="rId1"/>
    <sheet name="Základní souhrny údajů" sheetId="5" r:id="rId2"/>
    <sheet name="Identifikace fin. produktů" sheetId="6" r:id="rId3"/>
    <sheet name="Příjmy" sheetId="7" r:id="rId4"/>
    <sheet name="Výdaje" sheetId="8" r:id="rId5"/>
    <sheet name="Bilance" sheetId="12" r:id="rId6"/>
    <sheet name="Zajištění" sheetId="9" r:id="rId7"/>
    <sheet name="Zadlužení" sheetId="11" r:id="rId8"/>
  </sheets>
  <calcPr calcId="145621"/>
  <pivotCaches>
    <pivotCache cacheId="0" r:id="rId9"/>
    <pivotCache cacheId="1" r:id="rId10"/>
    <pivotCache cacheId="2" r:id="rId11"/>
    <pivotCache cacheId="3" r:id="rId12"/>
  </pivotCaches>
</workbook>
</file>

<file path=xl/calcChain.xml><?xml version="1.0" encoding="utf-8"?>
<calcChain xmlns="http://schemas.openxmlformats.org/spreadsheetml/2006/main">
  <c r="D7" i="9" l="1"/>
  <c r="D177" i="6"/>
  <c r="B61" i="5" l="1"/>
  <c r="C61" i="5" s="1"/>
  <c r="B60" i="5"/>
  <c r="B59" i="5"/>
  <c r="C59" i="5" s="1"/>
  <c r="B58" i="5"/>
  <c r="B62" i="5" s="1"/>
  <c r="B53" i="5"/>
  <c r="B52" i="5"/>
  <c r="B51" i="5"/>
  <c r="B50" i="5"/>
  <c r="B49" i="5"/>
  <c r="B48" i="5"/>
  <c r="B47" i="5"/>
  <c r="B54" i="5" s="1"/>
  <c r="B42" i="5"/>
  <c r="B41" i="5"/>
  <c r="C41" i="5" s="1"/>
  <c r="B40" i="5"/>
  <c r="B39" i="5"/>
  <c r="C39" i="5" s="1"/>
  <c r="B38" i="5"/>
  <c r="B43" i="5" s="1"/>
  <c r="B33" i="5"/>
  <c r="C33" i="5" s="1"/>
  <c r="B32" i="5"/>
  <c r="B31" i="5"/>
  <c r="C31" i="5" s="1"/>
  <c r="B30" i="5"/>
  <c r="B34" i="5" s="1"/>
  <c r="B25" i="5"/>
  <c r="B24" i="5"/>
  <c r="B23" i="5"/>
  <c r="B26" i="5" s="1"/>
  <c r="B18" i="5"/>
  <c r="B17" i="5"/>
  <c r="B16" i="5"/>
  <c r="B15" i="5"/>
  <c r="B19" i="5" s="1"/>
  <c r="B10" i="5"/>
  <c r="C53" i="6" s="1"/>
  <c r="B9" i="5"/>
  <c r="B53" i="6" s="1"/>
  <c r="B4" i="5"/>
  <c r="D62" i="6" s="1"/>
  <c r="B3" i="5"/>
  <c r="C62" i="6" s="1"/>
  <c r="B2" i="5"/>
  <c r="B62" i="6" s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17" i="11"/>
  <c r="B7" i="11"/>
  <c r="D7" i="11"/>
  <c r="D178" i="6"/>
  <c r="D252" i="6"/>
  <c r="D337" i="6"/>
  <c r="D299" i="6"/>
  <c r="D72" i="6"/>
  <c r="D223" i="6"/>
  <c r="D8" i="6"/>
  <c r="D118" i="6"/>
  <c r="B45" i="6"/>
  <c r="D370" i="6"/>
  <c r="B54" i="6"/>
  <c r="C63" i="6"/>
  <c r="C54" i="6"/>
  <c r="D63" i="6"/>
  <c r="C16" i="5" l="1"/>
  <c r="C18" i="5"/>
  <c r="C24" i="5"/>
  <c r="C32" i="5"/>
  <c r="C40" i="5"/>
  <c r="C42" i="5"/>
  <c r="C48" i="5"/>
  <c r="C50" i="5"/>
  <c r="C52" i="5"/>
  <c r="C60" i="5"/>
  <c r="C17" i="5"/>
  <c r="C25" i="5"/>
  <c r="C49" i="5"/>
  <c r="C51" i="5"/>
  <c r="C53" i="5"/>
  <c r="C15" i="5"/>
  <c r="C19" i="5" s="1"/>
  <c r="C23" i="5"/>
  <c r="C26" i="5" s="1"/>
  <c r="C30" i="5"/>
  <c r="C34" i="5" s="1"/>
  <c r="C38" i="5"/>
  <c r="C43" i="5" s="1"/>
  <c r="C47" i="5"/>
  <c r="C54" i="5" s="1"/>
  <c r="C58" i="5"/>
  <c r="C62" i="5" s="1"/>
  <c r="B5" i="5"/>
  <c r="C3" i="5" s="1"/>
  <c r="B11" i="5"/>
  <c r="C9" i="5" s="1"/>
  <c r="D73" i="6"/>
  <c r="D119" i="6"/>
  <c r="D253" i="6"/>
  <c r="D300" i="6"/>
  <c r="D9" i="6"/>
  <c r="B46" i="6"/>
  <c r="D179" i="6"/>
  <c r="D180" i="6" s="1"/>
  <c r="E62" i="6"/>
  <c r="D53" i="6"/>
  <c r="D224" i="6"/>
  <c r="D338" i="6"/>
  <c r="D371" i="6"/>
  <c r="D8" i="9"/>
  <c r="D18" i="11"/>
  <c r="B63" i="6"/>
  <c r="E63" i="6"/>
  <c r="D54" i="6"/>
  <c r="C11" i="5" l="1"/>
  <c r="C10" i="5"/>
  <c r="C4" i="5"/>
  <c r="C2" i="5"/>
  <c r="C5" i="5" l="1"/>
</calcChain>
</file>

<file path=xl/sharedStrings.xml><?xml version="1.0" encoding="utf-8"?>
<sst xmlns="http://schemas.openxmlformats.org/spreadsheetml/2006/main" count="3263" uniqueCount="226">
  <si>
    <t>Pohlaví</t>
  </si>
  <si>
    <t>Věk</t>
  </si>
  <si>
    <t>Stav</t>
  </si>
  <si>
    <t>Bydliště</t>
  </si>
  <si>
    <t>Počet dětí</t>
  </si>
  <si>
    <t>Příjem</t>
  </si>
  <si>
    <t>Výdaje</t>
  </si>
  <si>
    <t>Bilance</t>
  </si>
  <si>
    <t>Vzdělání</t>
  </si>
  <si>
    <t>Zaměstnání</t>
  </si>
  <si>
    <t>Typ bydlení</t>
  </si>
  <si>
    <t>Penzijní př.</t>
  </si>
  <si>
    <t>Životní pojištění</t>
  </si>
  <si>
    <t>Hypotéky, úvěry ze s.</t>
  </si>
  <si>
    <t>Spotřebitelský úvěr</t>
  </si>
  <si>
    <t>Leasing</t>
  </si>
  <si>
    <t>Majetkové pojištění</t>
  </si>
  <si>
    <t>Povinné ručení, havarijnípoj.</t>
  </si>
  <si>
    <t>Jiné investice(nemovitosti)</t>
  </si>
  <si>
    <t>žena</t>
  </si>
  <si>
    <t>muž</t>
  </si>
  <si>
    <t>dům</t>
  </si>
  <si>
    <t>maturita</t>
  </si>
  <si>
    <t>Praha</t>
  </si>
  <si>
    <t>nájem</t>
  </si>
  <si>
    <t>Stavební spoření</t>
  </si>
  <si>
    <t>byt</t>
  </si>
  <si>
    <t>Rezerva/BÚ,SÚ</t>
  </si>
  <si>
    <t>ano</t>
  </si>
  <si>
    <t>II.pilíř</t>
  </si>
  <si>
    <t>ne</t>
  </si>
  <si>
    <t>mateřská dovolená</t>
  </si>
  <si>
    <t>základní</t>
  </si>
  <si>
    <t>u rodičů</t>
  </si>
  <si>
    <t>vyučená/ý</t>
  </si>
  <si>
    <t>vysokoškolské - 2st</t>
  </si>
  <si>
    <t>vysokoškolské - 1st</t>
  </si>
  <si>
    <t>ženatý/vdaná</t>
  </si>
  <si>
    <t>svobodný/á</t>
  </si>
  <si>
    <t>rozvedený/á</t>
  </si>
  <si>
    <t>Středočeský kraj - Kladno</t>
  </si>
  <si>
    <t>Středočeský kraj - obec</t>
  </si>
  <si>
    <t>Pravidelné investice/měsíc</t>
  </si>
  <si>
    <t>Jednorázové investice</t>
  </si>
  <si>
    <t>podnikatel/ka</t>
  </si>
  <si>
    <t>manažer/ka, ředitel/ka</t>
  </si>
  <si>
    <t>*Středočeský kraj - obec = obce do 20000 obyvatel ve Středočeském kraji</t>
  </si>
  <si>
    <t>*vysokoškolské - 1st = studium zakončené státní zkouškou a ziskem titulu bakalář</t>
  </si>
  <si>
    <t>manuální pracovník/ce</t>
  </si>
  <si>
    <t>nezaměstnaný/á</t>
  </si>
  <si>
    <t>státní zaměstnanec/kyně</t>
  </si>
  <si>
    <t>pracovník/ce v administrativě</t>
  </si>
  <si>
    <t>*pracovník/ce v administrativě = např. účetní, bankéř, úředník atp.</t>
  </si>
  <si>
    <t>*státní zaměstnanec/kyně = např. policista, lékař, zdrav. sestra, učitelka atp.</t>
  </si>
  <si>
    <t>*podnikatel = vlastní OSVČ, příp. vlastní společnost atp.</t>
  </si>
  <si>
    <t>*vysokoškolské - 2st = studium zakončené státní zkouškou a ziskem titulu Ing./Mgr. - pro účely této práce zahrnuty i osoby s vyšším dosaženým titulem</t>
  </si>
  <si>
    <t>*zvýrazněné dvojice tvoří společnou domácnost</t>
  </si>
  <si>
    <t>*ženy, které jsou momentálně na mateřské dovolené a v tabulce je rovněž uveden jejich partner mají záměrně zkreslenou bilanci příjmů a výdajů, přičemž všechny jejich další výdaje jsou přičteny právě partnerovi</t>
  </si>
  <si>
    <t>Počet účastníků</t>
  </si>
  <si>
    <t>Podíl na celkovém počtu</t>
  </si>
  <si>
    <t>Lidé žijící v Praze</t>
  </si>
  <si>
    <t>Lidé žijící ve Středočeském kraji - obec</t>
  </si>
  <si>
    <t>Lidé žijící v Kladně</t>
  </si>
  <si>
    <t>Celkem</t>
  </si>
  <si>
    <t>Věková struktura</t>
  </si>
  <si>
    <t>Muž</t>
  </si>
  <si>
    <t>Žena</t>
  </si>
  <si>
    <t>Rodinný stav</t>
  </si>
  <si>
    <t>18-25</t>
  </si>
  <si>
    <t>46-65</t>
  </si>
  <si>
    <t>Žádné</t>
  </si>
  <si>
    <t>Jedno</t>
  </si>
  <si>
    <t>Dvě</t>
  </si>
  <si>
    <t>Tři</t>
  </si>
  <si>
    <t>Úroveň nejvyššího dosaženého vzdělání</t>
  </si>
  <si>
    <t>Základní</t>
  </si>
  <si>
    <t>Střední bez maturity (vyučení)</t>
  </si>
  <si>
    <t>Střední s maturitou</t>
  </si>
  <si>
    <t>Svobodný/á</t>
  </si>
  <si>
    <t>Rozvedený/á</t>
  </si>
  <si>
    <t>Ženatý/vdaná</t>
  </si>
  <si>
    <t>Vysokoškolské prvního stupně (Bc.)</t>
  </si>
  <si>
    <t>Vysokoškolské druhého stupně</t>
  </si>
  <si>
    <t>Manuální pracovník/ce</t>
  </si>
  <si>
    <t>Pracovník/ce v administrativě</t>
  </si>
  <si>
    <t>Mateřská dovolená</t>
  </si>
  <si>
    <t>Státní zaměstnanec/kyně</t>
  </si>
  <si>
    <t>Manažer/ka, ředitel/ka</t>
  </si>
  <si>
    <t>Podnikatel/ka</t>
  </si>
  <si>
    <t>Nezaměstaný</t>
  </si>
  <si>
    <t>Bydlení v nájmu</t>
  </si>
  <si>
    <t>Vlastní byt</t>
  </si>
  <si>
    <t>U rodičů</t>
  </si>
  <si>
    <t>Vlastní dům</t>
  </si>
  <si>
    <t>26-35</t>
  </si>
  <si>
    <t>36-45</t>
  </si>
  <si>
    <t>*manuální pracovník/ce = např. prodavač, uklížečka, skladník, dělník atp.</t>
  </si>
  <si>
    <t>Typ zaměstnání</t>
  </si>
  <si>
    <t>Průměr z hrubých příjmů</t>
  </si>
  <si>
    <t>Celkový průměr</t>
  </si>
  <si>
    <t>Nejvyšší dosažené vzdělání</t>
  </si>
  <si>
    <t>Místo trvalého bydliště</t>
  </si>
  <si>
    <t>Závislost nejvyššího dosaženého vzdělání na celkových příjmech</t>
  </si>
  <si>
    <t>Závislost typu zaměstnání na celkových příjmech</t>
  </si>
  <si>
    <t>Závislost místa bydliště na celkových příjmech</t>
  </si>
  <si>
    <t>Závislost pohlaví na celkových příjmech</t>
  </si>
  <si>
    <t>Celkový součet</t>
  </si>
  <si>
    <t>(Více položek)</t>
  </si>
  <si>
    <t>Celkový soubor osob</t>
  </si>
  <si>
    <t>Celkový počet osob</t>
  </si>
  <si>
    <t>Maximální půjčená částka</t>
  </si>
  <si>
    <t>Minimální půjčená částka</t>
  </si>
  <si>
    <t>Průměrná půjčená částka</t>
  </si>
  <si>
    <t>Počet spotřebitelských úvěrů</t>
  </si>
  <si>
    <t>Hypoteční úvěry a úvěry ze stavebního spoření</t>
  </si>
  <si>
    <t>Počet hypotečních úvěrů a úvěrů ze stavebního spoření</t>
  </si>
  <si>
    <t>Spotřebitelské úvěry</t>
  </si>
  <si>
    <t>Počet osob, které vstoupily do II. pilíře</t>
  </si>
  <si>
    <t xml:space="preserve">Spoření na důchod ve II. pilíři
Spoření na důchod ve II. pilíři
Spoření na důchod ve II. pilíři
</t>
  </si>
  <si>
    <t>Poměr osob, které vstoupili do II. Pilíře</t>
  </si>
  <si>
    <t>Průměrná spořená částka</t>
  </si>
  <si>
    <t>Počet osob, majících uzavřené životní pojištění</t>
  </si>
  <si>
    <t>Průměrná měsíční částka</t>
  </si>
  <si>
    <t>Minimální měsíční částka</t>
  </si>
  <si>
    <t>Maximální měsíční částka</t>
  </si>
  <si>
    <t>Pravidelné měsíční investice do podílových fondů</t>
  </si>
  <si>
    <t>Počet osob pravidelně investujících v podílových fondech</t>
  </si>
  <si>
    <t>Průměrná investovaná částka</t>
  </si>
  <si>
    <t>Jednorázové a jiné investice</t>
  </si>
  <si>
    <t>Jednorázové investice do podílových fondů</t>
  </si>
  <si>
    <t>Jiné investice (např. nemovitosti)</t>
  </si>
  <si>
    <t>Minimální investovaná částka</t>
  </si>
  <si>
    <t>Maximální investovaná částka</t>
  </si>
  <si>
    <t>Počet osob, jednorázově investujících do podílových fondů</t>
  </si>
  <si>
    <t>Poměr osob, jednorázově investujících v podílových fondech</t>
  </si>
  <si>
    <t>Průměrná jednorázová investice do podílových fondů</t>
  </si>
  <si>
    <t>Závislost věku na celkových měsíčních výdajích</t>
  </si>
  <si>
    <t>Závislost nejvyššího dosaženého vzdělání na celkových měsíčních výdajích</t>
  </si>
  <si>
    <t>Závislost počtu dětí na celkových měsíčních výdajích</t>
  </si>
  <si>
    <t>Závislost věku na celkových měsíčních příjmech</t>
  </si>
  <si>
    <t>Průměrné měsíční výdaje</t>
  </si>
  <si>
    <t>Závislost místa bydliště na celkových měsíčních výdajích</t>
  </si>
  <si>
    <t>Počet osob s uzavřeným majetkovým pojištěním</t>
  </si>
  <si>
    <t>Průměrná pojistná částka</t>
  </si>
  <si>
    <t>Minimální pojistná částka</t>
  </si>
  <si>
    <t>Maximální pojistná částka</t>
  </si>
  <si>
    <t>Povinné ručení a havarijní pojištění</t>
  </si>
  <si>
    <t>Poměr osob s uzavřeným povinným ručením/havarijním pojištěním</t>
  </si>
  <si>
    <t>Poměr osob s neuzavřeným povinným ručením/havarijním pojištěním</t>
  </si>
  <si>
    <t>Počet osob s uzavřeným povinným ručením/havarijním pojištěním</t>
  </si>
  <si>
    <t>Počet osob, pravidelně spořících ve stavebním spoření</t>
  </si>
  <si>
    <t>Minimální spořená částka</t>
  </si>
  <si>
    <t>Maximální spořená částka</t>
  </si>
  <si>
    <t>Povinné ručení, havarijní poj.</t>
  </si>
  <si>
    <t>Hypotéky, úvěry ze stavebního spoření</t>
  </si>
  <si>
    <t>Vztah k tvorbě rezerv</t>
  </si>
  <si>
    <t>Průměrná výše rezervy na osobním/spořícím účtu</t>
  </si>
  <si>
    <t>Minimální výše rezervy</t>
  </si>
  <si>
    <t>Průměrná výše rezervy</t>
  </si>
  <si>
    <t>Maximální výše rezervy</t>
  </si>
  <si>
    <t>Počet osob, vlastnících určitou fin. rezervu na osobním/spořícím účtu</t>
  </si>
  <si>
    <t>Zodpovědnost dlužníka hypotečního úvěru - vztah životního pojištění</t>
  </si>
  <si>
    <t>Ano</t>
  </si>
  <si>
    <t>Ne</t>
  </si>
  <si>
    <t>Celkový počet životních pojištění</t>
  </si>
  <si>
    <t>Celkový počet hypotečních úvěrů</t>
  </si>
  <si>
    <t>Poměr vzhledem k celkovému souboru osob</t>
  </si>
  <si>
    <t>Hypoteční úvěr</t>
  </si>
  <si>
    <t>Pojištěné osoby s uzavřeným hypotečním úvěrem</t>
  </si>
  <si>
    <t>0 dětí</t>
  </si>
  <si>
    <t>1 dítě</t>
  </si>
  <si>
    <t>2 děti</t>
  </si>
  <si>
    <t>3 děti</t>
  </si>
  <si>
    <t>Pojištěné osoby s uzavřeným hypotečním úvěrem dle pohlaví</t>
  </si>
  <si>
    <t>Pojištěné osoby s uzavřeným hypotečním úvěrem dle rodinného stavu</t>
  </si>
  <si>
    <t>Pojištěné osoby s uzavřeným hypotečním úvěrem dle počtu dětí</t>
  </si>
  <si>
    <t>Pojištěné osoby s uzavřeným hyp. úvěrem</t>
  </si>
  <si>
    <t>Nepojištěné osoby s uzavřeným hyp. úvěrem</t>
  </si>
  <si>
    <t>Osoby, vlastnící určitou fin. rezervu na osobním/spořícím účtu</t>
  </si>
  <si>
    <t>Osoby, nevlastnící fin. rezervu na osobním/spořícím účtu</t>
  </si>
  <si>
    <t>Osoby, které vstoupily do II. Pilíře</t>
  </si>
  <si>
    <t>Osoby, které nevstoupily do II. Pilíře</t>
  </si>
  <si>
    <t>Osoby, mající uzavřené životní pojištění</t>
  </si>
  <si>
    <t>Osoby, nemající uzavřené životní pojištění</t>
  </si>
  <si>
    <t>Osoby, neinvestující v podílových fondech</t>
  </si>
  <si>
    <t>Osoby, pravidelně investujících v podílových fondech</t>
  </si>
  <si>
    <t>Jednorázově investující osoby (nemovitosti, podílové fondy)</t>
  </si>
  <si>
    <t>Jednorázově neinvestující osoby (nemovitosti, podílové fondy)</t>
  </si>
  <si>
    <t>Osoby, pravidelně spořící ve stavebním spoření</t>
  </si>
  <si>
    <t>Osoby, pravidelně nespořících ve stavebním spoření</t>
  </si>
  <si>
    <t>Osoby, mající hypoteční úvěr, příp. úvěr ze stavebního spoření</t>
  </si>
  <si>
    <t>Osoby, nemající hypoteční úvěr, příp. úvěr ze stavebního spoření</t>
  </si>
  <si>
    <t>Osoby, mající spotřebitelský úvěr</t>
  </si>
  <si>
    <t>Osoby, nemající spotřebitelský úvěr</t>
  </si>
  <si>
    <t>Osoby s neuzavřeným majetkovým pojištěním</t>
  </si>
  <si>
    <t>Osoby s uzavřeným majetkovým pojištěním</t>
  </si>
  <si>
    <t>Popisky řádků</t>
  </si>
  <si>
    <t>Skupina1</t>
  </si>
  <si>
    <t>Skupina2</t>
  </si>
  <si>
    <t>Skupina3</t>
  </si>
  <si>
    <t>Skupina4</t>
  </si>
  <si>
    <t>18-25 let</t>
  </si>
  <si>
    <t>Skupina5</t>
  </si>
  <si>
    <t>56-65 let</t>
  </si>
  <si>
    <t>18 - 25 let</t>
  </si>
  <si>
    <t>36 - 45 let</t>
  </si>
  <si>
    <t>26 - 35 let</t>
  </si>
  <si>
    <t>46 - 55 let</t>
  </si>
  <si>
    <t>56 - 65 let</t>
  </si>
  <si>
    <t>Závislost věku osob na celkové bilanci</t>
  </si>
  <si>
    <t>Průměr z Bilance</t>
  </si>
  <si>
    <t>Průměr z Hypotéky, úvěry ze s.</t>
  </si>
  <si>
    <t>Závislost typu bydlení na celkových měsíčních výdajích</t>
  </si>
  <si>
    <t>Průměr z Rezerva/BÚ,SÚ</t>
  </si>
  <si>
    <t>Doplňkové penzijní spoření</t>
  </si>
  <si>
    <t>Osoby, spořící v doplňkovém penzijním spoření</t>
  </si>
  <si>
    <t>Osoby, nespořící v doplňkovém penzijním spoření</t>
  </si>
  <si>
    <t>46 - 65 let</t>
  </si>
  <si>
    <t>Počet osob spořících v doplňkovém penzijním spoření</t>
  </si>
  <si>
    <t>Počet osob, jednorázově investujících do nemovitostí</t>
  </si>
  <si>
    <t>Průměrná jednorázová investice do nemovitostí</t>
  </si>
  <si>
    <t>Povolání</t>
  </si>
  <si>
    <t>Průměr z Spotřebitelský úvěr</t>
  </si>
  <si>
    <t>3 a více</t>
  </si>
  <si>
    <t>Průměrná spořená částka ve stavebním spoření</t>
  </si>
  <si>
    <t>Poměr osob, jednorázově investujících do nemovitostí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</si>
</sst>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double">
        <color theme="5" tint="0.59996337778862885"/>
      </top>
      <bottom/>
      <diagonal/>
    </border>
    <border>
      <left/>
      <right/>
      <top/>
      <bottom style="double">
        <color theme="3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theme="5"/>
      </top>
      <bottom/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1" fillId="0" borderId="2" applyNumberFormat="0" applyFill="0" applyAlignment="0" applyProtection="0"/>
    <xf numFmtId="0" fontId="3" fillId="6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/>
    <xf numFmtId="0" fontId="3" fillId="6" borderId="0" xfId="3"/>
    <xf numFmtId="0" fontId="3" fillId="6" borderId="0" xfId="3" applyAlignment="1">
      <alignment horizontal="right"/>
    </xf>
    <xf numFmtId="10" fontId="3" fillId="6" borderId="0" xfId="3" applyNumberFormat="1"/>
    <xf numFmtId="10" fontId="3" fillId="6" borderId="0" xfId="3" applyNumberFormat="1" applyAlignment="1">
      <alignment horizontal="right"/>
    </xf>
    <xf numFmtId="0" fontId="4" fillId="0" borderId="1" xfId="1"/>
    <xf numFmtId="0" fontId="4" fillId="0" borderId="1" xfId="1" applyAlignment="1">
      <alignment horizontal="right"/>
    </xf>
    <xf numFmtId="0" fontId="1" fillId="0" borderId="2" xfId="2" applyAlignment="1">
      <alignment horizontal="right"/>
    </xf>
    <xf numFmtId="10" fontId="1" fillId="0" borderId="2" xfId="2" applyNumberFormat="1" applyAlignment="1">
      <alignment horizontal="right"/>
    </xf>
    <xf numFmtId="0" fontId="0" fillId="7" borderId="0" xfId="0" applyFill="1"/>
    <xf numFmtId="0" fontId="0" fillId="0" borderId="0" xfId="0" applyAlignment="1">
      <alignment horizontal="left"/>
    </xf>
    <xf numFmtId="10" fontId="1" fillId="3" borderId="2" xfId="2" applyNumberFormat="1" applyFill="1"/>
    <xf numFmtId="0" fontId="1" fillId="3" borderId="2" xfId="2" applyFill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3" xfId="0" applyNumberFormat="1" applyBorder="1"/>
    <xf numFmtId="164" fontId="0" fillId="0" borderId="3" xfId="0" applyNumberFormat="1" applyBorder="1"/>
    <xf numFmtId="0" fontId="1" fillId="0" borderId="0" xfId="0" pivotButton="1" applyFont="1"/>
    <xf numFmtId="0" fontId="1" fillId="0" borderId="0" xfId="0" pivotButton="1" applyFont="1" applyAlignment="1">
      <alignment horizontal="left"/>
    </xf>
    <xf numFmtId="0" fontId="0" fillId="7" borderId="5" xfId="0" applyFill="1" applyBorder="1"/>
    <xf numFmtId="0" fontId="0" fillId="0" borderId="5" xfId="0" applyBorder="1"/>
    <xf numFmtId="0" fontId="0" fillId="0" borderId="0" xfId="0" applyAlignment="1">
      <alignment horizontal="left"/>
    </xf>
    <xf numFmtId="164" fontId="0" fillId="0" borderId="0" xfId="0" applyNumberFormat="1" applyBorder="1"/>
    <xf numFmtId="10" fontId="0" fillId="0" borderId="0" xfId="0" applyNumberFormat="1"/>
    <xf numFmtId="10" fontId="1" fillId="0" borderId="6" xfId="0" applyNumberFormat="1" applyFont="1" applyBorder="1"/>
    <xf numFmtId="0" fontId="0" fillId="0" borderId="0" xfId="0" applyFont="1" applyAlignment="1">
      <alignment horizontal="center"/>
    </xf>
    <xf numFmtId="0" fontId="1" fillId="3" borderId="7" xfId="2" applyFill="1" applyBorder="1" applyAlignment="1">
      <alignment horizontal="left"/>
    </xf>
    <xf numFmtId="10" fontId="1" fillId="3" borderId="7" xfId="2" applyNumberFormat="1" applyFill="1" applyBorder="1"/>
    <xf numFmtId="0" fontId="0" fillId="0" borderId="6" xfId="0" applyFont="1" applyBorder="1"/>
    <xf numFmtId="10" fontId="0" fillId="0" borderId="6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5" fillId="7" borderId="9" xfId="0" applyFont="1" applyFill="1" applyBorder="1" applyAlignment="1">
      <alignment horizontal="left"/>
    </xf>
    <xf numFmtId="0" fontId="0" fillId="7" borderId="9" xfId="0" applyFill="1" applyBorder="1"/>
    <xf numFmtId="0" fontId="5" fillId="7" borderId="9" xfId="0" applyFont="1" applyFill="1" applyBorder="1"/>
    <xf numFmtId="0" fontId="6" fillId="0" borderId="0" xfId="0" applyFont="1"/>
    <xf numFmtId="0" fontId="0" fillId="0" borderId="0" xfId="0" applyAlignment="1">
      <alignment horizontal="left"/>
    </xf>
    <xf numFmtId="0" fontId="5" fillId="7" borderId="5" xfId="0" applyFont="1" applyFill="1" applyBorder="1" applyAlignment="1">
      <alignment horizontal="left"/>
    </xf>
    <xf numFmtId="0" fontId="0" fillId="0" borderId="0" xfId="0" applyFill="1"/>
    <xf numFmtId="0" fontId="1" fillId="0" borderId="0" xfId="0" applyFont="1"/>
    <xf numFmtId="0" fontId="0" fillId="0" borderId="5" xfId="0" applyFill="1" applyBorder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4" xfId="0" applyFill="1" applyBorder="1"/>
    <xf numFmtId="0" fontId="1" fillId="0" borderId="2" xfId="2" applyFill="1" applyAlignment="1">
      <alignment horizontal="left"/>
    </xf>
    <xf numFmtId="10" fontId="1" fillId="0" borderId="2" xfId="2" applyNumberFormat="1" applyFill="1"/>
    <xf numFmtId="10" fontId="0" fillId="0" borderId="0" xfId="0" applyNumberFormat="1" applyFill="1"/>
    <xf numFmtId="0" fontId="0" fillId="0" borderId="8" xfId="0" applyFill="1" applyBorder="1"/>
    <xf numFmtId="164" fontId="0" fillId="0" borderId="0" xfId="0" applyNumberFormat="1" applyFill="1" applyBorder="1"/>
    <xf numFmtId="164" fontId="1" fillId="0" borderId="0" xfId="0" applyNumberFormat="1" applyFont="1"/>
    <xf numFmtId="0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0" xfId="0" applyNumberFormat="1" applyBorder="1"/>
    <xf numFmtId="164" fontId="0" fillId="0" borderId="10" xfId="0" applyNumberFormat="1" applyBorder="1"/>
    <xf numFmtId="10" fontId="1" fillId="0" borderId="10" xfId="0" applyNumberFormat="1" applyFont="1" applyBorder="1"/>
    <xf numFmtId="0" fontId="0" fillId="0" borderId="0" xfId="0" applyNumberFormat="1" applyAlignment="1">
      <alignment horizontal="right"/>
    </xf>
    <xf numFmtId="0" fontId="3" fillId="3" borderId="2" xfId="2" applyFont="1" applyFill="1" applyAlignment="1">
      <alignment horizontal="left"/>
    </xf>
    <xf numFmtId="10" fontId="3" fillId="3" borderId="2" xfId="2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Border="1"/>
    <xf numFmtId="10" fontId="1" fillId="0" borderId="0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7" borderId="9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8" fillId="7" borderId="9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pivotButton="1" applyFont="1" applyAlignment="1"/>
    <xf numFmtId="0" fontId="0" fillId="0" borderId="0" xfId="0" applyAlignment="1"/>
    <xf numFmtId="164" fontId="0" fillId="0" borderId="0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right"/>
    </xf>
  </cellXfs>
  <cellStyles count="4">
    <cellStyle name="20 % – Zvýraznění1" xfId="3" builtinId="30"/>
    <cellStyle name="Celkem" xfId="2" builtinId="25"/>
    <cellStyle name="Nadpis 3" xfId="1" builtinId="18"/>
    <cellStyle name="Normální" xfId="0" builtinId="0"/>
  </cellStyles>
  <dxfs count="413">
    <dxf>
      <alignment horizontal="center" readingOrder="0"/>
    </dxf>
    <dxf>
      <font>
        <b/>
      </font>
    </dxf>
    <dxf>
      <numFmt numFmtId="164" formatCode="#,##0.00\ &quot;Kč&quot;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font>
        <b/>
      </font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numFmt numFmtId="164" formatCode="#,##0.00\ &quot;Kč&quot;"/>
    </dxf>
    <dxf>
      <border>
        <bottom style="double">
          <color theme="4"/>
        </bottom>
      </border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border>
        <bottom style="double">
          <color theme="4"/>
        </bottom>
      </border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border>
        <bottom style="double">
          <color theme="4"/>
        </bottom>
      </border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border>
        <bottom style="double">
          <color theme="4"/>
        </bottom>
      </border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alignment horizontal="right" readingOrder="0"/>
    </dxf>
    <dxf>
      <alignment horizontal="left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center" readingOrder="0"/>
    </dxf>
    <dxf>
      <numFmt numFmtId="0" formatCode="General"/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font>
        <b/>
      </font>
    </dxf>
    <dxf>
      <font>
        <b/>
      </font>
    </dxf>
    <dxf>
      <font>
        <b/>
      </font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font>
        <b/>
      </font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numFmt numFmtId="164" formatCode="#,##0.00\ &quot;Kč&quot;"/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ont>
        <b/>
      </font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alignment horizontal="left" readingOrder="0"/>
    </dxf>
    <dxf>
      <numFmt numFmtId="164" formatCode="#,##0.00\ &quot;Kč&quot;"/>
    </dxf>
    <dxf>
      <alignment horizontal="center" readingOrder="0"/>
    </dxf>
    <dxf>
      <font>
        <b/>
      </font>
    </dxf>
    <dxf>
      <font>
        <b/>
      </font>
    </dxf>
    <dxf>
      <numFmt numFmtId="164" formatCode="#,##0.00\ &quot;Kč&quot;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border>
        <bottom style="double">
          <color theme="4"/>
        </bottom>
      </border>
    </dxf>
    <dxf>
      <alignment horizontal="left" readingOrder="0"/>
    </dxf>
    <dxf>
      <border>
        <bottom style="double">
          <color theme="4"/>
        </bottom>
      </border>
    </dxf>
    <dxf>
      <alignment horizontal="left" readingOrder="0"/>
    </dxf>
    <dxf>
      <border>
        <bottom style="double">
          <color theme="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numFmt numFmtId="164" formatCode="#,##0.00\ &quot;Kč&quot;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alignment horizontal="left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alignment horizontal="left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border>
        <bottom style="double">
          <color theme="4"/>
        </bottom>
      </border>
    </dxf>
    <dxf>
      <numFmt numFmtId="164" formatCode="#,##0.00\ &quot;Kč&quot;"/>
    </dxf>
    <dxf>
      <font>
        <b/>
      </font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border>
        <bottom style="double">
          <color theme="4"/>
        </bottom>
      </border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border>
        <bottom style="double">
          <color theme="4"/>
        </bottom>
      </border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left" readingOrder="0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alignment horizontal="center" readingOrder="0"/>
    </dxf>
    <dxf>
      <alignment horizontal="center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numFmt numFmtId="164" formatCode="#,##0.00\ &quot;Kč&quot;"/>
    </dxf>
    <dxf>
      <numFmt numFmtId="164" formatCode="#,##0.00\ &quot;Kč&quot;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border>
        <bottom style="double">
          <color theme="4"/>
        </bottom>
      </border>
    </dxf>
    <dxf>
      <numFmt numFmtId="164" formatCode="#,##0.00\ &quot;Kč&quot;"/>
    </dxf>
    <dxf>
      <border>
        <bottom style="double">
          <color theme="4"/>
        </bottom>
      </border>
    </dxf>
    <dxf>
      <alignment horizontal="left" readingOrder="0"/>
    </dxf>
    <dxf>
      <numFmt numFmtId="164" formatCode="#,##0.00\ &quot;Kč&quot;"/>
    </dxf>
    <dxf>
      <font>
        <b/>
      </font>
    </dxf>
    <dxf>
      <font>
        <b/>
      </font>
    </dxf>
    <dxf>
      <alignment horizontal="center" readingOrder="0"/>
    </dxf>
    <dxf>
      <numFmt numFmtId="164" formatCode="#,##0.00\ &quot;Kč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 spořících v doplňkovém penzijním spoření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produktů'!$A$8:$A$9</c:f>
              <c:strCache>
                <c:ptCount val="2"/>
                <c:pt idx="0">
                  <c:v>Osoby, spořící v doplňkovém penzijním spoření</c:v>
                </c:pt>
                <c:pt idx="1">
                  <c:v>Osoby, nespořící v doplňkovém penzijním spoření</c:v>
                </c:pt>
              </c:strCache>
            </c:strRef>
          </c:cat>
          <c:val>
            <c:numRef>
              <c:f>'Identifikace fin. produktů'!$D$8:$D$9</c:f>
              <c:numCache>
                <c:formatCode>0.00%</c:formatCode>
                <c:ptCount val="2"/>
                <c:pt idx="0">
                  <c:v>0.73142857142857143</c:v>
                </c:pt>
                <c:pt idx="1">
                  <c:v>0.26857142857142857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Spoření na důchod ve II. pilíři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produktů'!$A$45:$A$46</c:f>
              <c:strCache>
                <c:ptCount val="2"/>
                <c:pt idx="0">
                  <c:v>Osoby, které vstoupily do II. Pilíře</c:v>
                </c:pt>
                <c:pt idx="1">
                  <c:v>Osoby, které nevstoupily do II. Pilíře</c:v>
                </c:pt>
              </c:strCache>
            </c:strRef>
          </c:cat>
          <c:val>
            <c:numRef>
              <c:f>'Identifikace fin. produktů'!$B$45:$B$46</c:f>
              <c:numCache>
                <c:formatCode>0.00%</c:formatCode>
                <c:ptCount val="2"/>
                <c:pt idx="0">
                  <c:v>0.10285714285714286</c:v>
                </c:pt>
                <c:pt idx="1">
                  <c:v>0.89714285714285713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 pravidelně investujících v podílových fondech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produktů'!$A$118:$A$119</c:f>
              <c:strCache>
                <c:ptCount val="2"/>
                <c:pt idx="0">
                  <c:v>Osoby, pravidelně investujících v podílových fondech</c:v>
                </c:pt>
                <c:pt idx="1">
                  <c:v>Osoby, neinvestující v podílových fondech</c:v>
                </c:pt>
              </c:strCache>
            </c:strRef>
          </c:cat>
          <c:val>
            <c:numRef>
              <c:f>'Identifikace fin. produktů'!$D$118:$D$119</c:f>
              <c:numCache>
                <c:formatCode>0.00%</c:formatCode>
                <c:ptCount val="2"/>
                <c:pt idx="0">
                  <c:v>0.34857142857142859</c:v>
                </c:pt>
                <c:pt idx="1">
                  <c:v>0.65142857142857147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osob, jednorázově investujících (nemovitosti, podílové fondy)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produktů'!$A$179:$A$180</c:f>
              <c:strCache>
                <c:ptCount val="2"/>
                <c:pt idx="0">
                  <c:v>Jednorázově investující osoby (nemovitosti, podílové fondy)</c:v>
                </c:pt>
                <c:pt idx="1">
                  <c:v>Jednorázově neinvestující osoby (nemovitosti, podílové fondy)</c:v>
                </c:pt>
              </c:strCache>
            </c:strRef>
          </c:cat>
          <c:val>
            <c:numRef>
              <c:f>'Identifikace fin. produktů'!$D$179:$D$180</c:f>
              <c:numCache>
                <c:formatCode>0.00%</c:formatCode>
                <c:ptCount val="2"/>
                <c:pt idx="0">
                  <c:v>0.17714285714285716</c:v>
                </c:pt>
                <c:pt idx="1">
                  <c:v>0.82285714285714284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osob, pravidelně spořících ve stavebním spoření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produktů'!$A$223:$A$224</c:f>
              <c:strCache>
                <c:ptCount val="2"/>
                <c:pt idx="0">
                  <c:v>Osoby, pravidelně spořící ve stavebním spoření</c:v>
                </c:pt>
                <c:pt idx="1">
                  <c:v>Osoby, pravidelně nespořících ve stavebním spoření</c:v>
                </c:pt>
              </c:strCache>
            </c:strRef>
          </c:cat>
          <c:val>
            <c:numRef>
              <c:f>'Identifikace fin. produktů'!$D$223:$D$224</c:f>
              <c:numCache>
                <c:formatCode>0.00%</c:formatCode>
                <c:ptCount val="2"/>
                <c:pt idx="0">
                  <c:v>0.19428571428571428</c:v>
                </c:pt>
                <c:pt idx="1">
                  <c:v>0.80571428571428572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osob, majících hypoteční úvěr, úvěr ze stavebního spoření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produktů'!$A$252:$A$253</c:f>
              <c:strCache>
                <c:ptCount val="2"/>
                <c:pt idx="0">
                  <c:v>Osoby, mající hypoteční úvěr, příp. úvěr ze stavebního spoření</c:v>
                </c:pt>
                <c:pt idx="1">
                  <c:v>Osoby, nemající hypoteční úvěr, příp. úvěr ze stavebního spoření</c:v>
                </c:pt>
              </c:strCache>
            </c:strRef>
          </c:cat>
          <c:val>
            <c:numRef>
              <c:f>'Identifikace fin. produktů'!$D$252:$D$253</c:f>
              <c:numCache>
                <c:formatCode>0.00%</c:formatCode>
                <c:ptCount val="2"/>
                <c:pt idx="0">
                  <c:v>0.37714285714285717</c:v>
                </c:pt>
                <c:pt idx="1">
                  <c:v>0.62285714285714278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spotřebitelských úvěrů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produktů'!$A$299:$A$300</c:f>
              <c:strCache>
                <c:ptCount val="2"/>
                <c:pt idx="0">
                  <c:v>Osoby, mající spotřebitelský úvěr</c:v>
                </c:pt>
                <c:pt idx="1">
                  <c:v>Osoby, nemající spotřebitelský úvěr</c:v>
                </c:pt>
              </c:strCache>
            </c:strRef>
          </c:cat>
          <c:val>
            <c:numRef>
              <c:f>'Identifikace fin. produktů'!$D$299:$D$300</c:f>
              <c:numCache>
                <c:formatCode>0.00%</c:formatCode>
                <c:ptCount val="2"/>
                <c:pt idx="0">
                  <c:v>0.19428571428571428</c:v>
                </c:pt>
                <c:pt idx="1">
                  <c:v>0.80571428571428572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 s uzavřeným majetkovým pojištěním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'Identifikace fin. produktů'!$A$337:$A$338</c:f>
              <c:strCache>
                <c:ptCount val="2"/>
                <c:pt idx="0">
                  <c:v>Osoby s uzavřeným majetkovým pojištěním</c:v>
                </c:pt>
                <c:pt idx="1">
                  <c:v>Osoby s neuzavřeným majetkovým pojištěním</c:v>
                </c:pt>
              </c:strCache>
            </c:strRef>
          </c:cat>
          <c:val>
            <c:numRef>
              <c:f>'Identifikace fin. produktů'!$D$337:$D$338</c:f>
              <c:numCache>
                <c:formatCode>0.00%</c:formatCode>
                <c:ptCount val="2"/>
                <c:pt idx="0">
                  <c:v>0.38857142857142857</c:v>
                </c:pt>
                <c:pt idx="1">
                  <c:v>0.61142857142857143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upravená.xlsx]Identifikace fin. produktů!Kontingenční tabulka 54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'Identifikace fin. produktů'!$B$149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'Identifikace fin. produktů'!$A$150:$A$155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'Identifikace fin. produktů'!$B$150:$B$155</c:f>
              <c:numCache>
                <c:formatCode>#,##0.00\ "Kč"</c:formatCode>
                <c:ptCount val="5"/>
                <c:pt idx="0">
                  <c:v>840.5</c:v>
                </c:pt>
                <c:pt idx="1">
                  <c:v>997.48529411764707</c:v>
                </c:pt>
                <c:pt idx="2">
                  <c:v>954</c:v>
                </c:pt>
                <c:pt idx="3">
                  <c:v>1376.1428571428571</c:v>
                </c:pt>
                <c:pt idx="4">
                  <c:v>697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992384"/>
        <c:axId val="126238016"/>
      </c:barChart>
      <c:catAx>
        <c:axId val="11899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6238016"/>
        <c:crosses val="autoZero"/>
        <c:auto val="1"/>
        <c:lblAlgn val="ctr"/>
        <c:lblOffset val="100"/>
        <c:noMultiLvlLbl val="0"/>
      </c:catAx>
      <c:valAx>
        <c:axId val="12623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Investovaná částka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1899238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upravená.xlsx]Identifikace fin. produktů!Kontingenční tabulka 32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'Identifikace fin. produktů'!$B$23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'Identifikace fin. produktů'!$A$24:$A$29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'Identifikace fin. produktů'!$B$24:$B$29</c:f>
              <c:numCache>
                <c:formatCode>#,##0.00\ "Kč"</c:formatCode>
                <c:ptCount val="5"/>
                <c:pt idx="0">
                  <c:v>325</c:v>
                </c:pt>
                <c:pt idx="1">
                  <c:v>347.32142857142856</c:v>
                </c:pt>
                <c:pt idx="2">
                  <c:v>591.8604651162791</c:v>
                </c:pt>
                <c:pt idx="3">
                  <c:v>611.11111111111109</c:v>
                </c:pt>
                <c:pt idx="4">
                  <c:v>600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6882304"/>
        <c:axId val="127198336"/>
      </c:barChart>
      <c:catAx>
        <c:axId val="1268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198336"/>
        <c:crosses val="autoZero"/>
        <c:auto val="1"/>
        <c:lblAlgn val="ctr"/>
        <c:lblOffset val="100"/>
        <c:noMultiLvlLbl val="0"/>
      </c:catAx>
      <c:valAx>
        <c:axId val="12719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Průměrná spořená částka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688230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upravená.xlsx]Identifikace fin. produktů!Kontingenční tabulka 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dLbl>
          <c:idx val="0"/>
          <c:layout/>
          <c:tx>
            <c:rich>
              <a:bodyPr/>
              <a:lstStyle/>
              <a:p>
                <a:r>
                  <a:rPr lang="cs-CZ"/>
                  <a:t>0,00 kč</a:t>
                </a:r>
                <a:endParaRPr lang="en-US"/>
              </a:p>
            </c:rich>
          </c:tx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'Identifikace fin. produktů'!$B$276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cs-CZ"/>
                      <a:t>0,00 kč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'Identifikace fin. produktů'!$A$277:$A$282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56-65 let</c:v>
                </c:pt>
              </c:strCache>
            </c:strRef>
          </c:cat>
          <c:val>
            <c:numRef>
              <c:f>'Identifikace fin. produktů'!$B$277:$B$282</c:f>
              <c:numCache>
                <c:formatCode>#,##0.00\ "Kč"</c:formatCode>
                <c:ptCount val="5"/>
                <c:pt idx="0">
                  <c:v>1020000</c:v>
                </c:pt>
                <c:pt idx="1">
                  <c:v>1010597.2222222222</c:v>
                </c:pt>
                <c:pt idx="2">
                  <c:v>701740.74074074079</c:v>
                </c:pt>
                <c:pt idx="3">
                  <c:v>436250</c:v>
                </c:pt>
                <c:pt idx="4">
                  <c:v>#N/A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6883328"/>
        <c:axId val="127200064"/>
      </c:barChart>
      <c:catAx>
        <c:axId val="1268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200064"/>
        <c:crosses val="autoZero"/>
        <c:auto val="1"/>
        <c:lblAlgn val="ctr"/>
        <c:lblOffset val="100"/>
        <c:noMultiLvlLbl val="0"/>
      </c:catAx>
      <c:valAx>
        <c:axId val="127200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Výše hypotečního úvěru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6883328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upravená.xlsx]Identifikace fin. produktů!Kontingenční tabulka 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cs-CZ"/>
              <a:t>Závislost věku osob na životním pojištění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'Identifikace fin. produktů'!$B$95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'Identifikace fin. produktů'!$A$96:$A$101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'Identifikace fin. produktů'!$B$96:$B$101</c:f>
              <c:numCache>
                <c:formatCode>#,##0.00\ "Kč"</c:formatCode>
                <c:ptCount val="5"/>
                <c:pt idx="0">
                  <c:v>805.66666666666663</c:v>
                </c:pt>
                <c:pt idx="1">
                  <c:v>830.24</c:v>
                </c:pt>
                <c:pt idx="2">
                  <c:v>1085.3571428571429</c:v>
                </c:pt>
                <c:pt idx="3">
                  <c:v>883.25</c:v>
                </c:pt>
                <c:pt idx="4">
                  <c:v>697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6884352"/>
        <c:axId val="127201792"/>
      </c:barChart>
      <c:catAx>
        <c:axId val="12688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201792"/>
        <c:crosses val="autoZero"/>
        <c:auto val="1"/>
        <c:lblAlgn val="ctr"/>
        <c:lblOffset val="100"/>
        <c:noMultiLvlLbl val="0"/>
      </c:catAx>
      <c:valAx>
        <c:axId val="127201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Průměrná výše pojistné částky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6884352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upravená.xlsx]Identifikace fin. produktů!Kontingenční tabulka 84</c:name>
    <c:fmtId val="3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dLbl>
          <c:idx val="0"/>
          <c:layout/>
          <c:tx>
            <c:rich>
              <a:bodyPr/>
              <a:lstStyle/>
              <a:p>
                <a:r>
                  <a:rPr lang="cs-CZ"/>
                  <a:t>0,00</a:t>
                </a:r>
                <a:r>
                  <a:rPr lang="cs-CZ" baseline="0"/>
                  <a:t> Kč</a:t>
                </a:r>
                <a:endParaRPr lang="en-US"/>
              </a:p>
            </c:rich>
          </c:tx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'Identifikace fin. produktů'!$B$129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cs-CZ"/>
                      <a:t>0,00</a:t>
                    </a:r>
                    <a:r>
                      <a:rPr lang="cs-CZ" baseline="0"/>
                      <a:t> Kč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'Identifikace fin. produktů'!$A$130:$A$135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'Identifikace fin. produktů'!$B$130:$B$135</c:f>
              <c:numCache>
                <c:formatCode>#,##0.00\ "Kč"</c:formatCode>
                <c:ptCount val="5"/>
                <c:pt idx="0">
                  <c:v>#N/A</c:v>
                </c:pt>
                <c:pt idx="1">
                  <c:v>835</c:v>
                </c:pt>
                <c:pt idx="2">
                  <c:v>1709.375</c:v>
                </c:pt>
                <c:pt idx="3">
                  <c:v>1800</c:v>
                </c:pt>
                <c:pt idx="4">
                  <c:v>1487.5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6885376"/>
        <c:axId val="127203520"/>
      </c:barChart>
      <c:catAx>
        <c:axId val="126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203520"/>
        <c:crosses val="autoZero"/>
        <c:auto val="1"/>
        <c:lblAlgn val="ctr"/>
        <c:lblOffset val="100"/>
        <c:noMultiLvlLbl val="0"/>
      </c:catAx>
      <c:valAx>
        <c:axId val="127203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Průměrná měsíčně investovaná částka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6885376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 s uzavřeným životním pojištěním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'Identifikace fin. produktů'!$A$72:$A$73</c:f>
              <c:strCache>
                <c:ptCount val="2"/>
                <c:pt idx="0">
                  <c:v>Osoby, mající uzavřené životní pojištění</c:v>
                </c:pt>
                <c:pt idx="1">
                  <c:v>Osoby, nemající uzavřené životní pojištění</c:v>
                </c:pt>
              </c:strCache>
            </c:strRef>
          </c:cat>
          <c:val>
            <c:numRef>
              <c:f>'Identifikace fin. produktů'!$D$72:$D$73</c:f>
              <c:numCache>
                <c:formatCode>0.00%</c:formatCode>
                <c:ptCount val="2"/>
                <c:pt idx="0">
                  <c:v>0.78857142857142859</c:v>
                </c:pt>
                <c:pt idx="1">
                  <c:v>0.21142857142857141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2</c:name>
    <c:fmtId val="1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Příjmy!$B$23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Příjmy!$A$24:$A$31</c:f>
              <c:strCache>
                <c:ptCount val="7"/>
                <c:pt idx="0">
                  <c:v>nezaměstnaný/á</c:v>
                </c:pt>
                <c:pt idx="1">
                  <c:v>mateřská dovolená</c:v>
                </c:pt>
                <c:pt idx="2">
                  <c:v>manuální pracovník/ce</c:v>
                </c:pt>
                <c:pt idx="3">
                  <c:v>pracovník/ce v administrativě</c:v>
                </c:pt>
                <c:pt idx="4">
                  <c:v>státní zaměstnanec/kyně</c:v>
                </c:pt>
                <c:pt idx="5">
                  <c:v>podnikatel/ka</c:v>
                </c:pt>
                <c:pt idx="6">
                  <c:v>manažer/ka, ředitel/ka</c:v>
                </c:pt>
              </c:strCache>
            </c:strRef>
          </c:cat>
          <c:val>
            <c:numRef>
              <c:f>Příjmy!$B$24:$B$31</c:f>
              <c:numCache>
                <c:formatCode>#,##0.00\ "Kč"</c:formatCode>
                <c:ptCount val="7"/>
                <c:pt idx="0">
                  <c:v>0</c:v>
                </c:pt>
                <c:pt idx="1">
                  <c:v>10809.523809523809</c:v>
                </c:pt>
                <c:pt idx="2">
                  <c:v>21127.272727272728</c:v>
                </c:pt>
                <c:pt idx="3">
                  <c:v>24488.571428571428</c:v>
                </c:pt>
                <c:pt idx="4">
                  <c:v>25386.6</c:v>
                </c:pt>
                <c:pt idx="5">
                  <c:v>39650</c:v>
                </c:pt>
                <c:pt idx="6">
                  <c:v>43550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213504"/>
        <c:axId val="127681664"/>
      </c:barChart>
      <c:catAx>
        <c:axId val="120213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 zaměstnání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7681664"/>
        <c:crosses val="autoZero"/>
        <c:auto val="1"/>
        <c:lblAlgn val="ctr"/>
        <c:lblOffset val="100"/>
        <c:noMultiLvlLbl val="0"/>
      </c:catAx>
      <c:valAx>
        <c:axId val="127681664"/>
        <c:scaling>
          <c:orientation val="minMax"/>
          <c:max val="50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Hrubý měsíční příjem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spPr>
          <a:ln w="9525">
            <a:noFill/>
          </a:ln>
        </c:spPr>
        <c:crossAx val="120213504"/>
        <c:crosses val="autoZero"/>
        <c:crossBetween val="between"/>
        <c:majorUnit val="15000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7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cs-CZ"/>
              <a:t>Závislost nejvyššího dosaženého vzdělání na příjmech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Příjmy!$B$3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Příjmy!$A$4:$A$9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Příjmy!$B$4:$B$9</c:f>
              <c:numCache>
                <c:formatCode>#,##0.00\ "Kč"</c:formatCode>
                <c:ptCount val="5"/>
                <c:pt idx="0">
                  <c:v>29666.666666666668</c:v>
                </c:pt>
                <c:pt idx="1">
                  <c:v>20615</c:v>
                </c:pt>
                <c:pt idx="2">
                  <c:v>25095.604395604394</c:v>
                </c:pt>
                <c:pt idx="3">
                  <c:v>17740</c:v>
                </c:pt>
                <c:pt idx="4">
                  <c:v>27486.91304347826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14528"/>
        <c:axId val="127683392"/>
      </c:barChart>
      <c:catAx>
        <c:axId val="1202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683392"/>
        <c:crosses val="autoZero"/>
        <c:auto val="1"/>
        <c:lblAlgn val="ctr"/>
        <c:lblOffset val="100"/>
        <c:noMultiLvlLbl val="0"/>
      </c:catAx>
      <c:valAx>
        <c:axId val="12768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0214528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horizontalDpi="300" verticalDpi="30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9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Závislost místa bydliště na celkových příjmech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.00\ &quot;Kč&quot;" sourceLinked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Příjmy!$B$43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numFmt formatCode="#,##0.00\ &quot;Kč&quot;" sourceLinked="0"/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Příjmy!$A$44:$A$47</c:f>
              <c:strCache>
                <c:ptCount val="3"/>
                <c:pt idx="0">
                  <c:v>Praha</c:v>
                </c:pt>
                <c:pt idx="1">
                  <c:v>Středočeský kraj - Kladno</c:v>
                </c:pt>
                <c:pt idx="2">
                  <c:v>Středočeský kraj - obec</c:v>
                </c:pt>
              </c:strCache>
            </c:strRef>
          </c:cat>
          <c:val>
            <c:numRef>
              <c:f>Příjmy!$B$44:$B$47</c:f>
              <c:numCache>
                <c:formatCode>#,##0.00\ "Kč"</c:formatCode>
                <c:ptCount val="3"/>
                <c:pt idx="0">
                  <c:v>28447.315789473683</c:v>
                </c:pt>
                <c:pt idx="1">
                  <c:v>20531.81818181818</c:v>
                </c:pt>
                <c:pt idx="2">
                  <c:v>25065.591397849461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15040"/>
        <c:axId val="127685120"/>
      </c:barChart>
      <c:catAx>
        <c:axId val="12021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Místo trvalého bydliště</a:t>
                </a:r>
              </a:p>
            </c:rich>
          </c:tx>
          <c:overlay val="0"/>
        </c:title>
        <c:majorTickMark val="out"/>
        <c:minorTickMark val="none"/>
        <c:tickLblPos val="nextTo"/>
        <c:crossAx val="127685120"/>
        <c:crosses val="autoZero"/>
        <c:auto val="1"/>
        <c:lblAlgn val="ctr"/>
        <c:lblOffset val="100"/>
        <c:noMultiLvlLbl val="0"/>
      </c:catAx>
      <c:valAx>
        <c:axId val="127685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0215040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10</c:name>
    <c:fmtId val="6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Závislost věku na celkových příjmech</a:t>
            </a:r>
            <a:r>
              <a:rPr lang="cs-CZ"/>
              <a:t> + lineární spojnice trendu</a:t>
            </a:r>
            <a:endParaRPr lang="en-US"/>
          </a:p>
        </c:rich>
      </c:tx>
      <c:layout>
        <c:manualLayout>
          <c:xMode val="edge"/>
          <c:yMode val="edge"/>
          <c:x val="0.12016042599957816"/>
          <c:y val="2.3518518518518518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Příjmy!$B$63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Příjmy!$A$64:$A$69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Příjmy!$B$64:$B$69</c:f>
              <c:numCache>
                <c:formatCode>#,##0.00\ "Kč"</c:formatCode>
                <c:ptCount val="5"/>
                <c:pt idx="0">
                  <c:v>20427.272727272728</c:v>
                </c:pt>
                <c:pt idx="1">
                  <c:v>20565.432098765432</c:v>
                </c:pt>
                <c:pt idx="2">
                  <c:v>30303.448275862069</c:v>
                </c:pt>
                <c:pt idx="3">
                  <c:v>25700</c:v>
                </c:pt>
                <c:pt idx="4">
                  <c:v>30679.599999999999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16064"/>
        <c:axId val="127686848"/>
      </c:barChart>
      <c:catAx>
        <c:axId val="1202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overlay val="0"/>
        </c:title>
        <c:majorTickMark val="out"/>
        <c:minorTickMark val="none"/>
        <c:tickLblPos val="nextTo"/>
        <c:crossAx val="127686848"/>
        <c:crosses val="autoZero"/>
        <c:auto val="1"/>
        <c:lblAlgn val="ctr"/>
        <c:lblOffset val="100"/>
        <c:noMultiLvlLbl val="0"/>
      </c:catAx>
      <c:valAx>
        <c:axId val="12768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021606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13</c:name>
    <c:fmtId val="7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Závislost pohlaví na celkových příjmech</a:t>
            </a:r>
          </a:p>
        </c:rich>
      </c:tx>
      <c:layout>
        <c:manualLayout>
          <c:xMode val="edge"/>
          <c:yMode val="edge"/>
          <c:x val="0.12298134920634921"/>
          <c:y val="3.0238095238095238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Příjmy!$B$84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Příjmy!$A$85:$A$87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Příjmy!$B$85:$B$87</c:f>
              <c:numCache>
                <c:formatCode>#,##0.00\ "Kč"</c:formatCode>
                <c:ptCount val="2"/>
                <c:pt idx="0">
                  <c:v>29334.736842105263</c:v>
                </c:pt>
                <c:pt idx="1">
                  <c:v>19108.724999999999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217088"/>
        <c:axId val="127459328"/>
      </c:barChart>
      <c:catAx>
        <c:axId val="12021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Pohlaví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127459328"/>
        <c:crosses val="autoZero"/>
        <c:auto val="1"/>
        <c:lblAlgn val="ctr"/>
        <c:lblOffset val="100"/>
        <c:noMultiLvlLbl val="0"/>
      </c:catAx>
      <c:valAx>
        <c:axId val="12745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0217088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16</c:name>
    <c:fmtId val="8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Příjmy!$J$3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Příjmy!$I$4:$I$9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Příjmy!$J$4:$J$9</c:f>
              <c:numCache>
                <c:formatCode>#,##0.00\ "Kč"</c:formatCode>
                <c:ptCount val="5"/>
                <c:pt idx="0">
                  <c:v>29666.666666666668</c:v>
                </c:pt>
                <c:pt idx="1">
                  <c:v>21357.894736842107</c:v>
                </c:pt>
                <c:pt idx="2">
                  <c:v>26936.25</c:v>
                </c:pt>
                <c:pt idx="3">
                  <c:v>20216.666666666668</c:v>
                </c:pt>
                <c:pt idx="4">
                  <c:v>31478.894736842107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532992"/>
        <c:axId val="127461056"/>
      </c:barChart>
      <c:catAx>
        <c:axId val="128532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7461056"/>
        <c:crosses val="autoZero"/>
        <c:auto val="1"/>
        <c:lblAlgn val="ctr"/>
        <c:lblOffset val="100"/>
        <c:noMultiLvlLbl val="0"/>
      </c:catAx>
      <c:valAx>
        <c:axId val="127461056"/>
        <c:scaling>
          <c:orientation val="minMax"/>
          <c:max val="35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8532992"/>
        <c:crosses val="autoZero"/>
        <c:crossBetween val="between"/>
        <c:majorUnit val="10000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17</c:name>
    <c:fmtId val="6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Příjmy!$J$43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Příjmy!$I$44:$I$47</c:f>
              <c:strCache>
                <c:ptCount val="3"/>
                <c:pt idx="0">
                  <c:v>Praha</c:v>
                </c:pt>
                <c:pt idx="1">
                  <c:v>Středočeský kraj - Kladno</c:v>
                </c:pt>
                <c:pt idx="2">
                  <c:v>Středočeský kraj - obec</c:v>
                </c:pt>
              </c:strCache>
            </c:strRef>
          </c:cat>
          <c:val>
            <c:numRef>
              <c:f>Příjmy!$J$44:$J$47</c:f>
              <c:numCache>
                <c:formatCode>#,##0.00\ "Kč"</c:formatCode>
                <c:ptCount val="3"/>
                <c:pt idx="0">
                  <c:v>30425.657142857144</c:v>
                </c:pt>
                <c:pt idx="1">
                  <c:v>21933.333333333332</c:v>
                </c:pt>
                <c:pt idx="2">
                  <c:v>27797.435897435898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534016"/>
        <c:axId val="127462784"/>
      </c:barChart>
      <c:catAx>
        <c:axId val="128534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Místo trvalého bydliště</a:t>
                </a:r>
              </a:p>
            </c:rich>
          </c:tx>
          <c:overlay val="0"/>
        </c:title>
        <c:majorTickMark val="out"/>
        <c:minorTickMark val="none"/>
        <c:tickLblPos val="nextTo"/>
        <c:crossAx val="127462784"/>
        <c:crosses val="autoZero"/>
        <c:auto val="1"/>
        <c:lblAlgn val="ctr"/>
        <c:lblOffset val="100"/>
        <c:noMultiLvlLbl val="0"/>
      </c:catAx>
      <c:valAx>
        <c:axId val="127462784"/>
        <c:scaling>
          <c:orientation val="minMax"/>
          <c:max val="35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8534016"/>
        <c:crosses val="autoZero"/>
        <c:crossBetween val="between"/>
        <c:majorUnit val="10000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18</c:name>
    <c:fmtId val="7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Příjmy!$J$63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Příjmy!$I$64:$I$69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Příjmy!$J$64:$J$69</c:f>
              <c:numCache>
                <c:formatCode>#,##0.00\ "Kč"</c:formatCode>
                <c:ptCount val="5"/>
                <c:pt idx="0">
                  <c:v>20427.272727272728</c:v>
                </c:pt>
                <c:pt idx="1">
                  <c:v>23779.365079365078</c:v>
                </c:pt>
                <c:pt idx="2">
                  <c:v>32043.396226415094</c:v>
                </c:pt>
                <c:pt idx="3">
                  <c:v>25700</c:v>
                </c:pt>
                <c:pt idx="4">
                  <c:v>30679.599999999999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535040"/>
        <c:axId val="127464512"/>
      </c:barChart>
      <c:catAx>
        <c:axId val="1285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Věk</a:t>
                </a:r>
              </a:p>
            </c:rich>
          </c:tx>
          <c:overlay val="0"/>
        </c:title>
        <c:majorTickMark val="out"/>
        <c:minorTickMark val="none"/>
        <c:tickLblPos val="nextTo"/>
        <c:crossAx val="127464512"/>
        <c:crosses val="autoZero"/>
        <c:auto val="1"/>
        <c:lblAlgn val="ctr"/>
        <c:lblOffset val="100"/>
        <c:noMultiLvlLbl val="0"/>
      </c:catAx>
      <c:valAx>
        <c:axId val="12746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8535040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upravená.xlsx]Příjmy!Kontingenční tabulka 19</c:name>
    <c:fmtId val="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Příjmy!$J$84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Příjmy!$I$85:$I$87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Příjmy!$J$85:$J$87</c:f>
              <c:numCache>
                <c:formatCode>#,##0.00\ "Kč"</c:formatCode>
                <c:ptCount val="2"/>
                <c:pt idx="0">
                  <c:v>29646.808510638297</c:v>
                </c:pt>
                <c:pt idx="1">
                  <c:v>22443.068965517243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622656"/>
        <c:axId val="127466240"/>
      </c:barChart>
      <c:catAx>
        <c:axId val="1276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Pohlaví</a:t>
                </a:r>
              </a:p>
            </c:rich>
          </c:tx>
          <c:overlay val="0"/>
        </c:title>
        <c:majorTickMark val="out"/>
        <c:minorTickMark val="none"/>
        <c:tickLblPos val="nextTo"/>
        <c:crossAx val="127466240"/>
        <c:crosses val="autoZero"/>
        <c:auto val="1"/>
        <c:lblAlgn val="ctr"/>
        <c:lblOffset val="100"/>
        <c:noMultiLvlLbl val="0"/>
      </c:catAx>
      <c:valAx>
        <c:axId val="12746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Hrubý měsíční příjem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7622656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upravená.xlsx]Výdaje!Kontingenční tabulka 10</c:name>
    <c:fmtId val="9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Závislost věku na celkových výdajích</a:t>
            </a:r>
            <a:r>
              <a:rPr lang="cs-CZ"/>
              <a:t> + lineární spojnice trendu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Výdaje!$B$20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Výdaje!$A$21:$A$26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Výdaje!$B$21:$B$26</c:f>
              <c:numCache>
                <c:formatCode>#,##0.00\ "Kč"</c:formatCode>
                <c:ptCount val="5"/>
                <c:pt idx="0">
                  <c:v>14931.818181818182</c:v>
                </c:pt>
                <c:pt idx="1">
                  <c:v>15482.962962962964</c:v>
                </c:pt>
                <c:pt idx="2">
                  <c:v>20962.586206896551</c:v>
                </c:pt>
                <c:pt idx="3">
                  <c:v>20313</c:v>
                </c:pt>
                <c:pt idx="4">
                  <c:v>18040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374272"/>
        <c:axId val="128933888"/>
      </c:barChart>
      <c:catAx>
        <c:axId val="128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33888"/>
        <c:crosses val="autoZero"/>
        <c:auto val="1"/>
        <c:lblAlgn val="ctr"/>
        <c:lblOffset val="100"/>
        <c:noMultiLvlLbl val="0"/>
      </c:catAx>
      <c:valAx>
        <c:axId val="12893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Průměrné měsíční výdaje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8374272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upravená.xlsx]Výdaje!Kontingenční tabulka 11</c:name>
    <c:fmtId val="6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Výdaje!$B$41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Výdaje!$A$42:$A$46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 a více</c:v>
                </c:pt>
              </c:strCache>
            </c:strRef>
          </c:cat>
          <c:val>
            <c:numRef>
              <c:f>Výdaje!$B$42:$B$46</c:f>
              <c:numCache>
                <c:formatCode>#,##0.00\ "Kč"</c:formatCode>
                <c:ptCount val="4"/>
                <c:pt idx="0">
                  <c:v>16191.428571428571</c:v>
                </c:pt>
                <c:pt idx="1">
                  <c:v>16402.786885245903</c:v>
                </c:pt>
                <c:pt idx="2">
                  <c:v>21776.938775510203</c:v>
                </c:pt>
                <c:pt idx="3">
                  <c:v>17366.666666666668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375296"/>
        <c:axId val="128935616"/>
      </c:barChart>
      <c:catAx>
        <c:axId val="128375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dětí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35616"/>
        <c:crosses val="autoZero"/>
        <c:auto val="1"/>
        <c:lblAlgn val="ctr"/>
        <c:lblOffset val="100"/>
        <c:noMultiLvlLbl val="0"/>
      </c:catAx>
      <c:valAx>
        <c:axId val="128935616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Průměrné měsíční výdaje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8375296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upravená.xlsx]Výdaje!Kontingenční tabulka 2</c:name>
    <c:fmtId val="7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Výdaje!$B$3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Výdaje!$A$4:$A$9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Výdaje!$B$4:$B$9</c:f>
              <c:numCache>
                <c:formatCode>#,##0.00\ "Kč"</c:formatCode>
                <c:ptCount val="5"/>
                <c:pt idx="0">
                  <c:v>27206.666666666668</c:v>
                </c:pt>
                <c:pt idx="1">
                  <c:v>15692.5</c:v>
                </c:pt>
                <c:pt idx="2">
                  <c:v>18604.835164835164</c:v>
                </c:pt>
                <c:pt idx="3">
                  <c:v>13905.333333333334</c:v>
                </c:pt>
                <c:pt idx="4">
                  <c:v>18121.08695652174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376320"/>
        <c:axId val="128937344"/>
      </c:barChart>
      <c:catAx>
        <c:axId val="128376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37344"/>
        <c:crosses val="autoZero"/>
        <c:auto val="1"/>
        <c:lblAlgn val="ctr"/>
        <c:lblOffset val="100"/>
        <c:noMultiLvlLbl val="0"/>
      </c:catAx>
      <c:valAx>
        <c:axId val="128937344"/>
        <c:scaling>
          <c:orientation val="minMax"/>
          <c:max val="30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Průměrné měsíční výdaje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8376320"/>
        <c:crosses val="autoZero"/>
        <c:crossBetween val="between"/>
        <c:majorUnit val="10000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upravená.xlsx]Výdaje!Kontingenční tabulka 3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Závislost místa bydliště na celkových výdajích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Výdaje!$B$60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Výdaje!$A$61:$A$64</c:f>
              <c:strCache>
                <c:ptCount val="3"/>
                <c:pt idx="0">
                  <c:v>Praha</c:v>
                </c:pt>
                <c:pt idx="1">
                  <c:v>Středočeský kraj - Kladno</c:v>
                </c:pt>
                <c:pt idx="2">
                  <c:v>Středočeský kraj - obec</c:v>
                </c:pt>
              </c:strCache>
            </c:strRef>
          </c:cat>
          <c:val>
            <c:numRef>
              <c:f>Výdaje!$B$61:$B$64</c:f>
              <c:numCache>
                <c:formatCode>#,##0.00\ "Kč"</c:formatCode>
                <c:ptCount val="3"/>
                <c:pt idx="0">
                  <c:v>20839.21052631579</c:v>
                </c:pt>
                <c:pt idx="1">
                  <c:v>14821.59090909091</c:v>
                </c:pt>
                <c:pt idx="2">
                  <c:v>18135.698924731183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438208"/>
        <c:axId val="128939072"/>
      </c:barChart>
      <c:catAx>
        <c:axId val="12943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Místo trvalého bydliště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39072"/>
        <c:crosses val="autoZero"/>
        <c:auto val="1"/>
        <c:lblAlgn val="ctr"/>
        <c:lblOffset val="100"/>
        <c:noMultiLvlLbl val="0"/>
      </c:catAx>
      <c:valAx>
        <c:axId val="12893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Průměrné měsíční výdaje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9438208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upravená.xlsx]Výdaje!Kontingenční tabulka 8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Výdaje!$B$78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Výdaje!$A$79:$A$83</c:f>
              <c:strCache>
                <c:ptCount val="4"/>
                <c:pt idx="0">
                  <c:v>u rodičů</c:v>
                </c:pt>
                <c:pt idx="1">
                  <c:v>byt</c:v>
                </c:pt>
                <c:pt idx="2">
                  <c:v>nájem</c:v>
                </c:pt>
                <c:pt idx="3">
                  <c:v>dům</c:v>
                </c:pt>
              </c:strCache>
            </c:strRef>
          </c:cat>
          <c:val>
            <c:numRef>
              <c:f>Výdaje!$B$79:$B$83</c:f>
              <c:numCache>
                <c:formatCode>#,##0.00\ "Kč"</c:formatCode>
                <c:ptCount val="4"/>
                <c:pt idx="0">
                  <c:v>11478.571428571429</c:v>
                </c:pt>
                <c:pt idx="1">
                  <c:v>15918.333333333334</c:v>
                </c:pt>
                <c:pt idx="2">
                  <c:v>18703.333333333332</c:v>
                </c:pt>
                <c:pt idx="3">
                  <c:v>20120.389610389611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439232"/>
        <c:axId val="128940800"/>
      </c:barChart>
      <c:catAx>
        <c:axId val="129439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Typ bydlení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40800"/>
        <c:crosses val="autoZero"/>
        <c:auto val="1"/>
        <c:lblAlgn val="ctr"/>
        <c:lblOffset val="100"/>
        <c:noMultiLvlLbl val="0"/>
      </c:catAx>
      <c:valAx>
        <c:axId val="12894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Průměrné měsíční výdaje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9439232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upravená.xlsx]Bilance!Kontingenční tabulka 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Bilance!$B$3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Bilance!$A$4:$A$9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Bilance!$B$4:$B$9</c:f>
              <c:numCache>
                <c:formatCode>#,##0.00\ "Kč"</c:formatCode>
                <c:ptCount val="5"/>
                <c:pt idx="0">
                  <c:v>5495.454545454545</c:v>
                </c:pt>
                <c:pt idx="1">
                  <c:v>5280</c:v>
                </c:pt>
                <c:pt idx="2">
                  <c:v>9875.3448275862065</c:v>
                </c:pt>
                <c:pt idx="3">
                  <c:v>5387</c:v>
                </c:pt>
                <c:pt idx="4">
                  <c:v>12639.6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276544"/>
        <c:axId val="129606208"/>
      </c:barChart>
      <c:catAx>
        <c:axId val="1272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overlay val="0"/>
        </c:title>
        <c:majorTickMark val="out"/>
        <c:minorTickMark val="none"/>
        <c:tickLblPos val="nextTo"/>
        <c:crossAx val="129606208"/>
        <c:crosses val="autoZero"/>
        <c:auto val="1"/>
        <c:lblAlgn val="ctr"/>
        <c:lblOffset val="100"/>
        <c:noMultiLvlLbl val="0"/>
      </c:catAx>
      <c:valAx>
        <c:axId val="12960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Výsledná měsíční bilance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727654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upravená.xlsx]Bilance!Kontingenční tabulka 10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Bilance!$B$18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Bilance!$A$19:$A$24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Bilance!$B$19:$B$24</c:f>
              <c:numCache>
                <c:formatCode>#,##0.00\ "Kč"</c:formatCode>
                <c:ptCount val="5"/>
                <c:pt idx="0">
                  <c:v>2460</c:v>
                </c:pt>
                <c:pt idx="1">
                  <c:v>4922.5</c:v>
                </c:pt>
                <c:pt idx="2">
                  <c:v>7007.2527472527472</c:v>
                </c:pt>
                <c:pt idx="3">
                  <c:v>3834.6666666666665</c:v>
                </c:pt>
                <c:pt idx="4">
                  <c:v>9365.826086956522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277568"/>
        <c:axId val="129607936"/>
      </c:barChart>
      <c:catAx>
        <c:axId val="1272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overlay val="0"/>
        </c:title>
        <c:majorTickMark val="out"/>
        <c:minorTickMark val="none"/>
        <c:tickLblPos val="nextTo"/>
        <c:crossAx val="129607936"/>
        <c:crosses val="autoZero"/>
        <c:auto val="1"/>
        <c:lblAlgn val="ctr"/>
        <c:lblOffset val="100"/>
        <c:noMultiLvlLbl val="0"/>
      </c:catAx>
      <c:valAx>
        <c:axId val="12960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Průměrná měsíční bilance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7277568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osob, vlastnících určitou finanční rezervu na osobním/spořícím účtu</a:t>
            </a:r>
          </a:p>
        </c:rich>
      </c:tx>
      <c:layout>
        <c:manualLayout>
          <c:xMode val="edge"/>
          <c:yMode val="edge"/>
          <c:x val="0.12671582352488808"/>
          <c:y val="3.09477693440819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Zajištění!$A$7:$A$8</c:f>
              <c:strCache>
                <c:ptCount val="2"/>
                <c:pt idx="0">
                  <c:v>Osoby, vlastnící určitou fin. rezervu na osobním/spořícím účtu</c:v>
                </c:pt>
                <c:pt idx="1">
                  <c:v>Osoby, nevlastnící fin. rezervu na osobním/spořícím účtu</c:v>
                </c:pt>
              </c:strCache>
            </c:strRef>
          </c:cat>
          <c:val>
            <c:numRef>
              <c:f>Zajištění!$D$7:$D$8</c:f>
              <c:numCache>
                <c:formatCode>0.00%</c:formatCode>
                <c:ptCount val="2"/>
                <c:pt idx="0">
                  <c:v>0.69142857142857139</c:v>
                </c:pt>
                <c:pt idx="1">
                  <c:v>0.30857142857142861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upravená.xlsx]Zajištění!Kontingenční tabulka 75</c:name>
    <c:fmtId val="3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Zajištění!$B$10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Zajištění!$A$11:$A$16</c:f>
              <c:strCache>
                <c:ptCount val="5"/>
                <c:pt idx="0">
                  <c:v>18 - 25 let</c:v>
                </c:pt>
                <c:pt idx="1">
                  <c:v>26 - 35 let</c:v>
                </c:pt>
                <c:pt idx="2">
                  <c:v>36 - 45 let</c:v>
                </c:pt>
                <c:pt idx="3">
                  <c:v>46 - 55 let</c:v>
                </c:pt>
                <c:pt idx="4">
                  <c:v>56 - 65 let</c:v>
                </c:pt>
              </c:strCache>
            </c:strRef>
          </c:cat>
          <c:val>
            <c:numRef>
              <c:f>Zajištění!$B$11:$B$16</c:f>
              <c:numCache>
                <c:formatCode>#,##0.00\ "Kč"</c:formatCode>
                <c:ptCount val="5"/>
                <c:pt idx="0">
                  <c:v>43636.36363636364</c:v>
                </c:pt>
                <c:pt idx="1">
                  <c:v>81055.555555555562</c:v>
                </c:pt>
                <c:pt idx="2">
                  <c:v>154913.79310344829</c:v>
                </c:pt>
                <c:pt idx="3">
                  <c:v>170375</c:v>
                </c:pt>
                <c:pt idx="4">
                  <c:v>111000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142784"/>
        <c:axId val="129610816"/>
      </c:barChart>
      <c:catAx>
        <c:axId val="12914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9610816"/>
        <c:crosses val="autoZero"/>
        <c:auto val="1"/>
        <c:lblAlgn val="ctr"/>
        <c:lblOffset val="100"/>
        <c:noMultiLvlLbl val="0"/>
      </c:catAx>
      <c:valAx>
        <c:axId val="12961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Vyše rezervy na osobním/spořícím účtu</a:t>
                </a:r>
              </a:p>
            </c:rich>
          </c:tx>
          <c:layout/>
          <c:overlay val="0"/>
        </c:title>
        <c:numFmt formatCode="#,##0.00\ &quot;Kč&quot;" sourceLinked="1"/>
        <c:majorTickMark val="out"/>
        <c:minorTickMark val="none"/>
        <c:tickLblPos val="nextTo"/>
        <c:crossAx val="129142784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[Databáze konečná - upravená.xlsx]Zajištění!Kontingenční tabulka 9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/>
              </a:pPr>
              <a:endParaRPr lang="cs-CZ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Zajištění!$B$26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Zajištění!$A$27:$A$32</c:f>
              <c:strCache>
                <c:ptCount val="5"/>
                <c:pt idx="0">
                  <c:v>základní</c:v>
                </c:pt>
                <c:pt idx="1">
                  <c:v>vyučená/ý</c:v>
                </c:pt>
                <c:pt idx="2">
                  <c:v>maturita</c:v>
                </c:pt>
                <c:pt idx="3">
                  <c:v>vysokoškolské - 1st</c:v>
                </c:pt>
                <c:pt idx="4">
                  <c:v>vysokoškolské - 2st</c:v>
                </c:pt>
              </c:strCache>
            </c:strRef>
          </c:cat>
          <c:val>
            <c:numRef>
              <c:f>Zajištění!$B$27:$B$32</c:f>
              <c:numCache>
                <c:formatCode>#,##0.00\ "Kč"</c:formatCode>
                <c:ptCount val="5"/>
                <c:pt idx="0">
                  <c:v>15833.333333333334</c:v>
                </c:pt>
                <c:pt idx="1">
                  <c:v>99500</c:v>
                </c:pt>
                <c:pt idx="2">
                  <c:v>65483.516483516483</c:v>
                </c:pt>
                <c:pt idx="3">
                  <c:v>191500</c:v>
                </c:pt>
                <c:pt idx="4">
                  <c:v>198347.82608695651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144320"/>
        <c:axId val="129612544"/>
      </c:barChart>
      <c:catAx>
        <c:axId val="12914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Nejvyšší dosažené vzdělání</a:t>
                </a:r>
              </a:p>
            </c:rich>
          </c:tx>
          <c:overlay val="0"/>
        </c:title>
        <c:majorTickMark val="out"/>
        <c:minorTickMark val="none"/>
        <c:tickLblPos val="nextTo"/>
        <c:crossAx val="129612544"/>
        <c:crosses val="autoZero"/>
        <c:auto val="1"/>
        <c:lblAlgn val="ctr"/>
        <c:lblOffset val="100"/>
        <c:noMultiLvlLbl val="0"/>
      </c:catAx>
      <c:valAx>
        <c:axId val="12961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Výše průměrné rezervy na běžném/spořícím účtu</a:t>
                </a:r>
              </a:p>
            </c:rich>
          </c:tx>
          <c:overlay val="0"/>
        </c:title>
        <c:numFmt formatCode="#,##0.00\ &quot;Kč&quot;" sourceLinked="1"/>
        <c:majorTickMark val="out"/>
        <c:minorTickMark val="none"/>
        <c:tickLblPos val="nextTo"/>
        <c:crossAx val="129144320"/>
        <c:crosses val="autoZero"/>
        <c:crossBetween val="between"/>
      </c:valAx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Zajištění!$A$7:$A$8</c:f>
              <c:strCache>
                <c:ptCount val="2"/>
                <c:pt idx="0">
                  <c:v>Osoby, vlastnící určitou fin. rezervu na osobním/spořícím účtu</c:v>
                </c:pt>
                <c:pt idx="1">
                  <c:v>Osoby, nevlastnící fin. rezervu na osobním/spořícím účtu</c:v>
                </c:pt>
              </c:strCache>
            </c:strRef>
          </c:cat>
          <c:val>
            <c:numRef>
              <c:f>Zajištění!$D$7:$D$8</c:f>
              <c:numCache>
                <c:formatCode>0.00%</c:formatCode>
                <c:ptCount val="2"/>
                <c:pt idx="0">
                  <c:v>0.69142857142857139</c:v>
                </c:pt>
                <c:pt idx="1">
                  <c:v>0.30857142857142861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>
                <a:effectLst/>
              </a:rPr>
              <a:t>Poměr pojištěných osob s uzavřeným hypotečním úvěrem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0910411198600174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Zadlužení!$A$17:$C$18</c:f>
              <c:strCache>
                <c:ptCount val="2"/>
                <c:pt idx="0">
                  <c:v>Pojištěné osoby s uzavřeným hyp. úvěrem</c:v>
                </c:pt>
                <c:pt idx="1">
                  <c:v>Nepojištěné osoby s uzavřeným hyp. úvěrem</c:v>
                </c:pt>
              </c:strCache>
            </c:strRef>
          </c:cat>
          <c:val>
            <c:numRef>
              <c:f>Zadlužení!$D$17:$D$18</c:f>
              <c:numCache>
                <c:formatCode>0.00%</c:formatCode>
                <c:ptCount val="2"/>
                <c:pt idx="0">
                  <c:v>0.81818181818181823</c:v>
                </c:pt>
                <c:pt idx="1">
                  <c:v>0.18181818181818177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23812</xdr:rowOff>
    </xdr:from>
    <xdr:to>
      <xdr:col>7</xdr:col>
      <xdr:colOff>522600</xdr:colOff>
      <xdr:row>14</xdr:row>
      <xdr:rowOff>6375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38</xdr:row>
      <xdr:rowOff>128587</xdr:rowOff>
    </xdr:from>
    <xdr:to>
      <xdr:col>6</xdr:col>
      <xdr:colOff>781892</xdr:colOff>
      <xdr:row>50</xdr:row>
      <xdr:rowOff>119087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112</xdr:row>
      <xdr:rowOff>23812</xdr:rowOff>
    </xdr:from>
    <xdr:to>
      <xdr:col>7</xdr:col>
      <xdr:colOff>550150</xdr:colOff>
      <xdr:row>124</xdr:row>
      <xdr:rowOff>14312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161924</xdr:colOff>
      <xdr:row>168</xdr:row>
      <xdr:rowOff>61912</xdr:rowOff>
    </xdr:from>
    <xdr:to>
      <xdr:col>6</xdr:col>
      <xdr:colOff>1434091</xdr:colOff>
      <xdr:row>180</xdr:row>
      <xdr:rowOff>62995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85724</xdr:colOff>
      <xdr:row>217</xdr:row>
      <xdr:rowOff>128587</xdr:rowOff>
    </xdr:from>
    <xdr:to>
      <xdr:col>7</xdr:col>
      <xdr:colOff>522599</xdr:colOff>
      <xdr:row>231</xdr:row>
      <xdr:rowOff>134962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104775</xdr:colOff>
      <xdr:row>246</xdr:row>
      <xdr:rowOff>4762</xdr:rowOff>
    </xdr:from>
    <xdr:to>
      <xdr:col>7</xdr:col>
      <xdr:colOff>525775</xdr:colOff>
      <xdr:row>260</xdr:row>
      <xdr:rowOff>154012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104775</xdr:colOff>
      <xdr:row>293</xdr:row>
      <xdr:rowOff>33337</xdr:rowOff>
    </xdr:from>
    <xdr:to>
      <xdr:col>7</xdr:col>
      <xdr:colOff>525775</xdr:colOff>
      <xdr:row>305</xdr:row>
      <xdr:rowOff>2670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171450</xdr:colOff>
      <xdr:row>331</xdr:row>
      <xdr:rowOff>71437</xdr:rowOff>
    </xdr:from>
    <xdr:to>
      <xdr:col>7</xdr:col>
      <xdr:colOff>592450</xdr:colOff>
      <xdr:row>345</xdr:row>
      <xdr:rowOff>104270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328083</xdr:colOff>
      <xdr:row>148</xdr:row>
      <xdr:rowOff>95249</xdr:rowOff>
    </xdr:from>
    <xdr:to>
      <xdr:col>5</xdr:col>
      <xdr:colOff>413409</xdr:colOff>
      <xdr:row>161</xdr:row>
      <xdr:rowOff>102858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275166</xdr:colOff>
      <xdr:row>22</xdr:row>
      <xdr:rowOff>41273</xdr:rowOff>
    </xdr:from>
    <xdr:to>
      <xdr:col>6</xdr:col>
      <xdr:colOff>388791</xdr:colOff>
      <xdr:row>35</xdr:row>
      <xdr:rowOff>60960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169332</xdr:colOff>
      <xdr:row>275</xdr:row>
      <xdr:rowOff>42334</xdr:rowOff>
    </xdr:from>
    <xdr:to>
      <xdr:col>4</xdr:col>
      <xdr:colOff>1414051</xdr:colOff>
      <xdr:row>288</xdr:row>
      <xdr:rowOff>85834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264583</xdr:colOff>
      <xdr:row>94</xdr:row>
      <xdr:rowOff>125940</xdr:rowOff>
    </xdr:from>
    <xdr:to>
      <xdr:col>5</xdr:col>
      <xdr:colOff>1601167</xdr:colOff>
      <xdr:row>108</xdr:row>
      <xdr:rowOff>158940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353786</xdr:colOff>
      <xdr:row>128</xdr:row>
      <xdr:rowOff>36739</xdr:rowOff>
    </xdr:from>
    <xdr:to>
      <xdr:col>5</xdr:col>
      <xdr:colOff>433393</xdr:colOff>
      <xdr:row>141</xdr:row>
      <xdr:rowOff>53025</xdr:rowOff>
    </xdr:to>
    <xdr:graphicFrame macro="">
      <xdr:nvGraphicFramePr>
        <xdr:cNvPr id="19" name="Graf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547687</xdr:colOff>
      <xdr:row>66</xdr:row>
      <xdr:rowOff>158352</xdr:rowOff>
    </xdr:from>
    <xdr:to>
      <xdr:col>7</xdr:col>
      <xdr:colOff>984562</xdr:colOff>
      <xdr:row>80</xdr:row>
      <xdr:rowOff>140915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85721</xdr:colOff>
      <xdr:row>21</xdr:row>
      <xdr:rowOff>190499</xdr:rowOff>
    </xdr:from>
    <xdr:to>
      <xdr:col>5</xdr:col>
      <xdr:colOff>1332821</xdr:colOff>
      <xdr:row>35</xdr:row>
      <xdr:rowOff>43499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2</xdr:row>
      <xdr:rowOff>14287</xdr:rowOff>
    </xdr:from>
    <xdr:to>
      <xdr:col>6</xdr:col>
      <xdr:colOff>872156</xdr:colOff>
      <xdr:row>17</xdr:row>
      <xdr:rowOff>36787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42</xdr:row>
      <xdr:rowOff>14287</xdr:rowOff>
    </xdr:from>
    <xdr:to>
      <xdr:col>6</xdr:col>
      <xdr:colOff>853106</xdr:colOff>
      <xdr:row>57</xdr:row>
      <xdr:rowOff>36787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219075</xdr:colOff>
      <xdr:row>61</xdr:row>
      <xdr:rowOff>100013</xdr:rowOff>
    </xdr:from>
    <xdr:to>
      <xdr:col>7</xdr:col>
      <xdr:colOff>983419</xdr:colOff>
      <xdr:row>78</xdr:row>
      <xdr:rowOff>101513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76197</xdr:colOff>
      <xdr:row>83</xdr:row>
      <xdr:rowOff>23812</xdr:rowOff>
    </xdr:from>
    <xdr:to>
      <xdr:col>5</xdr:col>
      <xdr:colOff>963297</xdr:colOff>
      <xdr:row>96</xdr:row>
      <xdr:rowOff>67312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83345</xdr:colOff>
      <xdr:row>2</xdr:row>
      <xdr:rowOff>15477</xdr:rowOff>
    </xdr:from>
    <xdr:to>
      <xdr:col>19</xdr:col>
      <xdr:colOff>206495</xdr:colOff>
      <xdr:row>15</xdr:row>
      <xdr:rowOff>58977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57150</xdr:colOff>
      <xdr:row>42</xdr:row>
      <xdr:rowOff>23812</xdr:rowOff>
    </xdr:from>
    <xdr:to>
      <xdr:col>19</xdr:col>
      <xdr:colOff>180300</xdr:colOff>
      <xdr:row>55</xdr:row>
      <xdr:rowOff>67312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62</xdr:row>
      <xdr:rowOff>42862</xdr:rowOff>
    </xdr:from>
    <xdr:to>
      <xdr:col>19</xdr:col>
      <xdr:colOff>475575</xdr:colOff>
      <xdr:row>75</xdr:row>
      <xdr:rowOff>86362</xdr:rowOff>
    </xdr:to>
    <xdr:graphicFrame macro="">
      <xdr:nvGraphicFramePr>
        <xdr:cNvPr id="17" name="Graf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47625</xdr:colOff>
      <xdr:row>83</xdr:row>
      <xdr:rowOff>14287</xdr:rowOff>
    </xdr:from>
    <xdr:to>
      <xdr:col>19</xdr:col>
      <xdr:colOff>170775</xdr:colOff>
      <xdr:row>96</xdr:row>
      <xdr:rowOff>57787</xdr:rowOff>
    </xdr:to>
    <xdr:graphicFrame macro="">
      <xdr:nvGraphicFramePr>
        <xdr:cNvPr id="18" name="Graf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19</xdr:row>
      <xdr:rowOff>52387</xdr:rowOff>
    </xdr:from>
    <xdr:to>
      <xdr:col>14</xdr:col>
      <xdr:colOff>480975</xdr:colOff>
      <xdr:row>36</xdr:row>
      <xdr:rowOff>53887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40</xdr:row>
      <xdr:rowOff>52387</xdr:rowOff>
    </xdr:from>
    <xdr:to>
      <xdr:col>10</xdr:col>
      <xdr:colOff>294600</xdr:colOff>
      <xdr:row>53</xdr:row>
      <xdr:rowOff>95887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1</xdr:row>
      <xdr:rowOff>71437</xdr:rowOff>
    </xdr:from>
    <xdr:to>
      <xdr:col>10</xdr:col>
      <xdr:colOff>313650</xdr:colOff>
      <xdr:row>14</xdr:row>
      <xdr:rowOff>114937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59</xdr:row>
      <xdr:rowOff>14287</xdr:rowOff>
    </xdr:from>
    <xdr:to>
      <xdr:col>12</xdr:col>
      <xdr:colOff>174450</xdr:colOff>
      <xdr:row>74</xdr:row>
      <xdr:rowOff>36787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180975</xdr:colOff>
      <xdr:row>77</xdr:row>
      <xdr:rowOff>23812</xdr:rowOff>
    </xdr:from>
    <xdr:to>
      <xdr:col>9</xdr:col>
      <xdr:colOff>449925</xdr:colOff>
      <xdr:row>90</xdr:row>
      <xdr:rowOff>67312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2</xdr:row>
      <xdr:rowOff>23812</xdr:rowOff>
    </xdr:from>
    <xdr:to>
      <xdr:col>11</xdr:col>
      <xdr:colOff>513674</xdr:colOff>
      <xdr:row>15</xdr:row>
      <xdr:rowOff>67312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20</xdr:row>
      <xdr:rowOff>52387</xdr:rowOff>
    </xdr:from>
    <xdr:to>
      <xdr:col>11</xdr:col>
      <xdr:colOff>208875</xdr:colOff>
      <xdr:row>33</xdr:row>
      <xdr:rowOff>95887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46</xdr:row>
      <xdr:rowOff>17462</xdr:rowOff>
    </xdr:from>
    <xdr:to>
      <xdr:col>11</xdr:col>
      <xdr:colOff>120650</xdr:colOff>
      <xdr:row>59</xdr:row>
      <xdr:rowOff>3175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333374</xdr:colOff>
      <xdr:row>10</xdr:row>
      <xdr:rowOff>38100</xdr:rowOff>
    </xdr:from>
    <xdr:to>
      <xdr:col>6</xdr:col>
      <xdr:colOff>951824</xdr:colOff>
      <xdr:row>23</xdr:row>
      <xdr:rowOff>81600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1119187</xdr:colOff>
      <xdr:row>26</xdr:row>
      <xdr:rowOff>51196</xdr:rowOff>
    </xdr:from>
    <xdr:to>
      <xdr:col>7</xdr:col>
      <xdr:colOff>768468</xdr:colOff>
      <xdr:row>39</xdr:row>
      <xdr:rowOff>94696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1352551</xdr:colOff>
      <xdr:row>2</xdr:row>
      <xdr:rowOff>123825</xdr:rowOff>
    </xdr:from>
    <xdr:to>
      <xdr:col>9</xdr:col>
      <xdr:colOff>866776</xdr:colOff>
      <xdr:row>13</xdr:row>
      <xdr:rowOff>176211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9</xdr:row>
      <xdr:rowOff>176213</xdr:rowOff>
    </xdr:from>
    <xdr:to>
      <xdr:col>8</xdr:col>
      <xdr:colOff>503549</xdr:colOff>
      <xdr:row>22</xdr:row>
      <xdr:rowOff>39713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kub" refreshedDate="42052.553468981481" createdVersion="4" refreshedVersion="4" minRefreshableVersion="3" recordCount="184">
  <cacheSource type="worksheet">
    <worksheetSource ref="A1:X185" sheet="Celková databáze"/>
  </cacheSource>
  <cacheFields count="25">
    <cacheField name="Pohlaví" numFmtId="0">
      <sharedItems count="11">
        <s v="muž"/>
        <s v="žena"/>
        <s v="*Středočeský kraj - obec = obce do 20000 obyvatel ve Středočeském kraji"/>
        <s v="*vysokoškolské - 1st = studium zakončené státní zkouškou a ziskem titulu bakalář"/>
        <s v="*vysokoškolské - 2st = studium zakončené státní zkouškou a ziskem titulu Ing./Mgr. - pro účely této práce zahrnuty i osoby s vyšším dosaženým titulem"/>
        <s v="*podnikatel = vlastní OSVČ, příp. vlastní společnost atp."/>
        <s v="*manuální pracovník/ce = např. prodavač, uklížečka, skladník, dělník atp."/>
        <s v="*státní zaměstnanec/kyně = např. policista, lékař, zdrav. sestra, učitelka atp."/>
        <s v="*pracovník/ce v administrativě = např. účetní, bankéř, úředník atp."/>
        <s v="*zvýrazněné dvojice tvoří společnou domácnost"/>
        <s v="*ženy, které jsou momentálně na mateřské dovolené a v tabulce je rovněž uveden jejich partner mají záměrně zkreslenou bilanci příjmů a výdajů, přičemž všechny jejich další výdaje jsou přičteny právě partnerovi"/>
      </sharedItems>
    </cacheField>
    <cacheField name="Věk" numFmtId="0">
      <sharedItems containsString="0" containsBlank="1" containsNumber="1" containsInteger="1" minValue="22" maxValue="65" count="37">
        <n v="53"/>
        <n v="23"/>
        <n v="51"/>
        <n v="62"/>
        <n v="28"/>
        <n v="29"/>
        <n v="31"/>
        <n v="30"/>
        <n v="27"/>
        <n v="47"/>
        <n v="32"/>
        <n v="40"/>
        <n v="48"/>
        <n v="26"/>
        <n v="39"/>
        <n v="43"/>
        <n v="44"/>
        <n v="34"/>
        <n v="41"/>
        <n v="63"/>
        <n v="36"/>
        <n v="50"/>
        <n v="65"/>
        <n v="35"/>
        <n v="37"/>
        <n v="42"/>
        <n v="46"/>
        <n v="45"/>
        <n v="38"/>
        <n v="25"/>
        <n v="24"/>
        <n v="52"/>
        <n v="49"/>
        <n v="56"/>
        <n v="33"/>
        <n v="22"/>
        <m/>
      </sharedItems>
      <fieldGroup par="24"/>
    </cacheField>
    <cacheField name="Stav" numFmtId="0">
      <sharedItems containsBlank="1"/>
    </cacheField>
    <cacheField name="Bydliště" numFmtId="0">
      <sharedItems containsBlank="1" count="4">
        <s v="Středočeský kraj - Kladno"/>
        <s v="Středočeský kraj - obec"/>
        <s v="Praha"/>
        <m/>
      </sharedItems>
    </cacheField>
    <cacheField name="Počet dětí" numFmtId="0">
      <sharedItems containsString="0" containsBlank="1" containsNumber="1" containsInteger="1" minValue="0" maxValue="3" count="5">
        <n v="2"/>
        <n v="0"/>
        <n v="1"/>
        <n v="3"/>
        <m/>
      </sharedItems>
    </cacheField>
    <cacheField name="Příjem" numFmtId="0">
      <sharedItems containsString="0" containsBlank="1" containsNumber="1" containsInteger="1" minValue="0" maxValue="120000" count="61">
        <n v="14000"/>
        <n v="10500"/>
        <n v="15000"/>
        <n v="33000"/>
        <n v="0"/>
        <n v="35000"/>
        <n v="34000"/>
        <n v="7600"/>
        <n v="13200"/>
        <n v="30000"/>
        <n v="21000"/>
        <n v="23000"/>
        <n v="25000"/>
        <n v="23800"/>
        <n v="40000"/>
        <n v="22500"/>
        <n v="22000"/>
        <n v="67000"/>
        <n v="12000"/>
        <n v="17000"/>
        <n v="24000"/>
        <n v="18000"/>
        <n v="17200"/>
        <n v="26500"/>
        <n v="40398"/>
        <n v="29000"/>
        <n v="16000"/>
        <n v="20000"/>
        <n v="32000"/>
        <n v="6800"/>
        <n v="8500"/>
        <n v="15400"/>
        <n v="68000"/>
        <n v="25500"/>
        <n v="13000"/>
        <n v="26000"/>
        <n v="27000"/>
        <n v="6500"/>
        <n v="19700"/>
        <n v="39500"/>
        <n v="27500"/>
        <n v="19000"/>
        <n v="28000"/>
        <n v="11000"/>
        <n v="60000"/>
        <n v="10000"/>
        <n v="50000"/>
        <n v="36000"/>
        <n v="63000"/>
        <n v="15600"/>
        <n v="100000"/>
        <n v="11600"/>
        <n v="10200"/>
        <n v="30600"/>
        <n v="20400"/>
        <n v="34500"/>
        <n v="21400"/>
        <n v="80000"/>
        <n v="10100"/>
        <n v="120000"/>
        <m/>
      </sharedItems>
    </cacheField>
    <cacheField name="Výdaje" numFmtId="0">
      <sharedItems containsString="0" containsBlank="1" containsNumber="1" containsInteger="1" minValue="0" maxValue="52400"/>
    </cacheField>
    <cacheField name="Bilance" numFmtId="0">
      <sharedItems containsString="0" containsBlank="1" containsNumber="1" containsInteger="1" minValue="-9400" maxValue="85000"/>
    </cacheField>
    <cacheField name="Vzdělání" numFmtId="0">
      <sharedItems containsBlank="1" count="6">
        <s v="vyučená/ý"/>
        <s v="maturita"/>
        <s v="vysokoškolské - 1st"/>
        <s v="vysokoškolské - 2st"/>
        <s v="základní"/>
        <m/>
      </sharedItems>
    </cacheField>
    <cacheField name="Zaměstnání" numFmtId="0">
      <sharedItems containsBlank="1" count="8">
        <s v="pracovník/ce v administrativě"/>
        <s v="manuální pracovník/ce"/>
        <s v="státní zaměstnanec/kyně"/>
        <s v="nezaměstnaný/á"/>
        <s v="manažer/ka, ředitel/ka"/>
        <s v="mateřská dovolená"/>
        <s v="podnikatel/ka"/>
        <m/>
      </sharedItems>
    </cacheField>
    <cacheField name="Typ bydlení" numFmtId="0">
      <sharedItems containsBlank="1"/>
    </cacheField>
    <cacheField name="Rezerva/BÚ,SÚ" numFmtId="0">
      <sharedItems containsString="0" containsBlank="1" containsNumber="1" containsInteger="1" minValue="0" maxValue="2000000"/>
    </cacheField>
    <cacheField name="Penzijní př." numFmtId="0">
      <sharedItems containsBlank="1" containsMixedTypes="1" containsNumber="1" containsInteger="1" minValue="100" maxValue="2000" count="15">
        <n v="1000"/>
        <n v="300"/>
        <n v="500"/>
        <s v="ne"/>
        <n v="600"/>
        <n v="100"/>
        <n v="200"/>
        <n v="350"/>
        <n v="1500"/>
        <n v="2000"/>
        <s v="300 + 3% zamtel"/>
        <s v="300 zamtel"/>
        <s v="300 + 500 zamtel"/>
        <n v="800"/>
        <m/>
      </sharedItems>
    </cacheField>
    <cacheField name="II.pilíř" numFmtId="0">
      <sharedItems containsBlank="1" count="3">
        <s v="ne"/>
        <s v="ano"/>
        <m/>
      </sharedItems>
    </cacheField>
    <cacheField name="Životní pojištění" numFmtId="0">
      <sharedItems containsBlank="1" containsMixedTypes="1" containsNumber="1" containsInteger="1" minValue="204" maxValue="9000"/>
    </cacheField>
    <cacheField name="Pravidelné investice/měsíc" numFmtId="0">
      <sharedItems containsBlank="1" containsMixedTypes="1" containsNumber="1" containsInteger="1" minValue="100" maxValue="8400"/>
    </cacheField>
    <cacheField name="Jednorázové investice" numFmtId="0">
      <sharedItems containsBlank="1" containsMixedTypes="1" containsNumber="1" containsInteger="1" minValue="20000" maxValue="1000000"/>
    </cacheField>
    <cacheField name="Jiné investice(nemovitosti)" numFmtId="0">
      <sharedItems containsBlank="1" containsMixedTypes="1" containsNumber="1" containsInteger="1" minValue="200000" maxValue="2500000"/>
    </cacheField>
    <cacheField name="Stavební spoření" numFmtId="0">
      <sharedItems containsBlank="1" containsMixedTypes="1" containsNumber="1" containsInteger="1" minValue="100" maxValue="150000"/>
    </cacheField>
    <cacheField name="Hypotéky, úvěry ze s." numFmtId="0">
      <sharedItems containsBlank="1" containsMixedTypes="1" containsNumber="1" containsInteger="1" minValue="49000" maxValue="2500000" count="35">
        <s v="ne"/>
        <n v="1750000"/>
        <n v="1100000"/>
        <n v="1000000"/>
        <n v="525000"/>
        <n v="1150000"/>
        <n v="630000"/>
        <n v="404500"/>
        <n v="49000"/>
        <n v="572500"/>
        <n v="1215000"/>
        <n v="600000"/>
        <n v="2100000"/>
        <n v="263000"/>
        <n v="700000"/>
        <n v="1020000"/>
        <n v="625000"/>
        <n v="1110000"/>
        <n v="1500000"/>
        <n v="1400000"/>
        <n v="985000"/>
        <n v="1250000"/>
        <n v="595000"/>
        <n v="2500000"/>
        <n v="500000"/>
        <n v="1450000"/>
        <n v="1550000"/>
        <n v="665000"/>
        <n v="300000"/>
        <n v="850000"/>
        <n v="550000"/>
        <n v="1050000"/>
        <n v="200000"/>
        <n v="80000"/>
        <m/>
      </sharedItems>
    </cacheField>
    <cacheField name="Spotřebitelský úvěr" numFmtId="0">
      <sharedItems containsBlank="1" containsMixedTypes="1" containsNumber="1" containsInteger="1" minValue="15000" maxValue="550000"/>
    </cacheField>
    <cacheField name="Leasing" numFmtId="0">
      <sharedItems containsBlank="1" containsMixedTypes="1" containsNumber="1" containsInteger="1" minValue="250000" maxValue="350000"/>
    </cacheField>
    <cacheField name="Majetkové pojištění" numFmtId="0">
      <sharedItems containsBlank="1" containsMixedTypes="1" containsNumber="1" containsInteger="1" minValue="0" maxValue="800"/>
    </cacheField>
    <cacheField name="Povinné ručení, havarijnípoj." numFmtId="0">
      <sharedItems containsBlank="1" containsMixedTypes="1" containsNumber="1" containsInteger="1" minValue="100" maxValue="1700"/>
    </cacheField>
    <cacheField name="Věk2" numFmtId="0" databaseField="0">
      <fieldGroup base="1">
        <discretePr count="37">
          <x v="5"/>
          <x v="1"/>
          <x v="5"/>
          <x v="4"/>
          <x v="2"/>
          <x v="2"/>
          <x v="2"/>
          <x v="2"/>
          <x v="2"/>
          <x v="5"/>
          <x v="2"/>
          <x v="3"/>
          <x v="5"/>
          <x v="2"/>
          <x v="3"/>
          <x v="3"/>
          <x v="3"/>
          <x v="2"/>
          <x v="3"/>
          <x v="4"/>
          <x v="3"/>
          <x v="5"/>
          <x v="4"/>
          <x v="2"/>
          <x v="3"/>
          <x v="3"/>
          <x v="5"/>
          <x v="3"/>
          <x v="3"/>
          <x v="1"/>
          <x v="1"/>
          <x v="5"/>
          <x v="5"/>
          <x v="4"/>
          <x v="2"/>
          <x v="1"/>
          <x v="0"/>
        </discretePr>
        <groupItems count="6">
          <m/>
          <s v="Skupina1"/>
          <s v="Skupina2"/>
          <s v="Skupina3"/>
          <s v="Skupina4"/>
          <s v="Skupina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kub" refreshedDate="42052.85810208333" createdVersion="4" refreshedVersion="4" minRefreshableVersion="3" recordCount="184">
  <cacheSource type="worksheet">
    <worksheetSource ref="A1:Y185" sheet="Celková databáze"/>
  </cacheSource>
  <cacheFields count="26">
    <cacheField name="Pohlaví" numFmtId="0">
      <sharedItems count="11">
        <s v="muž"/>
        <s v="žena"/>
        <s v="*Středočeský kraj - obec = obce do 20000 obyvatel ve Středočeském kraji"/>
        <s v="*vysokoškolské - 1st = studium zakončené státní zkouškou a ziskem titulu bakalář"/>
        <s v="*vysokoškolské - 2st = studium zakončené státní zkouškou a ziskem titulu Ing./Mgr. - pro účely této práce zahrnuty i osoby s vyšším dosaženým titulem"/>
        <s v="*podnikatel = vlastní OSVČ, příp. vlastní společnost atp."/>
        <s v="*manuální pracovník/ce = např. prodavač, uklížečka, skladník, dělník atp."/>
        <s v="*státní zaměstnanec/kyně = např. policista, lékař, zdrav. sestra, učitelka atp."/>
        <s v="*pracovník/ce v administrativě = např. účetní, bankéř, úředník atp."/>
        <s v="*zvýrazněné dvojice tvoří společnou domácnost"/>
        <s v="*ženy, které jsou momentálně na mateřské dovolené a v tabulce je rovněž uveden jejich partner mají záměrně zkreslenou bilanci příjmů a výdajů, přičemž všechny jejich další výdaje jsou přičteny právě partnerovi"/>
      </sharedItems>
    </cacheField>
    <cacheField name="Věk" numFmtId="0">
      <sharedItems containsString="0" containsBlank="1" containsNumber="1" containsInteger="1" minValue="22" maxValue="65" count="37">
        <n v="53"/>
        <n v="23"/>
        <n v="51"/>
        <n v="62"/>
        <n v="28"/>
        <n v="29"/>
        <n v="31"/>
        <n v="30"/>
        <n v="27"/>
        <n v="47"/>
        <n v="32"/>
        <n v="40"/>
        <n v="48"/>
        <n v="26"/>
        <n v="39"/>
        <n v="43"/>
        <n v="44"/>
        <n v="34"/>
        <n v="41"/>
        <n v="63"/>
        <n v="36"/>
        <n v="50"/>
        <n v="65"/>
        <n v="35"/>
        <n v="37"/>
        <n v="42"/>
        <n v="46"/>
        <n v="45"/>
        <n v="38"/>
        <n v="25"/>
        <n v="24"/>
        <n v="52"/>
        <n v="49"/>
        <n v="56"/>
        <n v="33"/>
        <n v="22"/>
        <m/>
      </sharedItems>
      <fieldGroup par="25"/>
    </cacheField>
    <cacheField name="Stav" numFmtId="0">
      <sharedItems containsBlank="1" count="4">
        <s v="ženatý/vdaná"/>
        <s v="svobodný/á"/>
        <s v="rozvedený/á"/>
        <m/>
      </sharedItems>
    </cacheField>
    <cacheField name="Bydliště" numFmtId="0">
      <sharedItems containsBlank="1" count="4">
        <s v="Středočeský kraj - Kladno"/>
        <s v="Středočeský kraj - obec"/>
        <s v="Praha"/>
        <m/>
      </sharedItems>
    </cacheField>
    <cacheField name="Počet dětí" numFmtId="0">
      <sharedItems containsString="0" containsBlank="1" containsNumber="1" containsInteger="1" minValue="0" maxValue="3" count="5">
        <n v="2"/>
        <n v="0"/>
        <n v="1"/>
        <n v="3"/>
        <m/>
      </sharedItems>
    </cacheField>
    <cacheField name="Příjem" numFmtId="0">
      <sharedItems containsString="0" containsBlank="1" containsNumber="1" containsInteger="1" minValue="0" maxValue="120000"/>
    </cacheField>
    <cacheField name="Výdaje" numFmtId="0">
      <sharedItems containsString="0" containsBlank="1" containsNumber="1" containsInteger="1" minValue="0" maxValue="52400"/>
    </cacheField>
    <cacheField name="Bilance" numFmtId="0">
      <sharedItems containsString="0" containsBlank="1" containsNumber="1" containsInteger="1" minValue="-9400" maxValue="85000"/>
    </cacheField>
    <cacheField name="Vzdělání" numFmtId="0">
      <sharedItems containsBlank="1" count="6">
        <s v="vyučená/ý"/>
        <s v="maturita"/>
        <s v="vysokoškolské - 1st"/>
        <s v="vysokoškolské - 2st"/>
        <s v="základní"/>
        <m/>
      </sharedItems>
    </cacheField>
    <cacheField name="Zaměstnání" numFmtId="0">
      <sharedItems containsBlank="1" count="8">
        <s v="pracovník/ce v administrativě"/>
        <s v="manuální pracovník/ce"/>
        <s v="státní zaměstnanec/kyně"/>
        <s v="nezaměstnaný/á"/>
        <s v="manažer/ka, ředitel/ka"/>
        <s v="mateřská dovolená"/>
        <s v="podnikatel/ka"/>
        <m/>
      </sharedItems>
    </cacheField>
    <cacheField name="Typ bydlení" numFmtId="0">
      <sharedItems containsBlank="1"/>
    </cacheField>
    <cacheField name="Rezerva/BÚ,SÚ" numFmtId="0">
      <sharedItems containsString="0" containsBlank="1" containsNumber="1" containsInteger="1" minValue="0" maxValue="2000000"/>
    </cacheField>
    <cacheField name="Penzijní př." numFmtId="0">
      <sharedItems containsBlank="1" containsMixedTypes="1" containsNumber="1" containsInteger="1" minValue="100" maxValue="2000" count="12">
        <n v="1000"/>
        <n v="300"/>
        <n v="500"/>
        <s v="ne"/>
        <n v="600"/>
        <n v="100"/>
        <n v="200"/>
        <n v="350"/>
        <n v="1500"/>
        <n v="2000"/>
        <n v="800"/>
        <m/>
      </sharedItems>
    </cacheField>
    <cacheField name="II.pilíř" numFmtId="0">
      <sharedItems containsBlank="1" count="3">
        <s v="ne"/>
        <s v="ano"/>
        <m/>
      </sharedItems>
    </cacheField>
    <cacheField name="Životní pojištění" numFmtId="0">
      <sharedItems containsBlank="1" containsMixedTypes="1" containsNumber="1" containsInteger="1" minValue="204" maxValue="9000" count="97">
        <s v="ne"/>
        <n v="350"/>
        <n v="742"/>
        <n v="666"/>
        <n v="1295"/>
        <n v="1791"/>
        <n v="782"/>
        <n v="660"/>
        <n v="319"/>
        <n v="500"/>
        <n v="1537"/>
        <n v="690"/>
        <n v="695"/>
        <n v="780"/>
        <n v="400"/>
        <n v="974"/>
        <n v="1809"/>
        <n v="950"/>
        <n v="895"/>
        <n v="700"/>
        <n v="1728"/>
        <n v="900"/>
        <n v="542"/>
        <n v="250"/>
        <n v="650"/>
        <n v="430"/>
        <n v="890"/>
        <n v="324"/>
        <n v="710"/>
        <n v="300"/>
        <n v="1000"/>
        <n v="595"/>
        <n v="840"/>
        <n v="850"/>
        <n v="1200"/>
        <n v="1790"/>
        <n v="600"/>
        <n v="1600"/>
        <n v="1300"/>
        <n v="1500"/>
        <n v="1180"/>
        <n v="680"/>
        <n v="675"/>
        <n v="558"/>
        <n v="1170"/>
        <n v="800"/>
        <n v="620"/>
        <n v="310"/>
        <n v="790"/>
        <n v="940"/>
        <n v="565"/>
        <n v="1455"/>
        <n v="770"/>
        <n v="1400"/>
        <n v="2000"/>
        <n v="1100"/>
        <n v="1875"/>
        <n v="1293"/>
        <n v="817"/>
        <n v="672"/>
        <n v="922"/>
        <n v="2486"/>
        <n v="204"/>
        <n v="4327"/>
        <n v="504"/>
        <n v="1347"/>
        <n v="748"/>
        <n v="395"/>
        <n v="1338"/>
        <n v="1261"/>
        <n v="9000"/>
        <n v="1053"/>
        <n v="1335"/>
        <n v="560"/>
        <n v="1800"/>
        <n v="1304"/>
        <n v="420"/>
        <n v="711"/>
        <n v="550"/>
        <n v="1107"/>
        <n v="750"/>
        <n v="640"/>
        <n v="825"/>
        <n v="820"/>
        <n v="1535"/>
        <n v="901"/>
        <n v="1044"/>
        <n v="1750"/>
        <n v="1020"/>
        <n v="879"/>
        <n v="720"/>
        <n v="1005"/>
        <n v="506"/>
        <n v="725"/>
        <n v="1650"/>
        <n v="537"/>
        <m/>
      </sharedItems>
    </cacheField>
    <cacheField name="Pravidelné investice/měsíc" numFmtId="0">
      <sharedItems containsBlank="1" containsMixedTypes="1" containsNumber="1" containsInteger="1" minValue="100" maxValue="8400" count="20">
        <n v="1380"/>
        <s v="ne"/>
        <n v="1300"/>
        <n v="500"/>
        <n v="2000"/>
        <n v="6100"/>
        <n v="2500"/>
        <n v="1000"/>
        <n v="600"/>
        <n v="700"/>
        <n v="1500"/>
        <n v="1100"/>
        <n v="800"/>
        <n v="5000"/>
        <n v="100"/>
        <n v="4000"/>
        <n v="1700"/>
        <n v="8400"/>
        <n v="3000"/>
        <m/>
      </sharedItems>
    </cacheField>
    <cacheField name="Jednorázové investice" numFmtId="0">
      <sharedItems containsBlank="1" containsMixedTypes="1" containsNumber="1" containsInteger="1" minValue="20000" maxValue="1000000" count="9">
        <n v="550000"/>
        <s v="ne"/>
        <n v="500000"/>
        <n v="100000"/>
        <n v="20000"/>
        <n v="50000"/>
        <n v="1000000"/>
        <n v="200000"/>
        <m/>
      </sharedItems>
    </cacheField>
    <cacheField name="Jiné investice(nemovitosti)" numFmtId="0">
      <sharedItems containsBlank="1" containsMixedTypes="1" containsNumber="1" containsInteger="1" minValue="200000" maxValue="2500000" count="13">
        <s v="ne"/>
        <n v="600000"/>
        <n v="2000000"/>
        <n v="1500000"/>
        <n v="750000"/>
        <n v="1400000"/>
        <n v="2500000"/>
        <n v="200000"/>
        <n v="500000"/>
        <n v="1600000"/>
        <n v="1000000"/>
        <n v="1750000"/>
        <m/>
      </sharedItems>
    </cacheField>
    <cacheField name="Stavební spoření" numFmtId="0">
      <sharedItems containsBlank="1" containsMixedTypes="1" containsNumber="1" containsInteger="1" minValue="100" maxValue="150000" count="14">
        <s v="ne"/>
        <n v="1700"/>
        <n v="150000"/>
        <n v="500"/>
        <n v="1500"/>
        <n v="2400"/>
        <n v="400"/>
        <n v="300"/>
        <n v="100"/>
        <n v="200"/>
        <n v="1000"/>
        <n v="2500"/>
        <n v="1750"/>
        <m/>
      </sharedItems>
    </cacheField>
    <cacheField name="Hypotéky, úvěry ze s." numFmtId="0">
      <sharedItems containsBlank="1" containsMixedTypes="1" containsNumber="1" containsInteger="1" minValue="49000" maxValue="2500000" count="35">
        <s v="ne"/>
        <n v="1750000"/>
        <n v="1100000"/>
        <n v="1000000"/>
        <n v="525000"/>
        <n v="1150000"/>
        <n v="630000"/>
        <n v="404500"/>
        <n v="49000"/>
        <n v="572500"/>
        <n v="1215000"/>
        <n v="600000"/>
        <n v="2100000"/>
        <n v="263000"/>
        <n v="700000"/>
        <n v="1020000"/>
        <n v="625000"/>
        <n v="1110000"/>
        <n v="1500000"/>
        <n v="1400000"/>
        <n v="985000"/>
        <n v="1250000"/>
        <n v="595000"/>
        <n v="2500000"/>
        <n v="500000"/>
        <n v="1450000"/>
        <n v="1550000"/>
        <n v="665000"/>
        <n v="300000"/>
        <n v="850000"/>
        <n v="550000"/>
        <n v="1050000"/>
        <n v="200000"/>
        <n v="80000"/>
        <m/>
      </sharedItems>
    </cacheField>
    <cacheField name="Spotřebitelský úvěr" numFmtId="0">
      <sharedItems containsBlank="1" containsMixedTypes="1" containsNumber="1" containsInteger="1" minValue="15000" maxValue="550000" count="19">
        <s v="ne"/>
        <n v="150000"/>
        <n v="15000"/>
        <n v="52000"/>
        <n v="294055"/>
        <n v="550000"/>
        <n v="230000"/>
        <n v="470000"/>
        <n v="240000"/>
        <n v="125000"/>
        <n v="112000"/>
        <n v="68000"/>
        <n v="50000"/>
        <n v="212435"/>
        <n v="130000"/>
        <n v="300000"/>
        <n v="200000"/>
        <n v="100000"/>
        <m/>
      </sharedItems>
    </cacheField>
    <cacheField name="Leasing" numFmtId="0">
      <sharedItems containsBlank="1" containsMixedTypes="1" containsNumber="1" containsInteger="1" minValue="250000" maxValue="350000"/>
    </cacheField>
    <cacheField name="Majetkové pojištění" numFmtId="0">
      <sharedItems containsBlank="1" containsMixedTypes="1" containsNumber="1" containsInteger="1" minValue="0" maxValue="800" count="59">
        <s v="ne"/>
        <n v="372"/>
        <n v="250"/>
        <n v="300"/>
        <n v="100"/>
        <n v="65"/>
        <n v="95"/>
        <n v="172"/>
        <n v="150"/>
        <n v="350"/>
        <n v="213"/>
        <n v="64"/>
        <n v="141"/>
        <n v="221"/>
        <n v="370"/>
        <n v="610"/>
        <n v="394"/>
        <n v="314"/>
        <n v="0"/>
        <n v="120"/>
        <n v="124"/>
        <n v="130"/>
        <n v="190"/>
        <n v="550"/>
        <n v="199"/>
        <n v="366"/>
        <n v="800"/>
        <n v="216"/>
        <n v="385"/>
        <n v="50"/>
        <n v="80"/>
        <n v="450"/>
        <n v="131"/>
        <n v="160"/>
        <n v="182"/>
        <n v="156"/>
        <n v="45"/>
        <n v="79"/>
        <n v="204"/>
        <n v="91"/>
        <n v="168"/>
        <n v="468"/>
        <n v="188"/>
        <n v="127"/>
        <n v="198"/>
        <n v="166"/>
        <n v="105"/>
        <n v="290"/>
        <n v="220"/>
        <n v="310"/>
        <m/>
        <n v="322"/>
        <n v="433"/>
        <n v="81"/>
        <n v="157"/>
        <n v="170"/>
        <n v="276"/>
        <n v="133"/>
        <n v="500"/>
      </sharedItems>
    </cacheField>
    <cacheField name="Povinné ručení, havarijnípoj." numFmtId="0">
      <sharedItems containsBlank="1" containsMixedTypes="1" containsNumber="1" containsInteger="1" minValue="100" maxValue="1700" count="46">
        <s v="ne"/>
        <n v="300"/>
        <n v="250"/>
        <n v="380"/>
        <n v="198"/>
        <n v="375"/>
        <n v="355"/>
        <n v="372"/>
        <n v="280"/>
        <n v="222"/>
        <n v="210"/>
        <n v="208"/>
        <n v="600"/>
        <n v="200"/>
        <n v="350"/>
        <n v="358"/>
        <n v="390"/>
        <n v="288"/>
        <n v="1200"/>
        <n v="330"/>
        <n v="180"/>
        <n v="460"/>
        <n v="1700"/>
        <n v="175"/>
        <n v="739"/>
        <n v="100"/>
        <n v="238"/>
        <n v="866"/>
        <n v="217"/>
        <n v="436"/>
        <n v="150"/>
        <n v="650"/>
        <n v="173"/>
        <n v="225"/>
        <n v="266"/>
        <m/>
        <n v="371"/>
        <n v="383"/>
        <n v="233"/>
        <n v="133"/>
        <n v="761"/>
        <n v="120"/>
        <n v="307"/>
        <n v="262"/>
        <n v="750"/>
        <n v="591"/>
      </sharedItems>
    </cacheField>
    <cacheField name="Celkový soubor osob" numFmtId="0">
      <sharedItems containsNonDate="0" containsString="0" containsBlank="1" count="1">
        <m/>
      </sharedItems>
    </cacheField>
    <cacheField name="Věk2" numFmtId="0" databaseField="0">
      <fieldGroup base="1">
        <discretePr count="37">
          <x v="6"/>
          <x v="1"/>
          <x v="6"/>
          <x v="7"/>
          <x v="2"/>
          <x v="2"/>
          <x v="2"/>
          <x v="2"/>
          <x v="2"/>
          <x v="6"/>
          <x v="2"/>
          <x v="3"/>
          <x v="6"/>
          <x v="2"/>
          <x v="3"/>
          <x v="3"/>
          <x v="3"/>
          <x v="2"/>
          <x v="3"/>
          <x v="7"/>
          <x v="3"/>
          <x v="6"/>
          <x v="5"/>
          <x v="2"/>
          <x v="3"/>
          <x v="3"/>
          <x v="6"/>
          <x v="3"/>
          <x v="3"/>
          <x v="1"/>
          <x v="1"/>
          <x v="4"/>
          <x v="6"/>
          <x v="7"/>
          <x v="2"/>
          <x v="1"/>
          <x v="0"/>
        </discretePr>
        <groupItems count="8">
          <m/>
          <s v="Skupina1"/>
          <s v="Skupina2"/>
          <s v="Skupina3"/>
          <s v="52"/>
          <s v="65"/>
          <s v="Skupina5"/>
          <s v="Skupina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akub" refreshedDate="42054.546496643517" createdVersion="4" refreshedVersion="4" minRefreshableVersion="3" recordCount="175">
  <cacheSource type="worksheet">
    <worksheetSource ref="A1:Y176" sheet="Celková databáze"/>
  </cacheSource>
  <cacheFields count="27">
    <cacheField name="Pohlaví" numFmtId="0">
      <sharedItems count="2">
        <s v="muž"/>
        <s v="žena"/>
      </sharedItems>
    </cacheField>
    <cacheField name="Věk" numFmtId="0">
      <sharedItems containsSemiMixedTypes="0" containsString="0" containsNumber="1" containsInteger="1" minValue="22" maxValue="65" count="36">
        <n v="53"/>
        <n v="23"/>
        <n v="51"/>
        <n v="62"/>
        <n v="28"/>
        <n v="29"/>
        <n v="31"/>
        <n v="30"/>
        <n v="27"/>
        <n v="47"/>
        <n v="32"/>
        <n v="40"/>
        <n v="48"/>
        <n v="26"/>
        <n v="39"/>
        <n v="43"/>
        <n v="44"/>
        <n v="34"/>
        <n v="41"/>
        <n v="63"/>
        <n v="36"/>
        <n v="50"/>
        <n v="65"/>
        <n v="35"/>
        <n v="37"/>
        <n v="42"/>
        <n v="46"/>
        <n v="45"/>
        <n v="38"/>
        <n v="25"/>
        <n v="24"/>
        <n v="52"/>
        <n v="49"/>
        <n v="56"/>
        <n v="33"/>
        <n v="22"/>
      </sharedItems>
      <fieldGroup par="26"/>
    </cacheField>
    <cacheField name="Stav" numFmtId="0">
      <sharedItems count="3">
        <s v="ženatý/vdaná"/>
        <s v="svobodný/á"/>
        <s v="rozvedený/á"/>
      </sharedItems>
    </cacheField>
    <cacheField name="Bydliště" numFmtId="0">
      <sharedItems count="3">
        <s v="Středočeský kraj - Kladno"/>
        <s v="Středočeský kraj - obec"/>
        <s v="Praha"/>
      </sharedItems>
    </cacheField>
    <cacheField name="Počet dětí" numFmtId="0">
      <sharedItems containsSemiMixedTypes="0" containsString="0" containsNumber="1" containsInteger="1" minValue="0" maxValue="3" count="4">
        <n v="2"/>
        <n v="0"/>
        <n v="1"/>
        <n v="3"/>
      </sharedItems>
    </cacheField>
    <cacheField name="Příjem" numFmtId="0">
      <sharedItems containsSemiMixedTypes="0" containsString="0" containsNumber="1" containsInteger="1" minValue="0" maxValue="120000" count="60">
        <n v="14000"/>
        <n v="10500"/>
        <n v="15000"/>
        <n v="33000"/>
        <n v="0"/>
        <n v="35000"/>
        <n v="34000"/>
        <n v="7600"/>
        <n v="13200"/>
        <n v="30000"/>
        <n v="21000"/>
        <n v="23000"/>
        <n v="25000"/>
        <n v="23800"/>
        <n v="40000"/>
        <n v="22500"/>
        <n v="22000"/>
        <n v="67000"/>
        <n v="12000"/>
        <n v="17000"/>
        <n v="24000"/>
        <n v="18000"/>
        <n v="17200"/>
        <n v="26500"/>
        <n v="40398"/>
        <n v="29000"/>
        <n v="16000"/>
        <n v="20000"/>
        <n v="32000"/>
        <n v="6800"/>
        <n v="8500"/>
        <n v="15400"/>
        <n v="68000"/>
        <n v="25500"/>
        <n v="13000"/>
        <n v="26000"/>
        <n v="27000"/>
        <n v="6500"/>
        <n v="19700"/>
        <n v="39500"/>
        <n v="27500"/>
        <n v="19000"/>
        <n v="28000"/>
        <n v="11000"/>
        <n v="60000"/>
        <n v="10000"/>
        <n v="50000"/>
        <n v="36000"/>
        <n v="63000"/>
        <n v="15600"/>
        <n v="100000"/>
        <n v="11600"/>
        <n v="10200"/>
        <n v="30600"/>
        <n v="20400"/>
        <n v="34500"/>
        <n v="21400"/>
        <n v="80000"/>
        <n v="10100"/>
        <n v="120000"/>
      </sharedItems>
    </cacheField>
    <cacheField name="Výdaje" numFmtId="0">
      <sharedItems containsSemiMixedTypes="0" containsString="0" containsNumber="1" containsInteger="1" minValue="0" maxValue="52400"/>
    </cacheField>
    <cacheField name="Bilance" numFmtId="0">
      <sharedItems containsSemiMixedTypes="0" containsString="0" containsNumber="1" containsInteger="1" minValue="-9400" maxValue="85000" count="80">
        <n v="-4700"/>
        <n v="3300"/>
        <n v="5000"/>
        <n v="18000"/>
        <n v="0"/>
        <n v="11000"/>
        <n v="6000"/>
        <n v="3600"/>
        <n v="-6000"/>
        <n v="-2400"/>
        <n v="8000"/>
        <n v="3800"/>
        <n v="1730"/>
        <n v="12000"/>
        <n v="-9400"/>
        <n v="23700"/>
        <n v="12200"/>
        <n v="10000"/>
        <n v="26000"/>
        <n v="20000"/>
        <n v="2000"/>
        <n v="17200"/>
        <n v="5050"/>
        <n v="7000"/>
        <n v="2230"/>
        <n v="7850"/>
        <n v="5950"/>
        <n v="14400"/>
        <n v="1400"/>
        <n v="27398"/>
        <n v="9930"/>
        <n v="27500"/>
        <n v="7500"/>
        <n v="15000"/>
        <n v="3000"/>
        <n v="13800"/>
        <n v="6800"/>
        <n v="18500"/>
        <n v="400"/>
        <n v="1900"/>
        <n v="7900"/>
        <n v="48325"/>
        <n v="5825"/>
        <n v="2380"/>
        <n v="7400"/>
        <n v="9000"/>
        <n v="13300"/>
        <n v="3150"/>
        <n v="13000"/>
        <n v="3200"/>
        <n v="1000"/>
        <n v="11200"/>
        <n v="15400"/>
        <n v="22000"/>
        <n v="10700"/>
        <n v="19000"/>
        <n v="6450"/>
        <n v="7100"/>
        <n v="19600"/>
        <n v="14000"/>
        <n v="10450"/>
        <n v="10600"/>
        <n v="62000"/>
        <n v="7700"/>
        <n v="600"/>
        <n v="-1000"/>
        <n v="8300"/>
        <n v="6720"/>
        <n v="4000"/>
        <n v="2500"/>
        <n v="5500"/>
        <n v="4500"/>
        <n v="2100"/>
        <n v="22500"/>
        <n v="12500"/>
        <n v="1550"/>
        <n v="9550"/>
        <n v="45400"/>
        <n v="2300"/>
        <n v="85000"/>
      </sharedItems>
    </cacheField>
    <cacheField name="Vzdělání" numFmtId="0">
      <sharedItems count="5">
        <s v="vyučená/ý"/>
        <s v="maturita"/>
        <s v="vysokoškolské - 1st"/>
        <s v="vysokoškolské - 2st"/>
        <s v="základní"/>
      </sharedItems>
    </cacheField>
    <cacheField name="Zaměstnání" numFmtId="0">
      <sharedItems count="7">
        <s v="pracovník/ce v administrativě"/>
        <s v="manuální pracovník/ce"/>
        <s v="státní zaměstnanec/kyně"/>
        <s v="nezaměstnaný/á"/>
        <s v="manažer/ka, ředitel/ka"/>
        <s v="mateřská dovolená"/>
        <s v="podnikatel/ka"/>
      </sharedItems>
    </cacheField>
    <cacheField name="Typ bydlení" numFmtId="0">
      <sharedItems/>
    </cacheField>
    <cacheField name="Rezerva/BÚ,SÚ" numFmtId="0">
      <sharedItems containsSemiMixedTypes="0" containsString="0" containsNumber="1" containsInteger="1" minValue="0" maxValue="2000000" count="37">
        <n v="1500000"/>
        <n v="20000"/>
        <n v="30000"/>
        <n v="0"/>
        <n v="150000"/>
        <n v="10000"/>
        <n v="25000"/>
        <n v="100000"/>
        <n v="75000"/>
        <n v="300000"/>
        <n v="125000"/>
        <n v="35000"/>
        <n v="5000"/>
        <n v="80000"/>
        <n v="400000"/>
        <n v="200000"/>
        <n v="55000"/>
        <n v="135000"/>
        <n v="15000"/>
        <n v="45000"/>
        <n v="170000"/>
        <n v="7500"/>
        <n v="500000"/>
        <n v="110000"/>
        <n v="220000"/>
        <n v="60000"/>
        <n v="250000"/>
        <n v="40000"/>
        <n v="350000"/>
        <n v="50000"/>
        <n v="265000"/>
        <n v="950000"/>
        <n v="600000"/>
        <n v="120000"/>
        <n v="34000"/>
        <n v="2000000"/>
        <n v="1000000"/>
      </sharedItems>
    </cacheField>
    <cacheField name="Penzijní př." numFmtId="0">
      <sharedItems containsMixedTypes="1" containsNumber="1" containsInteger="1" minValue="100" maxValue="2000"/>
    </cacheField>
    <cacheField name="II.pilíř" numFmtId="0">
      <sharedItems count="2">
        <s v="ne"/>
        <s v="ano"/>
      </sharedItems>
    </cacheField>
    <cacheField name="Životní pojištění" numFmtId="0">
      <sharedItems containsMixedTypes="1" containsNumber="1" containsInteger="1" minValue="204" maxValue="9000" count="96">
        <s v="ne"/>
        <n v="350"/>
        <n v="742"/>
        <n v="666"/>
        <n v="1295"/>
        <n v="1791"/>
        <n v="782"/>
        <n v="660"/>
        <n v="319"/>
        <n v="500"/>
        <n v="1537"/>
        <n v="690"/>
        <n v="695"/>
        <n v="780"/>
        <n v="400"/>
        <n v="974"/>
        <n v="1809"/>
        <n v="950"/>
        <n v="895"/>
        <n v="700"/>
        <n v="1728"/>
        <n v="900"/>
        <n v="542"/>
        <n v="250"/>
        <n v="650"/>
        <n v="430"/>
        <n v="890"/>
        <n v="324"/>
        <n v="710"/>
        <n v="300"/>
        <n v="1000"/>
        <n v="595"/>
        <n v="840"/>
        <n v="850"/>
        <n v="1200"/>
        <n v="1790"/>
        <n v="600"/>
        <n v="1600"/>
        <n v="1300"/>
        <n v="1500"/>
        <n v="1180"/>
        <n v="680"/>
        <n v="675"/>
        <n v="558"/>
        <n v="1170"/>
        <n v="800"/>
        <n v="620"/>
        <n v="310"/>
        <n v="790"/>
        <n v="940"/>
        <n v="565"/>
        <n v="1455"/>
        <n v="770"/>
        <n v="1400"/>
        <n v="2000"/>
        <n v="1100"/>
        <n v="1875"/>
        <n v="1293"/>
        <n v="817"/>
        <n v="672"/>
        <n v="922"/>
        <n v="2486"/>
        <n v="204"/>
        <n v="4327"/>
        <n v="504"/>
        <n v="1347"/>
        <n v="748"/>
        <n v="395"/>
        <n v="1338"/>
        <n v="1261"/>
        <n v="9000"/>
        <n v="1053"/>
        <n v="1335"/>
        <n v="560"/>
        <n v="1800"/>
        <n v="1304"/>
        <n v="420"/>
        <n v="711"/>
        <n v="550"/>
        <n v="1107"/>
        <n v="750"/>
        <n v="640"/>
        <n v="825"/>
        <n v="820"/>
        <n v="1535"/>
        <n v="901"/>
        <n v="1044"/>
        <n v="1750"/>
        <n v="1020"/>
        <n v="879"/>
        <n v="720"/>
        <n v="1005"/>
        <n v="506"/>
        <n v="725"/>
        <n v="1650"/>
        <n v="537"/>
      </sharedItems>
      <fieldGroup par="25"/>
    </cacheField>
    <cacheField name="Pravidelné investice/měsíc" numFmtId="0">
      <sharedItems containsMixedTypes="1" containsNumber="1" containsInteger="1" minValue="100" maxValue="8400"/>
    </cacheField>
    <cacheField name="Jednorázové investice" numFmtId="0">
      <sharedItems containsMixedTypes="1" containsNumber="1" containsInteger="1" minValue="20000" maxValue="1000000"/>
    </cacheField>
    <cacheField name="Jiné investice(nemovitosti)" numFmtId="0">
      <sharedItems containsMixedTypes="1" containsNumber="1" containsInteger="1" minValue="200000" maxValue="2500000"/>
    </cacheField>
    <cacheField name="Stavební spoření" numFmtId="0">
      <sharedItems containsMixedTypes="1" containsNumber="1" containsInteger="1" minValue="100" maxValue="2500" count="12">
        <s v="ne"/>
        <n v="1700"/>
        <n v="1500"/>
        <n v="500"/>
        <n v="2400"/>
        <n v="400"/>
        <n v="300"/>
        <n v="100"/>
        <n v="200"/>
        <n v="1000"/>
        <n v="2500"/>
        <n v="1750"/>
      </sharedItems>
    </cacheField>
    <cacheField name="Hypotéky, úvěry ze s." numFmtId="0">
      <sharedItems containsMixedTypes="1" containsNumber="1" containsInteger="1" minValue="49000" maxValue="2500000" count="34">
        <s v="ne"/>
        <n v="1750000"/>
        <n v="1100000"/>
        <n v="1000000"/>
        <n v="525000"/>
        <n v="1150000"/>
        <n v="630000"/>
        <n v="404500"/>
        <n v="49000"/>
        <n v="572500"/>
        <n v="1215000"/>
        <n v="600000"/>
        <n v="2100000"/>
        <n v="263000"/>
        <n v="700000"/>
        <n v="1020000"/>
        <n v="625000"/>
        <n v="1110000"/>
        <n v="1500000"/>
        <n v="1400000"/>
        <n v="985000"/>
        <n v="1250000"/>
        <n v="595000"/>
        <n v="2500000"/>
        <n v="500000"/>
        <n v="1450000"/>
        <n v="1550000"/>
        <n v="665000"/>
        <n v="300000"/>
        <n v="850000"/>
        <n v="550000"/>
        <n v="1050000"/>
        <n v="200000"/>
        <n v="80000"/>
      </sharedItems>
    </cacheField>
    <cacheField name="Spotřebitelský úvěr" numFmtId="0">
      <sharedItems containsMixedTypes="1" containsNumber="1" containsInteger="1" minValue="15000" maxValue="550000"/>
    </cacheField>
    <cacheField name="Leasing" numFmtId="0">
      <sharedItems containsMixedTypes="1" containsNumber="1" containsInteger="1" minValue="250000" maxValue="350000"/>
    </cacheField>
    <cacheField name="Majetkové pojištění" numFmtId="0">
      <sharedItems containsMixedTypes="1" containsNumber="1" containsInteger="1" minValue="45" maxValue="800" count="57">
        <s v="ne"/>
        <n v="372"/>
        <n v="250"/>
        <n v="300"/>
        <n v="100"/>
        <n v="65"/>
        <n v="95"/>
        <n v="172"/>
        <n v="150"/>
        <n v="350"/>
        <n v="213"/>
        <n v="64"/>
        <n v="141"/>
        <n v="221"/>
        <n v="370"/>
        <n v="610"/>
        <n v="394"/>
        <n v="314"/>
        <n v="120"/>
        <n v="124"/>
        <n v="130"/>
        <n v="190"/>
        <n v="550"/>
        <n v="199"/>
        <n v="366"/>
        <n v="800"/>
        <n v="216"/>
        <n v="385"/>
        <n v="50"/>
        <n v="80"/>
        <n v="450"/>
        <n v="131"/>
        <n v="160"/>
        <n v="182"/>
        <n v="156"/>
        <n v="45"/>
        <n v="79"/>
        <n v="204"/>
        <n v="91"/>
        <n v="168"/>
        <n v="468"/>
        <n v="188"/>
        <n v="127"/>
        <n v="198"/>
        <n v="166"/>
        <n v="105"/>
        <n v="290"/>
        <n v="220"/>
        <n v="310"/>
        <n v="322"/>
        <n v="433"/>
        <n v="81"/>
        <n v="157"/>
        <n v="170"/>
        <n v="276"/>
        <n v="133"/>
        <n v="500"/>
      </sharedItems>
    </cacheField>
    <cacheField name="Povinné ručení, havarijnípoj." numFmtId="0">
      <sharedItems containsMixedTypes="1" containsNumber="1" containsInteger="1" minValue="100" maxValue="1700" count="45">
        <s v="ne"/>
        <n v="300"/>
        <n v="250"/>
        <n v="380"/>
        <n v="198"/>
        <n v="375"/>
        <n v="355"/>
        <n v="372"/>
        <n v="280"/>
        <n v="222"/>
        <n v="210"/>
        <n v="208"/>
        <n v="600"/>
        <n v="200"/>
        <n v="350"/>
        <n v="358"/>
        <n v="390"/>
        <n v="288"/>
        <n v="1200"/>
        <n v="330"/>
        <n v="180"/>
        <n v="460"/>
        <n v="1700"/>
        <n v="175"/>
        <n v="739"/>
        <n v="100"/>
        <n v="238"/>
        <n v="866"/>
        <n v="217"/>
        <n v="436"/>
        <n v="150"/>
        <n v="650"/>
        <n v="173"/>
        <n v="225"/>
        <n v="266"/>
        <n v="371"/>
        <n v="383"/>
        <n v="233"/>
        <n v="133"/>
        <n v="761"/>
        <n v="120"/>
        <n v="307"/>
        <n v="262"/>
        <n v="750"/>
        <n v="591"/>
      </sharedItems>
    </cacheField>
    <cacheField name="Celkový soubor osob" numFmtId="0">
      <sharedItems containsNonDate="0" containsString="0" containsBlank="1"/>
    </cacheField>
    <cacheField name="Životní pojištění2" numFmtId="0" databaseField="0">
      <fieldGroup base="14">
        <discretePr count="96">
          <x v="0"/>
          <x v="1"/>
          <x v="2"/>
          <x v="3"/>
          <x v="4"/>
          <x v="5"/>
          <x v="46"/>
          <x v="6"/>
          <x v="46"/>
          <x v="46"/>
          <x v="7"/>
          <x v="46"/>
          <x v="46"/>
          <x v="8"/>
          <x v="9"/>
          <x v="46"/>
          <x v="10"/>
          <x v="46"/>
          <x v="46"/>
          <x v="11"/>
          <x v="12"/>
          <x v="46"/>
          <x v="46"/>
          <x v="46"/>
          <x v="46"/>
          <x v="13"/>
          <x v="46"/>
          <x v="14"/>
          <x v="15"/>
          <x v="46"/>
          <x v="46"/>
          <x v="16"/>
          <x v="17"/>
          <x v="18"/>
          <x v="46"/>
          <x v="19"/>
          <x v="46"/>
          <x v="20"/>
          <x v="46"/>
          <x v="46"/>
          <x v="46"/>
          <x v="46"/>
          <x v="21"/>
          <x v="22"/>
          <x v="46"/>
          <x v="46"/>
          <x v="23"/>
          <x v="24"/>
          <x v="46"/>
          <x v="46"/>
          <x v="46"/>
          <x v="46"/>
          <x v="46"/>
          <x v="46"/>
          <x v="46"/>
          <x v="46"/>
          <x v="25"/>
          <x v="46"/>
          <x v="26"/>
          <x v="27"/>
          <x v="46"/>
          <x v="46"/>
          <x v="28"/>
          <x v="46"/>
          <x v="29"/>
          <x v="30"/>
          <x v="31"/>
          <x v="46"/>
          <x v="46"/>
          <x v="46"/>
          <x v="46"/>
          <x v="32"/>
          <x v="46"/>
          <x v="33"/>
          <x v="34"/>
          <x v="35"/>
          <x v="36"/>
          <x v="37"/>
          <x v="38"/>
          <x v="39"/>
          <x v="46"/>
          <x v="46"/>
          <x v="46"/>
          <x v="46"/>
          <x v="40"/>
          <x v="46"/>
          <x v="41"/>
          <x v="42"/>
          <x v="46"/>
          <x v="46"/>
          <x v="43"/>
          <x v="46"/>
          <x v="44"/>
          <x v="45"/>
          <x v="46"/>
          <x v="46"/>
        </discretePr>
        <groupItems count="47">
          <s v="ne"/>
          <n v="350"/>
          <n v="742"/>
          <n v="666"/>
          <n v="1295"/>
          <n v="1791"/>
          <n v="660"/>
          <n v="1537"/>
          <n v="780"/>
          <n v="400"/>
          <n v="1809"/>
          <n v="700"/>
          <n v="1728"/>
          <n v="430"/>
          <n v="324"/>
          <n v="710"/>
          <n v="595"/>
          <n v="840"/>
          <n v="850"/>
          <n v="1790"/>
          <n v="1600"/>
          <n v="675"/>
          <n v="558"/>
          <n v="620"/>
          <n v="310"/>
          <n v="1875"/>
          <n v="817"/>
          <n v="672"/>
          <n v="204"/>
          <n v="504"/>
          <n v="1347"/>
          <n v="748"/>
          <n v="1053"/>
          <n v="560"/>
          <n v="1800"/>
          <n v="1304"/>
          <n v="420"/>
          <n v="711"/>
          <n v="550"/>
          <n v="1107"/>
          <n v="1535"/>
          <n v="1044"/>
          <n v="1750"/>
          <n v="720"/>
          <n v="506"/>
          <n v="725"/>
          <s v="Skupina1"/>
        </groupItems>
      </fieldGroup>
    </cacheField>
    <cacheField name="Věk2" numFmtId="0" databaseField="0">
      <fieldGroup base="1">
        <discretePr count="36">
          <x v="2"/>
          <x v="4"/>
          <x v="2"/>
          <x v="3"/>
          <x v="0"/>
          <x v="0"/>
          <x v="0"/>
          <x v="0"/>
          <x v="0"/>
          <x v="2"/>
          <x v="0"/>
          <x v="1"/>
          <x v="2"/>
          <x v="0"/>
          <x v="1"/>
          <x v="1"/>
          <x v="1"/>
          <x v="0"/>
          <x v="1"/>
          <x v="3"/>
          <x v="1"/>
          <x v="2"/>
          <x v="3"/>
          <x v="0"/>
          <x v="1"/>
          <x v="1"/>
          <x v="2"/>
          <x v="1"/>
          <x v="1"/>
          <x v="4"/>
          <x v="4"/>
          <x v="2"/>
          <x v="2"/>
          <x v="3"/>
          <x v="0"/>
          <x v="4"/>
        </discretePr>
        <groupItems count="5">
          <s v="Skupina2"/>
          <s v="Skupina3"/>
          <s v="Skupina4"/>
          <s v="Skupina5"/>
          <s v="Skupina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akub" refreshedDate="42058.966340740742" createdVersion="4" refreshedVersion="4" minRefreshableVersion="3" recordCount="175">
  <cacheSource type="worksheet">
    <worksheetSource ref="B1:Y176" sheet="Celková databáze"/>
  </cacheSource>
  <cacheFields count="24">
    <cacheField name="Věk" numFmtId="0">
      <sharedItems containsSemiMixedTypes="0" containsString="0" containsNumber="1" containsInteger="1" minValue="22" maxValue="65"/>
    </cacheField>
    <cacheField name="Stav" numFmtId="0">
      <sharedItems/>
    </cacheField>
    <cacheField name="Bydliště" numFmtId="0">
      <sharedItems/>
    </cacheField>
    <cacheField name="Počet dětí" numFmtId="0">
      <sharedItems containsSemiMixedTypes="0" containsString="0" containsNumber="1" containsInteger="1" minValue="0" maxValue="3"/>
    </cacheField>
    <cacheField name="Příjem" numFmtId="0">
      <sharedItems containsSemiMixedTypes="0" containsString="0" containsNumber="1" containsInteger="1" minValue="0" maxValue="120000"/>
    </cacheField>
    <cacheField name="Výdaje" numFmtId="0">
      <sharedItems containsSemiMixedTypes="0" containsString="0" containsNumber="1" containsInteger="1" minValue="0" maxValue="52400"/>
    </cacheField>
    <cacheField name="Bilance" numFmtId="0">
      <sharedItems containsSemiMixedTypes="0" containsString="0" containsNumber="1" containsInteger="1" minValue="-9400" maxValue="85000"/>
    </cacheField>
    <cacheField name="Vzdělání" numFmtId="0">
      <sharedItems count="5">
        <s v="vyučená/ý"/>
        <s v="maturita"/>
        <s v="vysokoškolské - 1st"/>
        <s v="vysokoškolské - 2st"/>
        <s v="základní"/>
      </sharedItems>
    </cacheField>
    <cacheField name="Zaměstnání" numFmtId="0">
      <sharedItems/>
    </cacheField>
    <cacheField name="Typ bydlení" numFmtId="0">
      <sharedItems count="4">
        <s v="dům"/>
        <s v="byt"/>
        <s v="u rodičů"/>
        <s v="nájem"/>
      </sharedItems>
    </cacheField>
    <cacheField name="Rezerva/BÚ,SÚ" numFmtId="0">
      <sharedItems containsSemiMixedTypes="0" containsString="0" containsNumber="1" containsInteger="1" minValue="0" maxValue="2000000"/>
    </cacheField>
    <cacheField name="Penzijní př." numFmtId="0">
      <sharedItems containsMixedTypes="1" containsNumber="1" containsInteger="1" minValue="100" maxValue="2000"/>
    </cacheField>
    <cacheField name="II.pilíř" numFmtId="0">
      <sharedItems/>
    </cacheField>
    <cacheField name="Životní pojištění" numFmtId="0">
      <sharedItems containsMixedTypes="1" containsNumber="1" containsInteger="1" minValue="204" maxValue="9000"/>
    </cacheField>
    <cacheField name="Pravidelné investice/měsíc" numFmtId="0">
      <sharedItems containsMixedTypes="1" containsNumber="1" containsInteger="1" minValue="100" maxValue="8400"/>
    </cacheField>
    <cacheField name="Jednorázové investice" numFmtId="0">
      <sharedItems containsMixedTypes="1" containsNumber="1" containsInteger="1" minValue="20000" maxValue="1000000"/>
    </cacheField>
    <cacheField name="Jiné investice(nemovitosti)" numFmtId="0">
      <sharedItems containsMixedTypes="1" containsNumber="1" containsInteger="1" minValue="200000" maxValue="2500000"/>
    </cacheField>
    <cacheField name="Stavební spoření" numFmtId="0">
      <sharedItems containsMixedTypes="1" containsNumber="1" containsInteger="1" minValue="100" maxValue="2500"/>
    </cacheField>
    <cacheField name="Hypotéky, úvěry ze s." numFmtId="0">
      <sharedItems containsMixedTypes="1" containsNumber="1" containsInteger="1" minValue="49000" maxValue="2500000"/>
    </cacheField>
    <cacheField name="Spotřebitelský úvěr" numFmtId="0">
      <sharedItems containsMixedTypes="1" containsNumber="1" containsInteger="1" minValue="15000" maxValue="550000"/>
    </cacheField>
    <cacheField name="Leasing" numFmtId="0">
      <sharedItems containsMixedTypes="1" containsNumber="1" containsInteger="1" minValue="250000" maxValue="350000"/>
    </cacheField>
    <cacheField name="Majetkové pojištění" numFmtId="0">
      <sharedItems containsMixedTypes="1" containsNumber="1" containsInteger="1" minValue="45" maxValue="800"/>
    </cacheField>
    <cacheField name="Povinné ručení, havarijnípoj." numFmtId="0">
      <sharedItems containsMixedTypes="1" containsNumber="1" containsInteger="1" minValue="100" maxValue="1700"/>
    </cacheField>
    <cacheField name="Celkový soubor osob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ženatý/vdaná"/>
    <x v="0"/>
    <x v="0"/>
    <x v="0"/>
    <n v="18700"/>
    <n v="-4700"/>
    <x v="0"/>
    <x v="0"/>
    <s v="dům"/>
    <n v="1500000"/>
    <x v="0"/>
    <x v="0"/>
    <s v="ne"/>
    <n v="1380"/>
    <n v="550000"/>
    <s v="ne"/>
    <s v="ne"/>
    <x v="0"/>
    <s v="ne"/>
    <s v="ne"/>
    <s v="ne"/>
    <s v="ne"/>
  </r>
  <r>
    <x v="0"/>
    <x v="1"/>
    <s v="svobodný/á"/>
    <x v="0"/>
    <x v="1"/>
    <x v="1"/>
    <n v="7200"/>
    <n v="3300"/>
    <x v="1"/>
    <x v="1"/>
    <s v="byt"/>
    <n v="20000"/>
    <x v="1"/>
    <x v="0"/>
    <s v="ne"/>
    <s v="ne"/>
    <s v="ne"/>
    <s v="ne"/>
    <n v="1700"/>
    <x v="0"/>
    <s v="ne"/>
    <s v="ne"/>
    <s v="ne"/>
    <s v="ne"/>
  </r>
  <r>
    <x v="1"/>
    <x v="2"/>
    <s v="ženatý/vdaná"/>
    <x v="0"/>
    <x v="0"/>
    <x v="2"/>
    <n v="10000"/>
    <n v="5000"/>
    <x v="1"/>
    <x v="2"/>
    <s v="byt"/>
    <n v="30000"/>
    <x v="2"/>
    <x v="0"/>
    <n v="350"/>
    <n v="1300"/>
    <s v="ne"/>
    <s v="ne"/>
    <n v="150000"/>
    <x v="0"/>
    <s v="ne"/>
    <s v="ne"/>
    <s v="ne"/>
    <s v="ne"/>
  </r>
  <r>
    <x v="0"/>
    <x v="3"/>
    <s v="ženatý/vdaná"/>
    <x v="1"/>
    <x v="2"/>
    <x v="3"/>
    <n v="15000"/>
    <n v="18000"/>
    <x v="1"/>
    <x v="0"/>
    <s v="dům"/>
    <n v="0"/>
    <x v="2"/>
    <x v="0"/>
    <s v="ne"/>
    <s v="ne"/>
    <s v="ne"/>
    <s v="ne"/>
    <s v="ne"/>
    <x v="0"/>
    <s v="ne"/>
    <s v="ne"/>
    <n v="372"/>
    <s v="ne"/>
  </r>
  <r>
    <x v="0"/>
    <x v="4"/>
    <s v="svobodný/á"/>
    <x v="1"/>
    <x v="1"/>
    <x v="4"/>
    <n v="0"/>
    <n v="0"/>
    <x v="2"/>
    <x v="3"/>
    <s v="u rodičů"/>
    <n v="0"/>
    <x v="1"/>
    <x v="0"/>
    <s v="ne"/>
    <s v="ne"/>
    <s v="ne"/>
    <s v="ne"/>
    <s v="ne"/>
    <x v="0"/>
    <s v="ne"/>
    <s v="ne"/>
    <s v="ne"/>
    <s v="ne"/>
  </r>
  <r>
    <x v="0"/>
    <x v="5"/>
    <s v="svobodný/á"/>
    <x v="0"/>
    <x v="1"/>
    <x v="5"/>
    <n v="24000"/>
    <n v="11000"/>
    <x v="3"/>
    <x v="4"/>
    <s v="byt"/>
    <n v="30000"/>
    <x v="0"/>
    <x v="0"/>
    <n v="350"/>
    <s v="ne"/>
    <s v="ne"/>
    <s v="ne"/>
    <s v="ne"/>
    <x v="0"/>
    <n v="150000"/>
    <s v="ne"/>
    <s v="ne"/>
    <s v="ne"/>
  </r>
  <r>
    <x v="0"/>
    <x v="6"/>
    <s v="ženatý/vdaná"/>
    <x v="1"/>
    <x v="2"/>
    <x v="6"/>
    <n v="28000"/>
    <n v="6000"/>
    <x v="3"/>
    <x v="0"/>
    <s v="dům"/>
    <n v="150000"/>
    <x v="0"/>
    <x v="0"/>
    <s v="ne"/>
    <s v="ne"/>
    <s v="ne"/>
    <s v="ne"/>
    <s v="ne"/>
    <x v="1"/>
    <s v="ne"/>
    <s v="ne"/>
    <n v="250"/>
    <n v="300"/>
  </r>
  <r>
    <x v="1"/>
    <x v="7"/>
    <s v="ženatý/vdaná"/>
    <x v="1"/>
    <x v="2"/>
    <x v="6"/>
    <n v="28000"/>
    <n v="6000"/>
    <x v="3"/>
    <x v="0"/>
    <s v="dům"/>
    <n v="150000"/>
    <x v="1"/>
    <x v="0"/>
    <s v="ne"/>
    <s v="ne"/>
    <s v="ne"/>
    <s v="ne"/>
    <s v="ne"/>
    <x v="1"/>
    <s v="ne"/>
    <s v="ne"/>
    <s v="ne"/>
    <s v="ne"/>
  </r>
  <r>
    <x v="1"/>
    <x v="8"/>
    <s v="svobodný/á"/>
    <x v="1"/>
    <x v="2"/>
    <x v="7"/>
    <n v="7600"/>
    <n v="0"/>
    <x v="1"/>
    <x v="5"/>
    <s v="dům"/>
    <n v="0"/>
    <x v="1"/>
    <x v="0"/>
    <n v="742"/>
    <s v="ne"/>
    <s v="ne"/>
    <s v="ne"/>
    <s v="ne"/>
    <x v="0"/>
    <s v="ne"/>
    <s v="ne"/>
    <s v="ne"/>
    <s v="ne"/>
  </r>
  <r>
    <x v="0"/>
    <x v="4"/>
    <s v="svobodný/á"/>
    <x v="0"/>
    <x v="1"/>
    <x v="8"/>
    <n v="9600"/>
    <n v="3600"/>
    <x v="2"/>
    <x v="1"/>
    <s v="u rodičů"/>
    <n v="10000"/>
    <x v="1"/>
    <x v="0"/>
    <n v="666"/>
    <n v="500"/>
    <s v="ne"/>
    <s v="ne"/>
    <s v="ne"/>
    <x v="0"/>
    <s v="ne"/>
    <s v="ne"/>
    <s v="ne"/>
    <s v="ne"/>
  </r>
  <r>
    <x v="0"/>
    <x v="9"/>
    <s v="svobodný/á"/>
    <x v="1"/>
    <x v="0"/>
    <x v="9"/>
    <n v="36000"/>
    <n v="-6000"/>
    <x v="4"/>
    <x v="1"/>
    <s v="dům"/>
    <n v="0"/>
    <x v="2"/>
    <x v="0"/>
    <n v="1295"/>
    <s v="ne"/>
    <s v="ne"/>
    <s v="ne"/>
    <s v="ne"/>
    <x v="0"/>
    <s v="ne"/>
    <s v="ne"/>
    <n v="300"/>
    <n v="300"/>
  </r>
  <r>
    <x v="0"/>
    <x v="10"/>
    <s v="ženatý/vdaná"/>
    <x v="1"/>
    <x v="2"/>
    <x v="9"/>
    <n v="32400"/>
    <n v="-2400"/>
    <x v="3"/>
    <x v="0"/>
    <s v="byt"/>
    <n v="25000"/>
    <x v="3"/>
    <x v="0"/>
    <n v="1791"/>
    <s v="ne"/>
    <s v="ne"/>
    <s v="ne"/>
    <s v="ne"/>
    <x v="0"/>
    <s v="ne"/>
    <s v="ne"/>
    <s v="ne"/>
    <s v="ne"/>
  </r>
  <r>
    <x v="1"/>
    <x v="4"/>
    <s v="ženatý/vdaná"/>
    <x v="1"/>
    <x v="2"/>
    <x v="7"/>
    <n v="7600"/>
    <n v="0"/>
    <x v="3"/>
    <x v="5"/>
    <s v="byt"/>
    <n v="25000"/>
    <x v="3"/>
    <x v="0"/>
    <s v="ne"/>
    <s v="ne"/>
    <s v="ne"/>
    <s v="ne"/>
    <s v="ne"/>
    <x v="0"/>
    <s v="ne"/>
    <s v="ne"/>
    <s v="ne"/>
    <s v="ne"/>
  </r>
  <r>
    <x v="0"/>
    <x v="4"/>
    <s v="svobodný/á"/>
    <x v="0"/>
    <x v="1"/>
    <x v="10"/>
    <n v="10000"/>
    <n v="11000"/>
    <x v="3"/>
    <x v="0"/>
    <s v="nájem"/>
    <n v="10000"/>
    <x v="4"/>
    <x v="0"/>
    <n v="782"/>
    <n v="2000"/>
    <s v="ne"/>
    <s v="ne"/>
    <n v="500"/>
    <x v="2"/>
    <s v="ne"/>
    <s v="ne"/>
    <n v="100"/>
    <s v="ne"/>
  </r>
  <r>
    <x v="1"/>
    <x v="8"/>
    <s v="svobodný/á"/>
    <x v="1"/>
    <x v="1"/>
    <x v="11"/>
    <n v="15000"/>
    <n v="8000"/>
    <x v="3"/>
    <x v="0"/>
    <s v="dům"/>
    <n v="100000"/>
    <x v="3"/>
    <x v="0"/>
    <n v="660"/>
    <n v="500"/>
    <s v="ne"/>
    <s v="ne"/>
    <s v="ne"/>
    <x v="0"/>
    <s v="ne"/>
    <s v="ne"/>
    <s v="ne"/>
    <n v="250"/>
  </r>
  <r>
    <x v="0"/>
    <x v="11"/>
    <s v="svobodný/á"/>
    <x v="1"/>
    <x v="0"/>
    <x v="12"/>
    <n v="20000"/>
    <n v="5000"/>
    <x v="1"/>
    <x v="6"/>
    <s v="dům"/>
    <n v="0"/>
    <x v="2"/>
    <x v="0"/>
    <n v="319"/>
    <s v="ne"/>
    <s v="ne"/>
    <s v="ne"/>
    <s v="ne"/>
    <x v="3"/>
    <s v="ne"/>
    <s v="ne"/>
    <s v="ne"/>
    <s v="ne"/>
  </r>
  <r>
    <x v="1"/>
    <x v="11"/>
    <s v="rozvedený/á"/>
    <x v="1"/>
    <x v="0"/>
    <x v="13"/>
    <n v="20000"/>
    <n v="3800"/>
    <x v="0"/>
    <x v="6"/>
    <s v="dům"/>
    <n v="0"/>
    <x v="3"/>
    <x v="0"/>
    <n v="500"/>
    <s v="ne"/>
    <s v="ne"/>
    <s v="ne"/>
    <s v="ne"/>
    <x v="3"/>
    <s v="ne"/>
    <s v="ne"/>
    <n v="65"/>
    <s v="ne"/>
  </r>
  <r>
    <x v="0"/>
    <x v="12"/>
    <s v="svobodný/á"/>
    <x v="2"/>
    <x v="1"/>
    <x v="10"/>
    <n v="19270"/>
    <n v="1730"/>
    <x v="3"/>
    <x v="0"/>
    <s v="byt"/>
    <n v="0"/>
    <x v="1"/>
    <x v="0"/>
    <n v="1537"/>
    <s v="ne"/>
    <s v="ne"/>
    <s v="ne"/>
    <s v="ne"/>
    <x v="0"/>
    <s v="ne"/>
    <s v="ne"/>
    <s v="ne"/>
    <s v="ne"/>
  </r>
  <r>
    <x v="0"/>
    <x v="13"/>
    <s v="svobodný/á"/>
    <x v="2"/>
    <x v="1"/>
    <x v="14"/>
    <n v="28000"/>
    <n v="12000"/>
    <x v="1"/>
    <x v="6"/>
    <s v="nájem"/>
    <n v="0"/>
    <x v="3"/>
    <x v="0"/>
    <s v="ne"/>
    <s v="ne"/>
    <s v="ne"/>
    <s v="ne"/>
    <s v="ne"/>
    <x v="0"/>
    <s v="ne"/>
    <s v="ne"/>
    <s v="ne"/>
    <s v="ne"/>
  </r>
  <r>
    <x v="1"/>
    <x v="6"/>
    <s v="ženatý/vdaná"/>
    <x v="0"/>
    <x v="2"/>
    <x v="7"/>
    <n v="7600"/>
    <n v="0"/>
    <x v="3"/>
    <x v="5"/>
    <s v="byt"/>
    <n v="20000"/>
    <x v="5"/>
    <x v="0"/>
    <n v="690"/>
    <s v="ne"/>
    <s v="ne"/>
    <s v="ne"/>
    <s v="ne"/>
    <x v="4"/>
    <s v="ne"/>
    <s v="ne"/>
    <s v="ne"/>
    <s v="ne"/>
  </r>
  <r>
    <x v="0"/>
    <x v="10"/>
    <s v="ženatý/vdaná"/>
    <x v="0"/>
    <x v="2"/>
    <x v="11"/>
    <n v="32400"/>
    <n v="-9400"/>
    <x v="1"/>
    <x v="1"/>
    <s v="byt"/>
    <n v="20000"/>
    <x v="2"/>
    <x v="0"/>
    <n v="695"/>
    <s v="ne"/>
    <s v="ne"/>
    <s v="ne"/>
    <n v="500"/>
    <x v="4"/>
    <s v="ne"/>
    <s v="ne"/>
    <n v="95"/>
    <n v="380"/>
  </r>
  <r>
    <x v="0"/>
    <x v="8"/>
    <s v="svobodný/á"/>
    <x v="1"/>
    <x v="1"/>
    <x v="6"/>
    <n v="10300"/>
    <n v="23700"/>
    <x v="1"/>
    <x v="4"/>
    <s v="byt"/>
    <n v="75000"/>
    <x v="5"/>
    <x v="1"/>
    <n v="1295"/>
    <n v="500"/>
    <s v="ne"/>
    <s v="ne"/>
    <n v="1500"/>
    <x v="0"/>
    <n v="15000"/>
    <s v="ne"/>
    <s v="ne"/>
    <s v="ne"/>
  </r>
  <r>
    <x v="1"/>
    <x v="4"/>
    <s v="svobodný/á"/>
    <x v="1"/>
    <x v="1"/>
    <x v="15"/>
    <n v="10300"/>
    <n v="12200"/>
    <x v="3"/>
    <x v="0"/>
    <s v="byt"/>
    <n v="75000"/>
    <x v="1"/>
    <x v="1"/>
    <n v="780"/>
    <n v="500"/>
    <s v="ne"/>
    <s v="ne"/>
    <n v="2400"/>
    <x v="0"/>
    <n v="15000"/>
    <s v="ne"/>
    <s v="ne"/>
    <s v="ne"/>
  </r>
  <r>
    <x v="1"/>
    <x v="13"/>
    <s v="svobodný/á"/>
    <x v="2"/>
    <x v="1"/>
    <x v="10"/>
    <n v="15000"/>
    <n v="6000"/>
    <x v="1"/>
    <x v="0"/>
    <s v="nájem"/>
    <n v="0"/>
    <x v="6"/>
    <x v="0"/>
    <n v="400"/>
    <s v="ne"/>
    <s v="ne"/>
    <s v="ne"/>
    <s v="ne"/>
    <x v="0"/>
    <s v="ne"/>
    <s v="ne"/>
    <s v="ne"/>
    <s v="ne"/>
  </r>
  <r>
    <x v="1"/>
    <x v="10"/>
    <s v="svobodný/á"/>
    <x v="2"/>
    <x v="1"/>
    <x v="16"/>
    <n v="12000"/>
    <n v="10000"/>
    <x v="3"/>
    <x v="2"/>
    <s v="byt"/>
    <n v="0"/>
    <x v="7"/>
    <x v="0"/>
    <n v="974"/>
    <s v="ne"/>
    <s v="ne"/>
    <s v="ne"/>
    <s v="ne"/>
    <x v="3"/>
    <s v="ne"/>
    <s v="ne"/>
    <n v="172"/>
    <n v="198"/>
  </r>
  <r>
    <x v="0"/>
    <x v="14"/>
    <s v="ženatý/vdaná"/>
    <x v="1"/>
    <x v="0"/>
    <x v="17"/>
    <n v="41000"/>
    <n v="26000"/>
    <x v="3"/>
    <x v="0"/>
    <s v="dům"/>
    <n v="300000"/>
    <x v="8"/>
    <x v="0"/>
    <n v="1809"/>
    <n v="6100"/>
    <s v="ne"/>
    <s v="ne"/>
    <s v="ne"/>
    <x v="0"/>
    <s v="ne"/>
    <s v="ne"/>
    <n v="150"/>
    <n v="375"/>
  </r>
  <r>
    <x v="0"/>
    <x v="15"/>
    <s v="ženatý/vdaná"/>
    <x v="0"/>
    <x v="0"/>
    <x v="9"/>
    <n v="10000"/>
    <n v="20000"/>
    <x v="1"/>
    <x v="2"/>
    <s v="byt"/>
    <n v="125000"/>
    <x v="0"/>
    <x v="0"/>
    <s v="ne"/>
    <s v="ne"/>
    <s v="ne"/>
    <s v="ne"/>
    <n v="1700"/>
    <x v="0"/>
    <s v="ne"/>
    <s v="ne"/>
    <n v="350"/>
    <n v="355"/>
  </r>
  <r>
    <x v="1"/>
    <x v="16"/>
    <s v="ženatý/vdaná"/>
    <x v="0"/>
    <x v="0"/>
    <x v="18"/>
    <n v="10000"/>
    <n v="2000"/>
    <x v="1"/>
    <x v="0"/>
    <s v="byt"/>
    <n v="125000"/>
    <x v="0"/>
    <x v="0"/>
    <s v="ne"/>
    <s v="ne"/>
    <s v="ne"/>
    <s v="ne"/>
    <n v="1700"/>
    <x v="0"/>
    <s v="ne"/>
    <s v="ne"/>
    <s v="ne"/>
    <s v="ne"/>
  </r>
  <r>
    <x v="0"/>
    <x v="10"/>
    <s v="svobodný/á"/>
    <x v="0"/>
    <x v="2"/>
    <x v="5"/>
    <n v="17800"/>
    <n v="17200"/>
    <x v="3"/>
    <x v="0"/>
    <s v="dům"/>
    <n v="35000"/>
    <x v="1"/>
    <x v="0"/>
    <n v="950"/>
    <n v="2500"/>
    <s v="ne"/>
    <s v="ne"/>
    <s v="ne"/>
    <x v="5"/>
    <s v="ne"/>
    <s v="ne"/>
    <n v="213"/>
    <n v="380"/>
  </r>
  <r>
    <x v="1"/>
    <x v="10"/>
    <s v="svobodný/á"/>
    <x v="0"/>
    <x v="2"/>
    <x v="7"/>
    <n v="7600"/>
    <n v="0"/>
    <x v="3"/>
    <x v="5"/>
    <s v="dům"/>
    <n v="35000"/>
    <x v="1"/>
    <x v="0"/>
    <n v="895"/>
    <s v="ne"/>
    <s v="ne"/>
    <s v="ne"/>
    <s v="ne"/>
    <x v="5"/>
    <s v="ne"/>
    <s v="ne"/>
    <s v="ne"/>
    <s v="ne"/>
  </r>
  <r>
    <x v="1"/>
    <x v="4"/>
    <s v="svobodný/á"/>
    <x v="2"/>
    <x v="1"/>
    <x v="11"/>
    <n v="17950"/>
    <n v="5050"/>
    <x v="3"/>
    <x v="0"/>
    <s v="nájem"/>
    <n v="5000"/>
    <x v="1"/>
    <x v="0"/>
    <n v="700"/>
    <n v="1000"/>
    <s v="ne"/>
    <s v="ne"/>
    <s v="ne"/>
    <x v="0"/>
    <n v="52000"/>
    <s v="ne"/>
    <s v="ne"/>
    <s v="ne"/>
  </r>
  <r>
    <x v="1"/>
    <x v="14"/>
    <s v="rozvedený/á"/>
    <x v="0"/>
    <x v="2"/>
    <x v="19"/>
    <n v="9000"/>
    <n v="8000"/>
    <x v="1"/>
    <x v="2"/>
    <s v="byt"/>
    <n v="30000"/>
    <x v="1"/>
    <x v="0"/>
    <n v="1728"/>
    <n v="600"/>
    <s v="ne"/>
    <s v="ne"/>
    <n v="400"/>
    <x v="0"/>
    <s v="ne"/>
    <s v="ne"/>
    <n v="64"/>
    <s v="ne"/>
  </r>
  <r>
    <x v="0"/>
    <x v="4"/>
    <s v="svobodný/á"/>
    <x v="2"/>
    <x v="1"/>
    <x v="12"/>
    <n v="15000"/>
    <n v="10000"/>
    <x v="3"/>
    <x v="0"/>
    <s v="nájem"/>
    <n v="80000"/>
    <x v="3"/>
    <x v="0"/>
    <n v="900"/>
    <n v="500"/>
    <s v="ne"/>
    <s v="ne"/>
    <s v="ne"/>
    <x v="0"/>
    <s v="ne"/>
    <s v="ne"/>
    <s v="ne"/>
    <s v="ne"/>
  </r>
  <r>
    <x v="0"/>
    <x v="14"/>
    <s v="svobodný/á"/>
    <x v="1"/>
    <x v="1"/>
    <x v="20"/>
    <n v="17000"/>
    <n v="7000"/>
    <x v="0"/>
    <x v="1"/>
    <s v="byt"/>
    <n v="20000"/>
    <x v="1"/>
    <x v="0"/>
    <n v="542"/>
    <s v="ne"/>
    <s v="ne"/>
    <s v="ne"/>
    <s v="ne"/>
    <x v="6"/>
    <s v="ne"/>
    <s v="ne"/>
    <n v="141"/>
    <n v="372"/>
  </r>
  <r>
    <x v="0"/>
    <x v="17"/>
    <s v="ženatý/vdaná"/>
    <x v="1"/>
    <x v="2"/>
    <x v="21"/>
    <n v="15770"/>
    <n v="2230"/>
    <x v="1"/>
    <x v="1"/>
    <s v="byt"/>
    <n v="20000"/>
    <x v="3"/>
    <x v="0"/>
    <n v="250"/>
    <n v="500"/>
    <s v="ne"/>
    <s v="ne"/>
    <s v="ne"/>
    <x v="7"/>
    <s v="ne"/>
    <s v="ne"/>
    <n v="221"/>
    <n v="280"/>
  </r>
  <r>
    <x v="1"/>
    <x v="10"/>
    <s v="ženatý/vdaná"/>
    <x v="1"/>
    <x v="2"/>
    <x v="7"/>
    <n v="7600"/>
    <n v="0"/>
    <x v="1"/>
    <x v="5"/>
    <s v="byt"/>
    <n v="20000"/>
    <x v="3"/>
    <x v="0"/>
    <s v="ne"/>
    <s v="ne"/>
    <s v="ne"/>
    <s v="ne"/>
    <s v="ne"/>
    <x v="7"/>
    <s v="ne"/>
    <s v="ne"/>
    <s v="ne"/>
    <s v="ne"/>
  </r>
  <r>
    <x v="0"/>
    <x v="18"/>
    <s v="svobodný/á"/>
    <x v="0"/>
    <x v="1"/>
    <x v="2"/>
    <n v="8000"/>
    <n v="7000"/>
    <x v="0"/>
    <x v="1"/>
    <s v="byt"/>
    <n v="0"/>
    <x v="5"/>
    <x v="0"/>
    <n v="650"/>
    <s v="ne"/>
    <s v="ne"/>
    <s v="ne"/>
    <s v="ne"/>
    <x v="8"/>
    <n v="294055"/>
    <s v="ne"/>
    <s v="ne"/>
    <s v="ne"/>
  </r>
  <r>
    <x v="1"/>
    <x v="1"/>
    <s v="svobodný/á"/>
    <x v="1"/>
    <x v="1"/>
    <x v="22"/>
    <n v="9350"/>
    <n v="7850"/>
    <x v="1"/>
    <x v="2"/>
    <s v="u rodičů"/>
    <n v="0"/>
    <x v="3"/>
    <x v="0"/>
    <n v="430"/>
    <s v="ne"/>
    <s v="ne"/>
    <s v="ne"/>
    <s v="ne"/>
    <x v="0"/>
    <s v="ne"/>
    <s v="ne"/>
    <s v="ne"/>
    <s v="ne"/>
  </r>
  <r>
    <x v="0"/>
    <x v="17"/>
    <s v="svobodný/á"/>
    <x v="1"/>
    <x v="1"/>
    <x v="23"/>
    <n v="20550"/>
    <n v="5950"/>
    <x v="0"/>
    <x v="1"/>
    <s v="u rodičů"/>
    <n v="0"/>
    <x v="1"/>
    <x v="0"/>
    <n v="890"/>
    <n v="500"/>
    <s v="ne"/>
    <s v="ne"/>
    <s v="ne"/>
    <x v="0"/>
    <s v="ne"/>
    <s v="ne"/>
    <s v="ne"/>
    <n v="222"/>
  </r>
  <r>
    <x v="0"/>
    <x v="16"/>
    <s v="ženatý/vdaná"/>
    <x v="0"/>
    <x v="0"/>
    <x v="9"/>
    <n v="15600"/>
    <n v="14400"/>
    <x v="1"/>
    <x v="1"/>
    <s v="dům"/>
    <n v="20000"/>
    <x v="2"/>
    <x v="0"/>
    <s v="ne"/>
    <s v="ne"/>
    <n v="500000"/>
    <n v="600000"/>
    <n v="1700"/>
    <x v="9"/>
    <s v="ne"/>
    <s v="ne"/>
    <n v="370"/>
    <n v="210"/>
  </r>
  <r>
    <x v="1"/>
    <x v="9"/>
    <s v="ženatý/vdaná"/>
    <x v="0"/>
    <x v="0"/>
    <x v="19"/>
    <n v="15600"/>
    <n v="1400"/>
    <x v="1"/>
    <x v="2"/>
    <s v="dům"/>
    <n v="20000"/>
    <x v="5"/>
    <x v="0"/>
    <s v="ne"/>
    <s v="ne"/>
    <s v="ne"/>
    <n v="600000"/>
    <s v="ne"/>
    <x v="9"/>
    <s v="ne"/>
    <s v="ne"/>
    <s v="ne"/>
    <s v="ne"/>
  </r>
  <r>
    <x v="1"/>
    <x v="19"/>
    <s v="ženatý/vdaná"/>
    <x v="2"/>
    <x v="0"/>
    <x v="24"/>
    <n v="13000"/>
    <n v="27398"/>
    <x v="3"/>
    <x v="2"/>
    <s v="byt"/>
    <n v="400000"/>
    <x v="0"/>
    <x v="0"/>
    <n v="324"/>
    <s v="ne"/>
    <n v="100000"/>
    <n v="2000000"/>
    <s v="ne"/>
    <x v="0"/>
    <s v="ne"/>
    <s v="ne"/>
    <n v="610"/>
    <s v="ne"/>
  </r>
  <r>
    <x v="1"/>
    <x v="20"/>
    <s v="svobodný/á"/>
    <x v="2"/>
    <x v="1"/>
    <x v="14"/>
    <n v="20000"/>
    <n v="20000"/>
    <x v="3"/>
    <x v="6"/>
    <s v="byt"/>
    <n v="200000"/>
    <x v="2"/>
    <x v="0"/>
    <n v="710"/>
    <s v="ne"/>
    <s v="ne"/>
    <n v="2000000"/>
    <s v="ne"/>
    <x v="0"/>
    <s v="ne"/>
    <s v="ne"/>
    <n v="394"/>
    <s v="ne"/>
  </r>
  <r>
    <x v="1"/>
    <x v="12"/>
    <s v="rozvedený/á"/>
    <x v="2"/>
    <x v="2"/>
    <x v="25"/>
    <n v="19070"/>
    <n v="9930"/>
    <x v="1"/>
    <x v="4"/>
    <s v="byt"/>
    <n v="35000"/>
    <x v="1"/>
    <x v="1"/>
    <n v="650"/>
    <s v="ne"/>
    <s v="ne"/>
    <s v="ne"/>
    <n v="300"/>
    <x v="0"/>
    <n v="550000"/>
    <s v="ne"/>
    <n v="314"/>
    <n v="208"/>
  </r>
  <r>
    <x v="0"/>
    <x v="7"/>
    <s v="svobodný/á"/>
    <x v="0"/>
    <x v="1"/>
    <x v="26"/>
    <n v="11000"/>
    <n v="5000"/>
    <x v="3"/>
    <x v="1"/>
    <s v="byt"/>
    <n v="0"/>
    <x v="1"/>
    <x v="0"/>
    <s v="ne"/>
    <n v="700"/>
    <s v="ne"/>
    <s v="ne"/>
    <s v="ne"/>
    <x v="0"/>
    <s v="ne"/>
    <s v="ne"/>
    <s v="ne"/>
    <s v="ne"/>
  </r>
  <r>
    <x v="0"/>
    <x v="21"/>
    <s v="ženatý/vdaná"/>
    <x v="1"/>
    <x v="2"/>
    <x v="5"/>
    <n v="7500"/>
    <n v="27500"/>
    <x v="0"/>
    <x v="1"/>
    <s v="dům"/>
    <n v="55000"/>
    <x v="1"/>
    <x v="0"/>
    <n v="300"/>
    <s v="ne"/>
    <n v="100000"/>
    <s v="ne"/>
    <s v="ne"/>
    <x v="0"/>
    <s v="ne"/>
    <s v="ne"/>
    <n v="300"/>
    <n v="600"/>
  </r>
  <r>
    <x v="1"/>
    <x v="12"/>
    <s v="ženatý/vdaná"/>
    <x v="1"/>
    <x v="2"/>
    <x v="2"/>
    <n v="7500"/>
    <n v="7500"/>
    <x v="1"/>
    <x v="0"/>
    <s v="dům"/>
    <n v="55000"/>
    <x v="1"/>
    <x v="1"/>
    <s v="ne"/>
    <n v="500"/>
    <s v="ne"/>
    <s v="ne"/>
    <s v="ne"/>
    <x v="0"/>
    <s v="ne"/>
    <s v="ne"/>
    <s v="ne"/>
    <s v="ne"/>
  </r>
  <r>
    <x v="1"/>
    <x v="4"/>
    <s v="svobodný/á"/>
    <x v="0"/>
    <x v="1"/>
    <x v="12"/>
    <n v="10000"/>
    <n v="15000"/>
    <x v="3"/>
    <x v="0"/>
    <s v="nájem"/>
    <n v="30000"/>
    <x v="1"/>
    <x v="0"/>
    <n v="1000"/>
    <n v="1500"/>
    <s v="ne"/>
    <s v="ne"/>
    <n v="1700"/>
    <x v="0"/>
    <s v="ne"/>
    <s v="ne"/>
    <n v="0"/>
    <n v="250"/>
  </r>
  <r>
    <x v="1"/>
    <x v="5"/>
    <s v="svobodný/á"/>
    <x v="1"/>
    <x v="1"/>
    <x v="27"/>
    <n v="17000"/>
    <n v="3000"/>
    <x v="2"/>
    <x v="0"/>
    <s v="byt"/>
    <n v="30000"/>
    <x v="5"/>
    <x v="0"/>
    <s v="ne"/>
    <s v="ne"/>
    <s v="ne"/>
    <s v="ne"/>
    <n v="100"/>
    <x v="10"/>
    <s v="ne"/>
    <s v="ne"/>
    <n v="120"/>
    <n v="200"/>
  </r>
  <r>
    <x v="0"/>
    <x v="22"/>
    <s v="ženatý/vdaná"/>
    <x v="0"/>
    <x v="2"/>
    <x v="28"/>
    <n v="18200"/>
    <n v="13800"/>
    <x v="0"/>
    <x v="1"/>
    <s v="byt"/>
    <n v="10000"/>
    <x v="3"/>
    <x v="0"/>
    <s v="ne"/>
    <s v="ne"/>
    <s v="ne"/>
    <s v="ne"/>
    <s v="ne"/>
    <x v="0"/>
    <s v="ne"/>
    <s v="ne"/>
    <s v="ne"/>
    <s v="ne"/>
  </r>
  <r>
    <x v="1"/>
    <x v="10"/>
    <s v="ženatý/vdaná"/>
    <x v="0"/>
    <x v="2"/>
    <x v="29"/>
    <n v="6800"/>
    <n v="0"/>
    <x v="1"/>
    <x v="5"/>
    <s v="byt"/>
    <n v="10000"/>
    <x v="1"/>
    <x v="0"/>
    <n v="595"/>
    <n v="1100"/>
    <s v="ne"/>
    <s v="ne"/>
    <s v="ne"/>
    <x v="0"/>
    <s v="ne"/>
    <s v="ne"/>
    <s v="ne"/>
    <s v="ne"/>
  </r>
  <r>
    <x v="0"/>
    <x v="7"/>
    <s v="svobodný/á"/>
    <x v="0"/>
    <x v="1"/>
    <x v="11"/>
    <n v="15000"/>
    <n v="8000"/>
    <x v="1"/>
    <x v="1"/>
    <s v="nájem"/>
    <n v="0"/>
    <x v="3"/>
    <x v="0"/>
    <n v="840"/>
    <s v="ne"/>
    <s v="ne"/>
    <s v="ne"/>
    <s v="ne"/>
    <x v="0"/>
    <n v="230000"/>
    <s v="ne"/>
    <s v="ne"/>
    <s v="ne"/>
  </r>
  <r>
    <x v="0"/>
    <x v="4"/>
    <s v="svobodný/á"/>
    <x v="1"/>
    <x v="1"/>
    <x v="27"/>
    <n v="13200"/>
    <n v="6800"/>
    <x v="0"/>
    <x v="1"/>
    <s v="u rodičů"/>
    <n v="0"/>
    <x v="3"/>
    <x v="0"/>
    <s v="ne"/>
    <s v="ne"/>
    <s v="ne"/>
    <s v="ne"/>
    <s v="ne"/>
    <x v="0"/>
    <s v="ne"/>
    <s v="ne"/>
    <s v="ne"/>
    <s v="ne"/>
  </r>
  <r>
    <x v="1"/>
    <x v="23"/>
    <s v="ženatý/vdaná"/>
    <x v="2"/>
    <x v="2"/>
    <x v="30"/>
    <n v="8500"/>
    <n v="0"/>
    <x v="1"/>
    <x v="5"/>
    <s v="byt"/>
    <n v="135000"/>
    <x v="2"/>
    <x v="1"/>
    <n v="850"/>
    <s v="ne"/>
    <s v="ne"/>
    <s v="ne"/>
    <s v="ne"/>
    <x v="0"/>
    <s v="ne"/>
    <s v="ne"/>
    <s v="ne"/>
    <s v="ne"/>
  </r>
  <r>
    <x v="0"/>
    <x v="24"/>
    <s v="ženatý/vdaná"/>
    <x v="2"/>
    <x v="2"/>
    <x v="9"/>
    <n v="11500"/>
    <n v="18500"/>
    <x v="1"/>
    <x v="0"/>
    <s v="byt"/>
    <n v="135000"/>
    <x v="2"/>
    <x v="1"/>
    <n v="1200"/>
    <n v="1500"/>
    <s v="ne"/>
    <s v="ne"/>
    <s v="ne"/>
    <x v="0"/>
    <s v="ne"/>
    <s v="ne"/>
    <s v="ne"/>
    <n v="350"/>
  </r>
  <r>
    <x v="0"/>
    <x v="1"/>
    <s v="svobodný/á"/>
    <x v="2"/>
    <x v="1"/>
    <x v="26"/>
    <n v="8000"/>
    <n v="8000"/>
    <x v="0"/>
    <x v="1"/>
    <s v="u rodičů"/>
    <n v="0"/>
    <x v="2"/>
    <x v="0"/>
    <n v="1790"/>
    <s v="ne"/>
    <s v="ne"/>
    <s v="ne"/>
    <s v="ne"/>
    <x v="0"/>
    <s v="ne"/>
    <s v="ne"/>
    <n v="124"/>
    <s v="ne"/>
  </r>
  <r>
    <x v="1"/>
    <x v="5"/>
    <s v="svobodný/á"/>
    <x v="2"/>
    <x v="1"/>
    <x v="12"/>
    <n v="23000"/>
    <n v="2000"/>
    <x v="2"/>
    <x v="1"/>
    <s v="nájem"/>
    <n v="300000"/>
    <x v="2"/>
    <x v="0"/>
    <n v="600"/>
    <s v="ne"/>
    <s v="ne"/>
    <s v="ne"/>
    <s v="ne"/>
    <x v="0"/>
    <s v="ne"/>
    <s v="ne"/>
    <s v="ne"/>
    <s v="ne"/>
  </r>
  <r>
    <x v="1"/>
    <x v="25"/>
    <s v="ženatý/vdaná"/>
    <x v="1"/>
    <x v="0"/>
    <x v="31"/>
    <n v="15000"/>
    <n v="400"/>
    <x v="1"/>
    <x v="0"/>
    <s v="byt"/>
    <n v="5000"/>
    <x v="6"/>
    <x v="0"/>
    <s v="ne"/>
    <s v="ne"/>
    <s v="ne"/>
    <s v="ne"/>
    <s v="ne"/>
    <x v="0"/>
    <s v="ne"/>
    <s v="ne"/>
    <s v="ne"/>
    <s v="ne"/>
  </r>
  <r>
    <x v="0"/>
    <x v="26"/>
    <s v="ženatý/vdaná"/>
    <x v="1"/>
    <x v="0"/>
    <x v="16"/>
    <n v="15000"/>
    <n v="7000"/>
    <x v="1"/>
    <x v="1"/>
    <s v="byt"/>
    <n v="5000"/>
    <x v="5"/>
    <x v="0"/>
    <s v="ne"/>
    <s v="ne"/>
    <s v="ne"/>
    <s v="ne"/>
    <n v="1500"/>
    <x v="0"/>
    <s v="ne"/>
    <s v="ne"/>
    <s v="ne"/>
    <n v="358"/>
  </r>
  <r>
    <x v="0"/>
    <x v="20"/>
    <s v="svobodný/á"/>
    <x v="2"/>
    <x v="2"/>
    <x v="10"/>
    <n v="21000"/>
    <n v="0"/>
    <x v="1"/>
    <x v="1"/>
    <s v="nájem"/>
    <n v="0"/>
    <x v="5"/>
    <x v="0"/>
    <n v="1600"/>
    <n v="500"/>
    <s v="ne"/>
    <s v="ne"/>
    <n v="200"/>
    <x v="0"/>
    <s v="ne"/>
    <s v="ne"/>
    <s v="ne"/>
    <s v="ne"/>
  </r>
  <r>
    <x v="1"/>
    <x v="6"/>
    <s v="svobodný/á"/>
    <x v="1"/>
    <x v="1"/>
    <x v="21"/>
    <n v="11000"/>
    <n v="7000"/>
    <x v="1"/>
    <x v="2"/>
    <s v="dům"/>
    <n v="0"/>
    <x v="5"/>
    <x v="0"/>
    <n v="1200"/>
    <s v="ne"/>
    <s v="ne"/>
    <s v="ne"/>
    <s v="ne"/>
    <x v="0"/>
    <n v="150000"/>
    <s v="ne"/>
    <n v="130"/>
    <n v="390"/>
  </r>
  <r>
    <x v="1"/>
    <x v="7"/>
    <s v="ženatý/vdaná"/>
    <x v="1"/>
    <x v="0"/>
    <x v="2"/>
    <n v="13100"/>
    <n v="1900"/>
    <x v="1"/>
    <x v="5"/>
    <s v="dům"/>
    <n v="15000"/>
    <x v="5"/>
    <x v="0"/>
    <n v="1300"/>
    <s v="ne"/>
    <s v="ne"/>
    <s v="ne"/>
    <s v="ne"/>
    <x v="11"/>
    <s v="ne"/>
    <s v="ne"/>
    <s v="ne"/>
    <s v="ne"/>
  </r>
  <r>
    <x v="0"/>
    <x v="23"/>
    <s v="ženatý/vdaná"/>
    <x v="1"/>
    <x v="0"/>
    <x v="10"/>
    <n v="13100"/>
    <n v="7900"/>
    <x v="2"/>
    <x v="2"/>
    <s v="dům"/>
    <n v="15000"/>
    <x v="3"/>
    <x v="0"/>
    <n v="1500"/>
    <s v="ne"/>
    <s v="ne"/>
    <s v="ne"/>
    <s v="ne"/>
    <x v="11"/>
    <s v="ne"/>
    <s v="ne"/>
    <n v="190"/>
    <n v="288"/>
  </r>
  <r>
    <x v="0"/>
    <x v="27"/>
    <s v="svobodný/á"/>
    <x v="1"/>
    <x v="2"/>
    <x v="32"/>
    <n v="19675"/>
    <n v="48325"/>
    <x v="1"/>
    <x v="6"/>
    <s v="dům"/>
    <n v="45000"/>
    <x v="1"/>
    <x v="0"/>
    <n v="1180"/>
    <s v="ne"/>
    <s v="ne"/>
    <s v="ne"/>
    <s v="ne"/>
    <x v="12"/>
    <s v="ne"/>
    <s v="ne"/>
    <n v="550"/>
    <n v="1200"/>
  </r>
  <r>
    <x v="1"/>
    <x v="28"/>
    <s v="svobodný/á"/>
    <x v="1"/>
    <x v="2"/>
    <x v="33"/>
    <n v="19675"/>
    <n v="5825"/>
    <x v="1"/>
    <x v="5"/>
    <s v="dům"/>
    <n v="45000"/>
    <x v="6"/>
    <x v="0"/>
    <n v="680"/>
    <s v="ne"/>
    <s v="ne"/>
    <s v="ne"/>
    <s v="ne"/>
    <x v="13"/>
    <s v="ne"/>
    <s v="ne"/>
    <s v="ne"/>
    <s v="ne"/>
  </r>
  <r>
    <x v="1"/>
    <x v="4"/>
    <s v="svobodný/á"/>
    <x v="0"/>
    <x v="1"/>
    <x v="22"/>
    <n v="9300"/>
    <n v="7900"/>
    <x v="3"/>
    <x v="0"/>
    <s v="nájem"/>
    <n v="170000"/>
    <x v="1"/>
    <x v="0"/>
    <n v="675"/>
    <s v="ne"/>
    <s v="ne"/>
    <s v="ne"/>
    <n v="1500"/>
    <x v="0"/>
    <s v="ne"/>
    <s v="ne"/>
    <n v="199"/>
    <s v="ne"/>
  </r>
  <r>
    <x v="0"/>
    <x v="12"/>
    <s v="ženatý/vdaná"/>
    <x v="1"/>
    <x v="0"/>
    <x v="9"/>
    <n v="27620"/>
    <n v="2380"/>
    <x v="4"/>
    <x v="1"/>
    <s v="dům"/>
    <n v="7500"/>
    <x v="2"/>
    <x v="0"/>
    <n v="1295"/>
    <s v="ne"/>
    <s v="ne"/>
    <s v="ne"/>
    <s v="ne"/>
    <x v="0"/>
    <s v="ne"/>
    <s v="ne"/>
    <s v="ne"/>
    <s v="ne"/>
  </r>
  <r>
    <x v="1"/>
    <x v="23"/>
    <s v="ženatý/vdaná"/>
    <x v="1"/>
    <x v="0"/>
    <x v="30"/>
    <n v="8500"/>
    <n v="0"/>
    <x v="2"/>
    <x v="5"/>
    <s v="dům"/>
    <n v="7500"/>
    <x v="5"/>
    <x v="0"/>
    <n v="890"/>
    <s v="ne"/>
    <s v="ne"/>
    <s v="ne"/>
    <n v="1000"/>
    <x v="0"/>
    <s v="ne"/>
    <s v="ne"/>
    <s v="ne"/>
    <s v="ne"/>
  </r>
  <r>
    <x v="0"/>
    <x v="5"/>
    <s v="svobodný/á"/>
    <x v="0"/>
    <x v="1"/>
    <x v="34"/>
    <n v="5600"/>
    <n v="7400"/>
    <x v="3"/>
    <x v="0"/>
    <s v="u rodičů"/>
    <n v="0"/>
    <x v="2"/>
    <x v="0"/>
    <n v="780"/>
    <s v="ne"/>
    <s v="ne"/>
    <s v="ne"/>
    <s v="ne"/>
    <x v="0"/>
    <s v="ne"/>
    <s v="ne"/>
    <s v="ne"/>
    <s v="ne"/>
  </r>
  <r>
    <x v="1"/>
    <x v="21"/>
    <s v="rozvedený/á"/>
    <x v="1"/>
    <x v="2"/>
    <x v="35"/>
    <n v="17000"/>
    <n v="9000"/>
    <x v="1"/>
    <x v="2"/>
    <s v="dům"/>
    <n v="500000"/>
    <x v="0"/>
    <x v="1"/>
    <n v="950"/>
    <n v="1500"/>
    <s v="ne"/>
    <s v="ne"/>
    <n v="100"/>
    <x v="0"/>
    <s v="ne"/>
    <s v="ne"/>
    <s v="ne"/>
    <s v="ne"/>
  </r>
  <r>
    <x v="0"/>
    <x v="4"/>
    <s v="svobodný/á"/>
    <x v="1"/>
    <x v="1"/>
    <x v="36"/>
    <n v="13700"/>
    <n v="13300"/>
    <x v="1"/>
    <x v="1"/>
    <s v="u rodičů"/>
    <n v="0"/>
    <x v="3"/>
    <x v="0"/>
    <n v="558"/>
    <s v="ne"/>
    <s v="ne"/>
    <s v="ne"/>
    <s v="ne"/>
    <x v="0"/>
    <n v="470000"/>
    <s v="ne"/>
    <s v="ne"/>
    <n v="330"/>
  </r>
  <r>
    <x v="0"/>
    <x v="23"/>
    <s v="rozvedený/á"/>
    <x v="0"/>
    <x v="0"/>
    <x v="10"/>
    <n v="17850"/>
    <n v="3150"/>
    <x v="1"/>
    <x v="2"/>
    <s v="nájem"/>
    <n v="0"/>
    <x v="3"/>
    <x v="0"/>
    <s v="ne"/>
    <s v="ne"/>
    <s v="ne"/>
    <s v="ne"/>
    <s v="ne"/>
    <x v="0"/>
    <n v="150000"/>
    <s v="ne"/>
    <s v="ne"/>
    <s v="ne"/>
  </r>
  <r>
    <x v="1"/>
    <x v="9"/>
    <s v="rozvedený/á"/>
    <x v="0"/>
    <x v="0"/>
    <x v="5"/>
    <n v="32000"/>
    <n v="3000"/>
    <x v="1"/>
    <x v="2"/>
    <s v="dům"/>
    <n v="110000"/>
    <x v="2"/>
    <x v="1"/>
    <n v="500"/>
    <n v="1000"/>
    <s v="ne"/>
    <s v="ne"/>
    <s v="ne"/>
    <x v="0"/>
    <s v="ne"/>
    <s v="ne"/>
    <n v="366"/>
    <s v="ne"/>
  </r>
  <r>
    <x v="0"/>
    <x v="28"/>
    <s v="ženatý/vdaná"/>
    <x v="1"/>
    <x v="0"/>
    <x v="12"/>
    <n v="25000"/>
    <n v="0"/>
    <x v="0"/>
    <x v="1"/>
    <s v="dům"/>
    <n v="0"/>
    <x v="6"/>
    <x v="0"/>
    <n v="1170"/>
    <n v="800"/>
    <s v="ne"/>
    <s v="ne"/>
    <s v="ne"/>
    <x v="14"/>
    <s v="ne"/>
    <s v="ne"/>
    <s v="ne"/>
    <s v="ne"/>
  </r>
  <r>
    <x v="0"/>
    <x v="5"/>
    <s v="ženatý/vdaná"/>
    <x v="1"/>
    <x v="2"/>
    <x v="11"/>
    <n v="10000"/>
    <n v="13000"/>
    <x v="2"/>
    <x v="1"/>
    <s v="dům"/>
    <n v="30000"/>
    <x v="1"/>
    <x v="0"/>
    <n v="1000"/>
    <s v="ne"/>
    <s v="ne"/>
    <s v="ne"/>
    <s v="ne"/>
    <x v="0"/>
    <s v="ne"/>
    <s v="ne"/>
    <n v="350"/>
    <n v="300"/>
  </r>
  <r>
    <x v="1"/>
    <x v="10"/>
    <s v="ženatý/vdaná"/>
    <x v="1"/>
    <x v="2"/>
    <x v="34"/>
    <n v="10000"/>
    <n v="3000"/>
    <x v="3"/>
    <x v="1"/>
    <s v="dům"/>
    <n v="30000"/>
    <x v="1"/>
    <x v="0"/>
    <n v="800"/>
    <s v="ne"/>
    <s v="ne"/>
    <s v="ne"/>
    <n v="1700"/>
    <x v="0"/>
    <s v="ne"/>
    <s v="ne"/>
    <s v="ne"/>
    <s v="ne"/>
  </r>
  <r>
    <x v="0"/>
    <x v="11"/>
    <s v="svobodný/á"/>
    <x v="1"/>
    <x v="1"/>
    <x v="16"/>
    <n v="11000"/>
    <n v="11000"/>
    <x v="3"/>
    <x v="6"/>
    <s v="u rodičů"/>
    <n v="220000"/>
    <x v="2"/>
    <x v="0"/>
    <n v="620"/>
    <n v="2000"/>
    <s v="ne"/>
    <s v="ne"/>
    <s v="ne"/>
    <x v="0"/>
    <s v="ne"/>
    <s v="ne"/>
    <n v="800"/>
    <s v="ne"/>
  </r>
  <r>
    <x v="1"/>
    <x v="24"/>
    <s v="ženatý/vdaná"/>
    <x v="1"/>
    <x v="3"/>
    <x v="37"/>
    <n v="6500"/>
    <n v="0"/>
    <x v="0"/>
    <x v="5"/>
    <s v="dům"/>
    <n v="0"/>
    <x v="1"/>
    <x v="0"/>
    <n v="310"/>
    <n v="500"/>
    <s v="ne"/>
    <s v="ne"/>
    <s v="ne"/>
    <x v="0"/>
    <s v="ne"/>
    <s v="ne"/>
    <s v="ne"/>
    <s v="ne"/>
  </r>
  <r>
    <x v="0"/>
    <x v="20"/>
    <s v="ženatý/vdaná"/>
    <x v="1"/>
    <x v="3"/>
    <x v="21"/>
    <n v="14800"/>
    <n v="3200"/>
    <x v="0"/>
    <x v="0"/>
    <s v="dům"/>
    <n v="0"/>
    <x v="1"/>
    <x v="0"/>
    <n v="310"/>
    <n v="500"/>
    <s v="ne"/>
    <s v="ne"/>
    <s v="ne"/>
    <x v="0"/>
    <s v="ne"/>
    <s v="ne"/>
    <s v="ne"/>
    <s v="ne"/>
  </r>
  <r>
    <x v="0"/>
    <x v="29"/>
    <s v="ženatý/vdaná"/>
    <x v="0"/>
    <x v="2"/>
    <x v="27"/>
    <n v="19000"/>
    <n v="1000"/>
    <x v="1"/>
    <x v="1"/>
    <s v="dům"/>
    <n v="0"/>
    <x v="5"/>
    <x v="0"/>
    <n v="790"/>
    <s v="ne"/>
    <s v="ne"/>
    <s v="ne"/>
    <s v="ne"/>
    <x v="15"/>
    <s v="ne"/>
    <s v="ne"/>
    <s v="ne"/>
    <s v="ne"/>
  </r>
  <r>
    <x v="1"/>
    <x v="5"/>
    <s v="ženatý/vdaná"/>
    <x v="0"/>
    <x v="2"/>
    <x v="2"/>
    <n v="15000"/>
    <n v="0"/>
    <x v="2"/>
    <x v="5"/>
    <s v="dům"/>
    <n v="0"/>
    <x v="5"/>
    <x v="0"/>
    <n v="940"/>
    <s v="ne"/>
    <s v="ne"/>
    <s v="ne"/>
    <s v="ne"/>
    <x v="15"/>
    <s v="ne"/>
    <s v="ne"/>
    <s v="ne"/>
    <s v="ne"/>
  </r>
  <r>
    <x v="1"/>
    <x v="28"/>
    <s v="ženatý/vdaná"/>
    <x v="1"/>
    <x v="0"/>
    <x v="38"/>
    <n v="19700"/>
    <n v="0"/>
    <x v="1"/>
    <x v="5"/>
    <s v="dům"/>
    <n v="60000"/>
    <x v="0"/>
    <x v="0"/>
    <n v="565"/>
    <s v="ne"/>
    <s v="ne"/>
    <s v="ne"/>
    <s v="ne"/>
    <x v="16"/>
    <s v="ne"/>
    <s v="ne"/>
    <s v="ne"/>
    <s v="ne"/>
  </r>
  <r>
    <x v="0"/>
    <x v="24"/>
    <s v="ženatý/vdaná"/>
    <x v="1"/>
    <x v="0"/>
    <x v="39"/>
    <n v="28300"/>
    <n v="11200"/>
    <x v="1"/>
    <x v="4"/>
    <s v="dům"/>
    <n v="60000"/>
    <x v="0"/>
    <x v="1"/>
    <n v="1455"/>
    <n v="5000"/>
    <s v="ne"/>
    <s v="ne"/>
    <s v="ne"/>
    <x v="16"/>
    <s v="ne"/>
    <s v="ne"/>
    <s v="ne"/>
    <s v="ne"/>
  </r>
  <r>
    <x v="0"/>
    <x v="13"/>
    <s v="svobodný/á"/>
    <x v="0"/>
    <x v="2"/>
    <x v="40"/>
    <n v="12100"/>
    <n v="15400"/>
    <x v="1"/>
    <x v="1"/>
    <s v="byt"/>
    <n v="20000"/>
    <x v="1"/>
    <x v="0"/>
    <n v="770"/>
    <s v="ne"/>
    <s v="ne"/>
    <s v="ne"/>
    <s v="ne"/>
    <x v="17"/>
    <s v="ne"/>
    <s v="ne"/>
    <n v="120"/>
    <s v="ne"/>
  </r>
  <r>
    <x v="0"/>
    <x v="9"/>
    <s v="ženatý/vdaná"/>
    <x v="1"/>
    <x v="2"/>
    <x v="5"/>
    <n v="13000"/>
    <n v="22000"/>
    <x v="1"/>
    <x v="1"/>
    <s v="dům"/>
    <n v="75000"/>
    <x v="0"/>
    <x v="0"/>
    <n v="400"/>
    <n v="2000"/>
    <s v="ne"/>
    <s v="ne"/>
    <n v="1000"/>
    <x v="0"/>
    <s v="ne"/>
    <s v="ne"/>
    <n v="216"/>
    <s v="ne"/>
  </r>
  <r>
    <x v="1"/>
    <x v="26"/>
    <s v="ženatý/vdaná"/>
    <x v="1"/>
    <x v="2"/>
    <x v="41"/>
    <n v="13000"/>
    <n v="6000"/>
    <x v="1"/>
    <x v="2"/>
    <s v="dům"/>
    <n v="75000"/>
    <x v="0"/>
    <x v="0"/>
    <n v="800"/>
    <s v="ne"/>
    <s v="ne"/>
    <s v="ne"/>
    <n v="1700"/>
    <x v="0"/>
    <s v="ne"/>
    <s v="ne"/>
    <s v="ne"/>
    <s v="ne"/>
  </r>
  <r>
    <x v="1"/>
    <x v="25"/>
    <s v="svobodný/á"/>
    <x v="1"/>
    <x v="1"/>
    <x v="42"/>
    <n v="17300"/>
    <n v="10700"/>
    <x v="3"/>
    <x v="0"/>
    <s v="dům"/>
    <n v="60000"/>
    <x v="9"/>
    <x v="0"/>
    <n v="1400"/>
    <n v="500"/>
    <s v="ne"/>
    <s v="ne"/>
    <s v="ne"/>
    <x v="18"/>
    <s v="ne"/>
    <s v="ne"/>
    <n v="800"/>
    <n v="330"/>
  </r>
  <r>
    <x v="0"/>
    <x v="5"/>
    <s v="svobodný/á"/>
    <x v="0"/>
    <x v="1"/>
    <x v="9"/>
    <n v="20000"/>
    <n v="10000"/>
    <x v="1"/>
    <x v="2"/>
    <s v="byt"/>
    <n v="20000"/>
    <x v="1"/>
    <x v="0"/>
    <n v="700"/>
    <n v="500"/>
    <s v="ne"/>
    <s v="ne"/>
    <s v="ne"/>
    <x v="0"/>
    <s v="ne"/>
    <s v="ne"/>
    <s v="ne"/>
    <s v="ne"/>
  </r>
  <r>
    <x v="0"/>
    <x v="30"/>
    <s v="svobodný/á"/>
    <x v="0"/>
    <x v="1"/>
    <x v="21"/>
    <n v="12000"/>
    <n v="6000"/>
    <x v="2"/>
    <x v="6"/>
    <s v="nájem"/>
    <n v="250000"/>
    <x v="1"/>
    <x v="0"/>
    <s v="ne"/>
    <n v="2500"/>
    <n v="100000"/>
    <s v="ne"/>
    <n v="500"/>
    <x v="0"/>
    <s v="ne"/>
    <s v="ne"/>
    <s v="ne"/>
    <s v="ne"/>
  </r>
  <r>
    <x v="1"/>
    <x v="5"/>
    <s v="ženatý/vdaná"/>
    <x v="1"/>
    <x v="0"/>
    <x v="5"/>
    <n v="32000"/>
    <n v="19000"/>
    <x v="1"/>
    <x v="6"/>
    <s v="dům"/>
    <n v="40000"/>
    <x v="1"/>
    <x v="0"/>
    <n v="2000"/>
    <n v="5000"/>
    <s v="ne"/>
    <s v="ne"/>
    <s v="ne"/>
    <x v="9"/>
    <s v="ne"/>
    <s v="ne"/>
    <n v="385"/>
    <s v="ne"/>
  </r>
  <r>
    <x v="0"/>
    <x v="11"/>
    <s v="ženatý/vdaná"/>
    <x v="1"/>
    <x v="0"/>
    <x v="27"/>
    <n v="32000"/>
    <n v="19000"/>
    <x v="1"/>
    <x v="1"/>
    <s v="dům"/>
    <n v="40000"/>
    <x v="3"/>
    <x v="0"/>
    <n v="895"/>
    <s v="ne"/>
    <s v="ne"/>
    <s v="ne"/>
    <s v="ne"/>
    <x v="9"/>
    <s v="ne"/>
    <s v="ne"/>
    <s v="ne"/>
    <s v="ne"/>
  </r>
  <r>
    <x v="0"/>
    <x v="4"/>
    <s v="svobodný/á"/>
    <x v="2"/>
    <x v="1"/>
    <x v="2"/>
    <n v="14000"/>
    <n v="1000"/>
    <x v="2"/>
    <x v="1"/>
    <s v="nájem"/>
    <n v="0"/>
    <x v="3"/>
    <x v="0"/>
    <n v="850"/>
    <s v="ne"/>
    <s v="ne"/>
    <s v="ne"/>
    <s v="ne"/>
    <x v="0"/>
    <s v="ne"/>
    <s v="ne"/>
    <s v="ne"/>
    <n v="180"/>
  </r>
  <r>
    <x v="1"/>
    <x v="8"/>
    <s v="svobodný/á"/>
    <x v="1"/>
    <x v="2"/>
    <x v="0"/>
    <n v="14000"/>
    <n v="0"/>
    <x v="1"/>
    <x v="1"/>
    <s v="nájem"/>
    <n v="0"/>
    <x v="1"/>
    <x v="0"/>
    <s v="ne"/>
    <n v="100"/>
    <s v="ne"/>
    <s v="ne"/>
    <s v="ne"/>
    <x v="0"/>
    <n v="240000"/>
    <s v="ne"/>
    <s v="ne"/>
    <s v="ne"/>
  </r>
  <r>
    <x v="0"/>
    <x v="13"/>
    <s v="svobodný/á"/>
    <x v="2"/>
    <x v="1"/>
    <x v="20"/>
    <n v="17550"/>
    <n v="6450"/>
    <x v="1"/>
    <x v="1"/>
    <s v="dům"/>
    <n v="80000"/>
    <x v="10"/>
    <x v="0"/>
    <n v="1100"/>
    <n v="1000"/>
    <s v="ne"/>
    <s v="ne"/>
    <s v="ne"/>
    <x v="0"/>
    <s v="ne"/>
    <s v="ne"/>
    <n v="100"/>
    <n v="460"/>
  </r>
  <r>
    <x v="1"/>
    <x v="20"/>
    <s v="svobodný/á"/>
    <x v="1"/>
    <x v="2"/>
    <x v="19"/>
    <n v="16000"/>
    <n v="1000"/>
    <x v="1"/>
    <x v="1"/>
    <s v="nájem"/>
    <n v="0"/>
    <x v="10"/>
    <x v="0"/>
    <n v="800"/>
    <s v="ne"/>
    <s v="ne"/>
    <s v="ne"/>
    <s v="ne"/>
    <x v="0"/>
    <s v="ne"/>
    <s v="ne"/>
    <n v="50"/>
    <s v="ne"/>
  </r>
  <r>
    <x v="0"/>
    <x v="30"/>
    <s v="svobodný/á"/>
    <x v="0"/>
    <x v="1"/>
    <x v="16"/>
    <n v="15000"/>
    <n v="7000"/>
    <x v="1"/>
    <x v="6"/>
    <s v="u rodičů"/>
    <n v="30000"/>
    <x v="3"/>
    <x v="0"/>
    <n v="700"/>
    <n v="4000"/>
    <s v="ne"/>
    <s v="ne"/>
    <s v="ne"/>
    <x v="0"/>
    <s v="ne"/>
    <s v="ne"/>
    <s v="ne"/>
    <s v="ne"/>
  </r>
  <r>
    <x v="0"/>
    <x v="13"/>
    <s v="svobodný/á"/>
    <x v="2"/>
    <x v="1"/>
    <x v="10"/>
    <n v="15000"/>
    <n v="6000"/>
    <x v="2"/>
    <x v="1"/>
    <s v="u rodičů"/>
    <n v="100000"/>
    <x v="10"/>
    <x v="0"/>
    <n v="800"/>
    <s v="ne"/>
    <s v="ne"/>
    <s v="ne"/>
    <n v="2500"/>
    <x v="0"/>
    <s v="ne"/>
    <s v="ne"/>
    <n v="80"/>
    <n v="390"/>
  </r>
  <r>
    <x v="0"/>
    <x v="31"/>
    <s v="ženatý/vdaná"/>
    <x v="2"/>
    <x v="0"/>
    <x v="42"/>
    <n v="28000"/>
    <n v="0"/>
    <x v="0"/>
    <x v="6"/>
    <s v="dům"/>
    <n v="350000"/>
    <x v="3"/>
    <x v="0"/>
    <s v="ne"/>
    <s v="ne"/>
    <s v="ne"/>
    <n v="1500000"/>
    <s v="ne"/>
    <x v="0"/>
    <n v="125000"/>
    <s v="ne"/>
    <n v="450"/>
    <n v="1700"/>
  </r>
  <r>
    <x v="1"/>
    <x v="32"/>
    <s v="ženatý/vdaná"/>
    <x v="2"/>
    <x v="0"/>
    <x v="42"/>
    <n v="28000"/>
    <n v="0"/>
    <x v="1"/>
    <x v="6"/>
    <s v="dům"/>
    <n v="350000"/>
    <x v="8"/>
    <x v="0"/>
    <s v="ne"/>
    <s v="ne"/>
    <s v="ne"/>
    <n v="1500000"/>
    <s v="ne"/>
    <x v="0"/>
    <n v="125000"/>
    <s v="ne"/>
    <s v="ne"/>
    <s v="ne"/>
  </r>
  <r>
    <x v="0"/>
    <x v="8"/>
    <s v="ženatý/vdaná"/>
    <x v="1"/>
    <x v="2"/>
    <x v="20"/>
    <n v="16900"/>
    <n v="7100"/>
    <x v="3"/>
    <x v="0"/>
    <s v="byt"/>
    <n v="200000"/>
    <x v="1"/>
    <x v="0"/>
    <n v="1875"/>
    <n v="500"/>
    <n v="20000"/>
    <n v="750000"/>
    <s v="ne"/>
    <x v="0"/>
    <s v="ne"/>
    <s v="ne"/>
    <n v="131"/>
    <n v="175"/>
  </r>
  <r>
    <x v="1"/>
    <x v="8"/>
    <s v="ženatý/vdaná"/>
    <x v="1"/>
    <x v="2"/>
    <x v="7"/>
    <n v="7600"/>
    <n v="0"/>
    <x v="3"/>
    <x v="5"/>
    <s v="byt"/>
    <n v="200000"/>
    <x v="1"/>
    <x v="0"/>
    <n v="1500"/>
    <s v="ne"/>
    <s v="ne"/>
    <n v="750000"/>
    <s v="ne"/>
    <x v="0"/>
    <s v="ne"/>
    <s v="ne"/>
    <s v="ne"/>
    <s v="ne"/>
  </r>
  <r>
    <x v="0"/>
    <x v="17"/>
    <s v="ženatý/vdaná"/>
    <x v="0"/>
    <x v="2"/>
    <x v="5"/>
    <n v="16000"/>
    <n v="19000"/>
    <x v="3"/>
    <x v="6"/>
    <s v="byt"/>
    <n v="75000"/>
    <x v="1"/>
    <x v="0"/>
    <n v="1293"/>
    <s v="ne"/>
    <s v="ne"/>
    <n v="2000000"/>
    <s v="ne"/>
    <x v="19"/>
    <n v="150000"/>
    <s v="ne"/>
    <n v="160"/>
    <n v="739"/>
  </r>
  <r>
    <x v="1"/>
    <x v="17"/>
    <s v="ženatý/vdaná"/>
    <x v="0"/>
    <x v="2"/>
    <x v="43"/>
    <n v="11000"/>
    <n v="0"/>
    <x v="3"/>
    <x v="5"/>
    <s v="byt"/>
    <n v="75000"/>
    <x v="3"/>
    <x v="0"/>
    <n v="300"/>
    <s v="ne"/>
    <s v="ne"/>
    <n v="2000000"/>
    <s v="ne"/>
    <x v="19"/>
    <n v="150000"/>
    <s v="ne"/>
    <s v="ne"/>
    <s v="ne"/>
  </r>
  <r>
    <x v="0"/>
    <x v="8"/>
    <s v="svobodný/á"/>
    <x v="2"/>
    <x v="1"/>
    <x v="27"/>
    <n v="15000"/>
    <n v="5000"/>
    <x v="1"/>
    <x v="1"/>
    <s v="nájem"/>
    <n v="40000"/>
    <x v="3"/>
    <x v="0"/>
    <n v="2000"/>
    <n v="1000"/>
    <s v="ne"/>
    <n v="1400000"/>
    <s v="ne"/>
    <x v="0"/>
    <s v="ne"/>
    <s v="ne"/>
    <n v="182"/>
    <s v="ne"/>
  </r>
  <r>
    <x v="0"/>
    <x v="26"/>
    <s v="svobodný/á"/>
    <x v="0"/>
    <x v="1"/>
    <x v="12"/>
    <n v="23000"/>
    <n v="2000"/>
    <x v="1"/>
    <x v="1"/>
    <s v="nájem"/>
    <n v="40000"/>
    <x v="11"/>
    <x v="1"/>
    <n v="817"/>
    <n v="1700"/>
    <s v="ne"/>
    <n v="1400000"/>
    <s v="ne"/>
    <x v="0"/>
    <n v="112000"/>
    <s v="ne"/>
    <s v="ne"/>
    <s v="ne"/>
  </r>
  <r>
    <x v="0"/>
    <x v="16"/>
    <s v="rozvedený/á"/>
    <x v="2"/>
    <x v="2"/>
    <x v="5"/>
    <n v="35000"/>
    <n v="0"/>
    <x v="1"/>
    <x v="1"/>
    <s v="nájem"/>
    <n v="50000"/>
    <x v="1"/>
    <x v="1"/>
    <n v="300"/>
    <n v="1300"/>
    <s v="ne"/>
    <s v="ne"/>
    <s v="ne"/>
    <x v="0"/>
    <s v="ne"/>
    <s v="ne"/>
    <n v="156"/>
    <s v="ne"/>
  </r>
  <r>
    <x v="1"/>
    <x v="26"/>
    <s v="rozvedený/á"/>
    <x v="1"/>
    <x v="0"/>
    <x v="20"/>
    <n v="24000"/>
    <n v="0"/>
    <x v="1"/>
    <x v="2"/>
    <s v="nájem"/>
    <n v="200000"/>
    <x v="12"/>
    <x v="1"/>
    <n v="672"/>
    <n v="500"/>
    <s v="ne"/>
    <s v="ne"/>
    <s v="ne"/>
    <x v="0"/>
    <s v="ne"/>
    <s v="ne"/>
    <s v="ne"/>
    <n v="100"/>
  </r>
  <r>
    <x v="0"/>
    <x v="16"/>
    <s v="rozvedený/á"/>
    <x v="2"/>
    <x v="2"/>
    <x v="5"/>
    <n v="32000"/>
    <n v="3000"/>
    <x v="1"/>
    <x v="6"/>
    <s v="nájem"/>
    <n v="0"/>
    <x v="2"/>
    <x v="0"/>
    <n v="922"/>
    <n v="1000"/>
    <s v="ne"/>
    <s v="ne"/>
    <s v="ne"/>
    <x v="0"/>
    <s v="ne"/>
    <s v="ne"/>
    <n v="45"/>
    <s v="ne"/>
  </r>
  <r>
    <x v="0"/>
    <x v="17"/>
    <s v="svobodný/á"/>
    <x v="1"/>
    <x v="1"/>
    <x v="12"/>
    <n v="25000"/>
    <n v="0"/>
    <x v="3"/>
    <x v="0"/>
    <s v="byt"/>
    <n v="150000"/>
    <x v="3"/>
    <x v="0"/>
    <n v="2486"/>
    <s v="ne"/>
    <n v="50000"/>
    <s v="ne"/>
    <s v="ne"/>
    <x v="20"/>
    <s v="ne"/>
    <s v="ne"/>
    <n v="79"/>
    <n v="238"/>
  </r>
  <r>
    <x v="0"/>
    <x v="4"/>
    <s v="svobodný/á"/>
    <x v="1"/>
    <x v="1"/>
    <x v="19"/>
    <n v="17000"/>
    <n v="0"/>
    <x v="1"/>
    <x v="1"/>
    <s v="nájem"/>
    <n v="0"/>
    <x v="3"/>
    <x v="1"/>
    <n v="204"/>
    <s v="ne"/>
    <s v="ne"/>
    <s v="ne"/>
    <s v="ne"/>
    <x v="0"/>
    <n v="68000"/>
    <s v="ne"/>
    <s v="ne"/>
    <s v="ne"/>
  </r>
  <r>
    <x v="0"/>
    <x v="17"/>
    <s v="ženatý/vdaná"/>
    <x v="1"/>
    <x v="2"/>
    <x v="44"/>
    <n v="40000"/>
    <n v="20000"/>
    <x v="1"/>
    <x v="4"/>
    <s v="dům"/>
    <n v="265000"/>
    <x v="1"/>
    <x v="1"/>
    <n v="4327"/>
    <n v="8400"/>
    <s v="ne"/>
    <s v="ne"/>
    <s v="ne"/>
    <x v="21"/>
    <s v="ne"/>
    <s v="ne"/>
    <n v="204"/>
    <n v="866"/>
  </r>
  <r>
    <x v="1"/>
    <x v="4"/>
    <s v="ženatý/vdaná"/>
    <x v="1"/>
    <x v="2"/>
    <x v="2"/>
    <n v="15000"/>
    <n v="0"/>
    <x v="1"/>
    <x v="0"/>
    <s v="dům"/>
    <n v="265000"/>
    <x v="3"/>
    <x v="0"/>
    <n v="922"/>
    <s v="ne"/>
    <s v="ne"/>
    <s v="ne"/>
    <s v="ne"/>
    <x v="21"/>
    <s v="ne"/>
    <s v="ne"/>
    <s v="ne"/>
    <s v="ne"/>
  </r>
  <r>
    <x v="1"/>
    <x v="1"/>
    <s v="svobodný/á"/>
    <x v="0"/>
    <x v="2"/>
    <x v="2"/>
    <n v="15000"/>
    <n v="0"/>
    <x v="1"/>
    <x v="1"/>
    <s v="nájem"/>
    <n v="0"/>
    <x v="3"/>
    <x v="0"/>
    <n v="504"/>
    <n v="700"/>
    <s v="ne"/>
    <s v="ne"/>
    <s v="ne"/>
    <x v="0"/>
    <s v="ne"/>
    <s v="ne"/>
    <s v="ne"/>
    <n v="217"/>
  </r>
  <r>
    <x v="0"/>
    <x v="33"/>
    <s v="ženatý/vdaná"/>
    <x v="2"/>
    <x v="0"/>
    <x v="9"/>
    <n v="30000"/>
    <n v="0"/>
    <x v="1"/>
    <x v="1"/>
    <s v="nájem"/>
    <n v="25000"/>
    <x v="1"/>
    <x v="0"/>
    <n v="1347"/>
    <s v="ne"/>
    <s v="ne"/>
    <s v="ne"/>
    <s v="ne"/>
    <x v="0"/>
    <n v="125000"/>
    <s v="ne"/>
    <s v="ne"/>
    <s v="ne"/>
  </r>
  <r>
    <x v="1"/>
    <x v="16"/>
    <s v="ženatý/vdaná"/>
    <x v="2"/>
    <x v="0"/>
    <x v="0"/>
    <n v="14000"/>
    <n v="0"/>
    <x v="1"/>
    <x v="1"/>
    <s v="nájem"/>
    <n v="25000"/>
    <x v="1"/>
    <x v="0"/>
    <n v="748"/>
    <s v="ne"/>
    <s v="ne"/>
    <s v="ne"/>
    <s v="ne"/>
    <x v="0"/>
    <n v="125000"/>
    <s v="ne"/>
    <s v="ne"/>
    <s v="ne"/>
  </r>
  <r>
    <x v="0"/>
    <x v="8"/>
    <s v="svobodný/á"/>
    <x v="1"/>
    <x v="1"/>
    <x v="45"/>
    <n v="10000"/>
    <n v="0"/>
    <x v="2"/>
    <x v="1"/>
    <s v="byt"/>
    <n v="100000"/>
    <x v="3"/>
    <x v="0"/>
    <s v="ne"/>
    <n v="2500"/>
    <n v="1000000"/>
    <s v="ne"/>
    <s v="ne"/>
    <x v="0"/>
    <n v="50000"/>
    <s v="ne"/>
    <s v="ne"/>
    <s v="ne"/>
  </r>
  <r>
    <x v="0"/>
    <x v="11"/>
    <s v="rozvedený/á"/>
    <x v="0"/>
    <x v="2"/>
    <x v="26"/>
    <n v="16000"/>
    <n v="0"/>
    <x v="0"/>
    <x v="1"/>
    <s v="byt"/>
    <n v="0"/>
    <x v="1"/>
    <x v="1"/>
    <s v="ne"/>
    <s v="ne"/>
    <s v="ne"/>
    <s v="ne"/>
    <s v="ne"/>
    <x v="0"/>
    <n v="212435"/>
    <s v="ne"/>
    <s v="ne"/>
    <s v="ne"/>
  </r>
  <r>
    <x v="0"/>
    <x v="34"/>
    <s v="ženatý/vdaná"/>
    <x v="1"/>
    <x v="2"/>
    <x v="3"/>
    <n v="13400"/>
    <n v="19600"/>
    <x v="1"/>
    <x v="0"/>
    <s v="nájem"/>
    <n v="950000"/>
    <x v="8"/>
    <x v="0"/>
    <n v="1200"/>
    <n v="2000"/>
    <s v="ne"/>
    <s v="ne"/>
    <n v="1750"/>
    <x v="22"/>
    <s v="ne"/>
    <s v="ne"/>
    <n v="91"/>
    <n v="436"/>
  </r>
  <r>
    <x v="1"/>
    <x v="7"/>
    <s v="ženatý/vdaná"/>
    <x v="1"/>
    <x v="2"/>
    <x v="7"/>
    <n v="7600"/>
    <n v="0"/>
    <x v="3"/>
    <x v="5"/>
    <s v="nájem"/>
    <n v="950000"/>
    <x v="1"/>
    <x v="0"/>
    <n v="395"/>
    <s v="ne"/>
    <s v="ne"/>
    <s v="ne"/>
    <s v="ne"/>
    <x v="22"/>
    <s v="ne"/>
    <s v="ne"/>
    <s v="ne"/>
    <s v="ne"/>
  </r>
  <r>
    <x v="0"/>
    <x v="14"/>
    <s v="svobodný/á"/>
    <x v="0"/>
    <x v="1"/>
    <x v="27"/>
    <n v="20000"/>
    <n v="0"/>
    <x v="0"/>
    <x v="1"/>
    <s v="byt"/>
    <n v="0"/>
    <x v="3"/>
    <x v="0"/>
    <s v="ne"/>
    <s v="ne"/>
    <s v="ne"/>
    <s v="ne"/>
    <s v="ne"/>
    <x v="0"/>
    <n v="550000"/>
    <s v="ne"/>
    <s v="ne"/>
    <s v="ne"/>
  </r>
  <r>
    <x v="0"/>
    <x v="1"/>
    <s v="svobodný/á"/>
    <x v="2"/>
    <x v="1"/>
    <x v="12"/>
    <n v="11000"/>
    <n v="14000"/>
    <x v="1"/>
    <x v="0"/>
    <s v="nájem"/>
    <n v="60000"/>
    <x v="1"/>
    <x v="0"/>
    <n v="850"/>
    <s v="ne"/>
    <s v="ne"/>
    <s v="ne"/>
    <s v="ne"/>
    <x v="0"/>
    <s v="ne"/>
    <s v="ne"/>
    <s v="ne"/>
    <s v="ne"/>
  </r>
  <r>
    <x v="1"/>
    <x v="1"/>
    <s v="svobodný/á"/>
    <x v="2"/>
    <x v="1"/>
    <x v="26"/>
    <n v="11000"/>
    <n v="5000"/>
    <x v="1"/>
    <x v="0"/>
    <s v="nájem"/>
    <n v="60000"/>
    <x v="2"/>
    <x v="0"/>
    <s v="ne"/>
    <s v="ne"/>
    <s v="ne"/>
    <s v="ne"/>
    <s v="ne"/>
    <x v="0"/>
    <s v="ne"/>
    <s v="ne"/>
    <s v="ne"/>
    <s v="ne"/>
  </r>
  <r>
    <x v="0"/>
    <x v="1"/>
    <s v="svobodný/á"/>
    <x v="2"/>
    <x v="1"/>
    <x v="46"/>
    <n v="50000"/>
    <n v="0"/>
    <x v="1"/>
    <x v="6"/>
    <s v="nájem"/>
    <n v="30000"/>
    <x v="1"/>
    <x v="1"/>
    <n v="1100"/>
    <n v="1000"/>
    <s v="ne"/>
    <s v="ne"/>
    <s v="ne"/>
    <x v="0"/>
    <s v="ne"/>
    <s v="ne"/>
    <n v="100"/>
    <s v="ne"/>
  </r>
  <r>
    <x v="1"/>
    <x v="6"/>
    <s v="svobodný/á"/>
    <x v="2"/>
    <x v="1"/>
    <x v="47"/>
    <n v="25550"/>
    <n v="10450"/>
    <x v="3"/>
    <x v="0"/>
    <s v="dům"/>
    <n v="600000"/>
    <x v="3"/>
    <x v="0"/>
    <n v="1338"/>
    <n v="2000"/>
    <s v="ne"/>
    <n v="2500000"/>
    <s v="ne"/>
    <x v="23"/>
    <s v="ne"/>
    <s v="ne"/>
    <n v="168"/>
    <s v="ne"/>
  </r>
  <r>
    <x v="0"/>
    <x v="11"/>
    <s v="ženatý/vdaná"/>
    <x v="1"/>
    <x v="0"/>
    <x v="48"/>
    <n v="52400"/>
    <n v="10600"/>
    <x v="1"/>
    <x v="6"/>
    <s v="dům"/>
    <n v="0"/>
    <x v="8"/>
    <x v="0"/>
    <n v="2000"/>
    <s v="ne"/>
    <s v="ne"/>
    <s v="ne"/>
    <s v="ne"/>
    <x v="24"/>
    <s v="ne"/>
    <s v="ne"/>
    <n v="468"/>
    <s v="ne"/>
  </r>
  <r>
    <x v="1"/>
    <x v="28"/>
    <s v="ženatý/vdaná"/>
    <x v="1"/>
    <x v="0"/>
    <x v="49"/>
    <n v="15600"/>
    <n v="0"/>
    <x v="3"/>
    <x v="1"/>
    <s v="dům"/>
    <n v="0"/>
    <x v="2"/>
    <x v="0"/>
    <s v="ne"/>
    <s v="ne"/>
    <s v="ne"/>
    <s v="ne"/>
    <s v="ne"/>
    <x v="24"/>
    <s v="ne"/>
    <s v="ne"/>
    <s v="ne"/>
    <s v="ne"/>
  </r>
  <r>
    <x v="0"/>
    <x v="15"/>
    <s v="ženatý/vdaná"/>
    <x v="2"/>
    <x v="1"/>
    <x v="50"/>
    <n v="38000"/>
    <n v="62000"/>
    <x v="1"/>
    <x v="6"/>
    <s v="byt"/>
    <n v="0"/>
    <x v="3"/>
    <x v="0"/>
    <s v="ne"/>
    <s v="ne"/>
    <s v="ne"/>
    <s v="ne"/>
    <s v="ne"/>
    <x v="25"/>
    <s v="ne"/>
    <s v="ne"/>
    <n v="188"/>
    <s v="ne"/>
  </r>
  <r>
    <x v="1"/>
    <x v="23"/>
    <s v="ženatý/vdaná"/>
    <x v="2"/>
    <x v="1"/>
    <x v="14"/>
    <n v="38000"/>
    <n v="2000"/>
    <x v="3"/>
    <x v="4"/>
    <s v="byt"/>
    <n v="0"/>
    <x v="3"/>
    <x v="0"/>
    <n v="1261"/>
    <s v="ne"/>
    <s v="ne"/>
    <s v="ne"/>
    <s v="ne"/>
    <x v="25"/>
    <s v="ne"/>
    <s v="ne"/>
    <s v="ne"/>
    <s v="ne"/>
  </r>
  <r>
    <x v="0"/>
    <x v="17"/>
    <s v="svobodný/á"/>
    <x v="0"/>
    <x v="1"/>
    <x v="12"/>
    <n v="17300"/>
    <n v="7700"/>
    <x v="1"/>
    <x v="4"/>
    <s v="byt"/>
    <n v="150000"/>
    <x v="3"/>
    <x v="0"/>
    <n v="1100"/>
    <s v="ne"/>
    <s v="ne"/>
    <s v="ne"/>
    <s v="ne"/>
    <x v="26"/>
    <n v="50000"/>
    <s v="ne"/>
    <n v="127"/>
    <s v="ne"/>
  </r>
  <r>
    <x v="0"/>
    <x v="7"/>
    <s v="ženatý/vdaná"/>
    <x v="1"/>
    <x v="2"/>
    <x v="27"/>
    <n v="11000"/>
    <n v="9000"/>
    <x v="0"/>
    <x v="1"/>
    <s v="byt"/>
    <n v="10000"/>
    <x v="13"/>
    <x v="0"/>
    <n v="600"/>
    <s v="ne"/>
    <s v="ne"/>
    <s v="ne"/>
    <s v="ne"/>
    <x v="27"/>
    <s v="ne"/>
    <s v="ne"/>
    <n v="198"/>
    <s v="ne"/>
  </r>
  <r>
    <x v="1"/>
    <x v="13"/>
    <s v="ženatý/vdaná"/>
    <x v="1"/>
    <x v="2"/>
    <x v="51"/>
    <n v="11000"/>
    <n v="600"/>
    <x v="3"/>
    <x v="5"/>
    <s v="byt"/>
    <n v="10000"/>
    <x v="3"/>
    <x v="0"/>
    <n v="800"/>
    <s v="ne"/>
    <s v="ne"/>
    <s v="ne"/>
    <s v="ne"/>
    <x v="27"/>
    <s v="ne"/>
    <s v="ne"/>
    <s v="ne"/>
    <s v="ne"/>
  </r>
  <r>
    <x v="0"/>
    <x v="21"/>
    <s v="ženatý/vdaná"/>
    <x v="2"/>
    <x v="3"/>
    <x v="46"/>
    <n v="36000"/>
    <n v="14000"/>
    <x v="1"/>
    <x v="6"/>
    <s v="dům"/>
    <n v="0"/>
    <x v="3"/>
    <x v="0"/>
    <n v="9000"/>
    <s v="ne"/>
    <s v="ne"/>
    <s v="ne"/>
    <s v="ne"/>
    <x v="28"/>
    <s v="ne"/>
    <n v="250000"/>
    <s v="ne"/>
    <s v="ne"/>
  </r>
  <r>
    <x v="1"/>
    <x v="20"/>
    <s v="ženatý/vdaná"/>
    <x v="2"/>
    <x v="3"/>
    <x v="4"/>
    <n v="0"/>
    <n v="0"/>
    <x v="1"/>
    <x v="3"/>
    <s v="dům"/>
    <n v="0"/>
    <x v="1"/>
    <x v="0"/>
    <s v="ne"/>
    <s v="ne"/>
    <s v="ne"/>
    <s v="ne"/>
    <s v="ne"/>
    <x v="28"/>
    <s v="ne"/>
    <s v="ne"/>
    <s v="ne"/>
    <s v="ne"/>
  </r>
  <r>
    <x v="0"/>
    <x v="4"/>
    <s v="svobodný/á"/>
    <x v="1"/>
    <x v="1"/>
    <x v="2"/>
    <n v="16000"/>
    <n v="-1000"/>
    <x v="1"/>
    <x v="1"/>
    <s v="u rodičů"/>
    <n v="20000"/>
    <x v="3"/>
    <x v="0"/>
    <n v="1053"/>
    <n v="1000"/>
    <s v="ne"/>
    <s v="ne"/>
    <s v="ne"/>
    <x v="0"/>
    <s v="ne"/>
    <s v="ne"/>
    <s v="ne"/>
    <s v="ne"/>
  </r>
  <r>
    <x v="0"/>
    <x v="7"/>
    <s v="ženatý/vdaná"/>
    <x v="1"/>
    <x v="2"/>
    <x v="21"/>
    <n v="18000"/>
    <n v="0"/>
    <x v="1"/>
    <x v="2"/>
    <s v="dům"/>
    <n v="200000"/>
    <x v="3"/>
    <x v="0"/>
    <n v="1000"/>
    <n v="1000"/>
    <s v="ne"/>
    <s v="ne"/>
    <s v="ne"/>
    <x v="21"/>
    <s v="ne"/>
    <s v="ne"/>
    <s v="ne"/>
    <n v="300"/>
  </r>
  <r>
    <x v="1"/>
    <x v="6"/>
    <s v="ženatý/vdaná"/>
    <x v="1"/>
    <x v="2"/>
    <x v="7"/>
    <n v="7600"/>
    <n v="0"/>
    <x v="1"/>
    <x v="5"/>
    <s v="dům"/>
    <n v="200000"/>
    <x v="1"/>
    <x v="0"/>
    <n v="1335"/>
    <s v="ne"/>
    <s v="ne"/>
    <s v="ne"/>
    <s v="ne"/>
    <x v="21"/>
    <s v="ne"/>
    <s v="ne"/>
    <s v="ne"/>
    <s v="ne"/>
  </r>
  <r>
    <x v="1"/>
    <x v="14"/>
    <s v="svobodný/á"/>
    <x v="0"/>
    <x v="1"/>
    <x v="6"/>
    <n v="19000"/>
    <n v="15000"/>
    <x v="3"/>
    <x v="1"/>
    <s v="byt"/>
    <n v="200000"/>
    <x v="3"/>
    <x v="0"/>
    <n v="1300"/>
    <s v="ne"/>
    <s v="ne"/>
    <n v="200000"/>
    <s v="ne"/>
    <x v="0"/>
    <s v="ne"/>
    <s v="ne"/>
    <n v="91"/>
    <n v="150"/>
  </r>
  <r>
    <x v="1"/>
    <x v="35"/>
    <s v="svobodný/á"/>
    <x v="1"/>
    <x v="1"/>
    <x v="2"/>
    <n v="6700"/>
    <n v="8300"/>
    <x v="2"/>
    <x v="2"/>
    <s v="u rodičů"/>
    <n v="30000"/>
    <x v="1"/>
    <x v="0"/>
    <n v="560"/>
    <n v="500"/>
    <s v="ne"/>
    <s v="ne"/>
    <s v="ne"/>
    <x v="0"/>
    <s v="ne"/>
    <s v="ne"/>
    <s v="ne"/>
    <s v="ne"/>
  </r>
  <r>
    <x v="0"/>
    <x v="28"/>
    <s v="svobodný/á"/>
    <x v="1"/>
    <x v="2"/>
    <x v="14"/>
    <n v="33280"/>
    <n v="6720"/>
    <x v="2"/>
    <x v="6"/>
    <s v="byt"/>
    <n v="0"/>
    <x v="1"/>
    <x v="0"/>
    <n v="1800"/>
    <n v="3000"/>
    <s v="ne"/>
    <s v="ne"/>
    <s v="ne"/>
    <x v="0"/>
    <s v="ne"/>
    <s v="ne"/>
    <n v="166"/>
    <s v="ne"/>
  </r>
  <r>
    <x v="1"/>
    <x v="6"/>
    <s v="svobodný/á"/>
    <x v="1"/>
    <x v="2"/>
    <x v="52"/>
    <n v="10200"/>
    <n v="0"/>
    <x v="1"/>
    <x v="1"/>
    <s v="byt"/>
    <n v="0"/>
    <x v="1"/>
    <x v="0"/>
    <n v="1304"/>
    <s v="ne"/>
    <s v="ne"/>
    <s v="ne"/>
    <s v="ne"/>
    <x v="0"/>
    <s v="ne"/>
    <s v="ne"/>
    <s v="ne"/>
    <s v="ne"/>
  </r>
  <r>
    <x v="1"/>
    <x v="19"/>
    <s v="rozvedený/á"/>
    <x v="0"/>
    <x v="2"/>
    <x v="21"/>
    <n v="14000"/>
    <n v="4000"/>
    <x v="1"/>
    <x v="2"/>
    <s v="byt"/>
    <n v="120000"/>
    <x v="3"/>
    <x v="0"/>
    <n v="420"/>
    <n v="2000"/>
    <s v="ne"/>
    <s v="ne"/>
    <s v="ne"/>
    <x v="0"/>
    <s v="ne"/>
    <s v="ne"/>
    <n v="100"/>
    <s v="ne"/>
  </r>
  <r>
    <x v="1"/>
    <x v="23"/>
    <s v="rozvedený/á"/>
    <x v="1"/>
    <x v="2"/>
    <x v="12"/>
    <n v="25000"/>
    <n v="0"/>
    <x v="3"/>
    <x v="2"/>
    <s v="dům"/>
    <n v="20000"/>
    <x v="1"/>
    <x v="0"/>
    <n v="711"/>
    <n v="1500"/>
    <s v="ne"/>
    <s v="ne"/>
    <s v="ne"/>
    <x v="0"/>
    <s v="ne"/>
    <s v="ne"/>
    <n v="105"/>
    <s v="ne"/>
  </r>
  <r>
    <x v="1"/>
    <x v="23"/>
    <s v="ženatý/vdaná"/>
    <x v="2"/>
    <x v="0"/>
    <x v="27"/>
    <n v="17500"/>
    <n v="2500"/>
    <x v="3"/>
    <x v="0"/>
    <s v="dům"/>
    <n v="34000"/>
    <x v="1"/>
    <x v="0"/>
    <n v="550"/>
    <s v="ne"/>
    <s v="ne"/>
    <s v="ne"/>
    <n v="1500"/>
    <x v="0"/>
    <s v="ne"/>
    <s v="ne"/>
    <n v="290"/>
    <n v="650"/>
  </r>
  <r>
    <x v="0"/>
    <x v="23"/>
    <s v="ženatý/vdaná"/>
    <x v="2"/>
    <x v="0"/>
    <x v="11"/>
    <n v="17500"/>
    <n v="5500"/>
    <x v="1"/>
    <x v="2"/>
    <s v="dům"/>
    <n v="34000"/>
    <x v="1"/>
    <x v="0"/>
    <n v="1107"/>
    <s v="ne"/>
    <s v="ne"/>
    <s v="ne"/>
    <n v="1500"/>
    <x v="0"/>
    <s v="ne"/>
    <s v="ne"/>
    <s v="ne"/>
    <s v="ne"/>
  </r>
  <r>
    <x v="1"/>
    <x v="28"/>
    <s v="ženatý/vdaná"/>
    <x v="1"/>
    <x v="2"/>
    <x v="41"/>
    <n v="19000"/>
    <n v="0"/>
    <x v="1"/>
    <x v="2"/>
    <s v="dům"/>
    <n v="0"/>
    <x v="3"/>
    <x v="0"/>
    <n v="750"/>
    <s v="ne"/>
    <s v="ne"/>
    <s v="ne"/>
    <s v="ne"/>
    <x v="29"/>
    <n v="130000"/>
    <s v="ne"/>
    <s v="ne"/>
    <s v="ne"/>
  </r>
  <r>
    <x v="0"/>
    <x v="11"/>
    <s v="ženatý/vdaná"/>
    <x v="1"/>
    <x v="2"/>
    <x v="53"/>
    <n v="30600"/>
    <n v="0"/>
    <x v="1"/>
    <x v="2"/>
    <s v="dům"/>
    <n v="0"/>
    <x v="3"/>
    <x v="0"/>
    <s v="ne"/>
    <s v="ne"/>
    <s v="ne"/>
    <s v="ne"/>
    <s v="ne"/>
    <x v="29"/>
    <n v="130000"/>
    <s v="ne"/>
    <s v="ne"/>
    <s v="ne"/>
  </r>
  <r>
    <x v="1"/>
    <x v="5"/>
    <s v="ženatý/vdaná"/>
    <x v="1"/>
    <x v="2"/>
    <x v="54"/>
    <n v="15900"/>
    <n v="4500"/>
    <x v="1"/>
    <x v="5"/>
    <s v="dům"/>
    <n v="50000"/>
    <x v="5"/>
    <x v="0"/>
    <n v="640"/>
    <s v="ne"/>
    <s v="ne"/>
    <s v="ne"/>
    <s v="ne"/>
    <x v="30"/>
    <s v="ne"/>
    <s v="ne"/>
    <s v="ne"/>
    <n v="173"/>
  </r>
  <r>
    <x v="0"/>
    <x v="10"/>
    <s v="ženatý/vdaná"/>
    <x v="1"/>
    <x v="2"/>
    <x v="11"/>
    <n v="15900"/>
    <n v="7100"/>
    <x v="1"/>
    <x v="1"/>
    <s v="dům"/>
    <n v="50000"/>
    <x v="1"/>
    <x v="0"/>
    <n v="825"/>
    <s v="ne"/>
    <s v="ne"/>
    <s v="ne"/>
    <s v="ne"/>
    <x v="30"/>
    <s v="ne"/>
    <s v="ne"/>
    <s v="ne"/>
    <n v="225"/>
  </r>
  <r>
    <x v="1"/>
    <x v="11"/>
    <s v="ženatý/vdaná"/>
    <x v="2"/>
    <x v="3"/>
    <x v="7"/>
    <n v="7600"/>
    <n v="0"/>
    <x v="3"/>
    <x v="5"/>
    <s v="dům"/>
    <n v="200000"/>
    <x v="3"/>
    <x v="0"/>
    <n v="820"/>
    <s v="ne"/>
    <s v="ne"/>
    <s v="ne"/>
    <s v="ne"/>
    <x v="31"/>
    <s v="ne"/>
    <s v="ne"/>
    <n v="220"/>
    <n v="266"/>
  </r>
  <r>
    <x v="0"/>
    <x v="15"/>
    <s v="ženatý/vdaná"/>
    <x v="2"/>
    <x v="3"/>
    <x v="55"/>
    <n v="32400"/>
    <n v="2100"/>
    <x v="3"/>
    <x v="6"/>
    <s v="dům"/>
    <n v="200000"/>
    <x v="3"/>
    <x v="0"/>
    <s v="ne"/>
    <s v="ne"/>
    <s v="ne"/>
    <s v="ne"/>
    <s v="ne"/>
    <x v="31"/>
    <s v="ne"/>
    <s v="ne"/>
    <s v="ne"/>
    <s v="ne"/>
  </r>
  <r>
    <x v="0"/>
    <x v="14"/>
    <s v="svobodný/á"/>
    <x v="1"/>
    <x v="0"/>
    <x v="25"/>
    <n v="18000"/>
    <n v="11000"/>
    <x v="4"/>
    <x v="4"/>
    <s v="dům"/>
    <n v="40000"/>
    <x v="5"/>
    <x v="0"/>
    <n v="600"/>
    <s v="ne"/>
    <s v="ne"/>
    <s v="ne"/>
    <s v="ne"/>
    <x v="0"/>
    <n v="300000"/>
    <s v="ne"/>
    <s v="ne"/>
    <n v="210"/>
  </r>
  <r>
    <x v="1"/>
    <x v="11"/>
    <s v="svobodný/á"/>
    <x v="1"/>
    <x v="0"/>
    <x v="0"/>
    <n v="14000"/>
    <n v="0"/>
    <x v="1"/>
    <x v="0"/>
    <s v="dům"/>
    <n v="40000"/>
    <x v="5"/>
    <x v="0"/>
    <n v="600"/>
    <s v="ne"/>
    <s v="ne"/>
    <s v="ne"/>
    <s v="ne"/>
    <x v="0"/>
    <n v="200000"/>
    <s v="ne"/>
    <s v="ne"/>
    <s v="ne"/>
  </r>
  <r>
    <x v="1"/>
    <x v="11"/>
    <s v="ženatý/vdaná"/>
    <x v="1"/>
    <x v="0"/>
    <x v="46"/>
    <n v="27500"/>
    <n v="22500"/>
    <x v="1"/>
    <x v="6"/>
    <s v="dům"/>
    <n v="300000"/>
    <x v="2"/>
    <x v="0"/>
    <n v="900"/>
    <n v="5000"/>
    <s v="ne"/>
    <s v="ne"/>
    <n v="1500"/>
    <x v="2"/>
    <s v="ne"/>
    <n v="350000"/>
    <n v="310"/>
    <n v="208"/>
  </r>
  <r>
    <x v="0"/>
    <x v="18"/>
    <s v="ženatý/vdaná"/>
    <x v="2"/>
    <x v="0"/>
    <x v="14"/>
    <n v="27500"/>
    <n v="12500"/>
    <x v="3"/>
    <x v="2"/>
    <s v="dům"/>
    <n v="0"/>
    <x v="2"/>
    <x v="0"/>
    <n v="1535"/>
    <s v="ne"/>
    <s v="ne"/>
    <s v="ne"/>
    <n v="1500"/>
    <x v="0"/>
    <s v="ne"/>
    <s v="ne"/>
    <s v="ne"/>
    <s v="ne"/>
  </r>
  <r>
    <x v="1"/>
    <x v="28"/>
    <s v="ženatý/vdaná"/>
    <x v="0"/>
    <x v="0"/>
    <x v="41"/>
    <n v="19000"/>
    <n v="0"/>
    <x v="1"/>
    <x v="2"/>
    <s v="byt"/>
    <n v="0"/>
    <x v="3"/>
    <x v="0"/>
    <s v="ne"/>
    <s v="ne"/>
    <s v="ne"/>
    <s v="ne"/>
    <n v="1700"/>
    <x v="0"/>
    <n v="125000"/>
    <s v="ne"/>
    <n v="190"/>
    <n v="225"/>
  </r>
  <r>
    <x v="0"/>
    <x v="11"/>
    <s v="ženatý/vdaná"/>
    <x v="0"/>
    <x v="0"/>
    <x v="36"/>
    <n v="27000"/>
    <n v="0"/>
    <x v="1"/>
    <x v="2"/>
    <s v="byt"/>
    <n v="0"/>
    <x v="3"/>
    <x v="0"/>
    <s v="ne"/>
    <s v="ne"/>
    <s v="ne"/>
    <s v="ne"/>
    <n v="1700"/>
    <x v="0"/>
    <n v="125000"/>
    <s v="ne"/>
    <s v="ne"/>
    <s v="ne"/>
  </r>
  <r>
    <x v="1"/>
    <x v="24"/>
    <s v="ženatý/vdaná"/>
    <x v="0"/>
    <x v="0"/>
    <x v="34"/>
    <n v="11450"/>
    <n v="1550"/>
    <x v="0"/>
    <x v="1"/>
    <s v="dům"/>
    <n v="10000"/>
    <x v="3"/>
    <x v="2"/>
    <n v="890"/>
    <n v="1000"/>
    <s v="ne"/>
    <s v="ne"/>
    <s v="ne"/>
    <x v="30"/>
    <s v="ne"/>
    <s v="ne"/>
    <m/>
    <m/>
  </r>
  <r>
    <x v="0"/>
    <x v="24"/>
    <s v="ženatý/vdaná"/>
    <x v="0"/>
    <x v="0"/>
    <x v="10"/>
    <n v="11450"/>
    <n v="9550"/>
    <x v="0"/>
    <x v="1"/>
    <s v="dům"/>
    <n v="10000"/>
    <x v="3"/>
    <x v="0"/>
    <n v="901"/>
    <n v="500"/>
    <s v="ne"/>
    <s v="ne"/>
    <s v="ne"/>
    <x v="30"/>
    <s v="ne"/>
    <s v="ne"/>
    <n v="322"/>
    <n v="371"/>
  </r>
  <r>
    <x v="1"/>
    <x v="18"/>
    <s v="ženatý/vdaná"/>
    <x v="1"/>
    <x v="0"/>
    <x v="56"/>
    <n v="21400"/>
    <n v="0"/>
    <x v="2"/>
    <x v="2"/>
    <s v="dům"/>
    <n v="2000000"/>
    <x v="3"/>
    <x v="0"/>
    <n v="1044"/>
    <s v="ne"/>
    <s v="ne"/>
    <n v="500000"/>
    <n v="1700"/>
    <x v="0"/>
    <s v="ne"/>
    <s v="ne"/>
    <s v="ne"/>
    <n v="383"/>
  </r>
  <r>
    <x v="0"/>
    <x v="27"/>
    <s v="ženatý/vdaná"/>
    <x v="1"/>
    <x v="0"/>
    <x v="57"/>
    <n v="34600"/>
    <n v="45400"/>
    <x v="3"/>
    <x v="2"/>
    <s v="dům"/>
    <n v="2000000"/>
    <x v="3"/>
    <x v="0"/>
    <n v="1750"/>
    <s v="ne"/>
    <s v="ne"/>
    <n v="500000"/>
    <n v="1700"/>
    <x v="0"/>
    <s v="ne"/>
    <s v="ne"/>
    <n v="433"/>
    <n v="233"/>
  </r>
  <r>
    <x v="1"/>
    <x v="7"/>
    <s v="ženatý/vdaná"/>
    <x v="1"/>
    <x v="0"/>
    <x v="58"/>
    <n v="10100"/>
    <n v="0"/>
    <x v="1"/>
    <x v="5"/>
    <s v="dům"/>
    <n v="0"/>
    <x v="1"/>
    <x v="0"/>
    <n v="1020"/>
    <s v="ne"/>
    <s v="ne"/>
    <s v="ne"/>
    <s v="ne"/>
    <x v="21"/>
    <n v="150000"/>
    <s v="ne"/>
    <n v="450"/>
    <n v="133"/>
  </r>
  <r>
    <x v="0"/>
    <x v="23"/>
    <s v="ženatý/vdaná"/>
    <x v="1"/>
    <x v="0"/>
    <x v="16"/>
    <n v="22000"/>
    <n v="0"/>
    <x v="1"/>
    <x v="0"/>
    <s v="dům"/>
    <n v="0"/>
    <x v="1"/>
    <x v="0"/>
    <s v="ne"/>
    <s v="ne"/>
    <s v="ne"/>
    <s v="ne"/>
    <s v="ne"/>
    <x v="21"/>
    <n v="150000"/>
    <s v="ne"/>
    <s v="ne"/>
    <s v="ne"/>
  </r>
  <r>
    <x v="1"/>
    <x v="25"/>
    <s v="rozvedený/á"/>
    <x v="1"/>
    <x v="2"/>
    <x v="9"/>
    <n v="25000"/>
    <n v="5000"/>
    <x v="1"/>
    <x v="0"/>
    <s v="nájem"/>
    <n v="100000"/>
    <x v="2"/>
    <x v="0"/>
    <n v="680"/>
    <s v="ne"/>
    <s v="ne"/>
    <s v="ne"/>
    <s v="ne"/>
    <x v="0"/>
    <s v="ne"/>
    <s v="ne"/>
    <n v="81"/>
    <n v="761"/>
  </r>
  <r>
    <x v="1"/>
    <x v="28"/>
    <s v="ženatý/vdaná"/>
    <x v="1"/>
    <x v="0"/>
    <x v="2"/>
    <n v="15000"/>
    <n v="0"/>
    <x v="3"/>
    <x v="1"/>
    <s v="dům"/>
    <n v="60000"/>
    <x v="0"/>
    <x v="0"/>
    <n v="879"/>
    <n v="1500"/>
    <s v="ne"/>
    <n v="1500000"/>
    <s v="ne"/>
    <x v="32"/>
    <s v="ne"/>
    <s v="ne"/>
    <n v="157"/>
    <n v="350"/>
  </r>
  <r>
    <x v="0"/>
    <x v="11"/>
    <s v="ženatý/vdaná"/>
    <x v="1"/>
    <x v="0"/>
    <x v="47"/>
    <n v="22000"/>
    <n v="14000"/>
    <x v="1"/>
    <x v="2"/>
    <s v="dům"/>
    <n v="60000"/>
    <x v="0"/>
    <x v="0"/>
    <n v="650"/>
    <s v="ne"/>
    <s v="ne"/>
    <n v="1500000"/>
    <s v="ne"/>
    <x v="32"/>
    <s v="ne"/>
    <s v="ne"/>
    <n v="198"/>
    <s v="ne"/>
  </r>
  <r>
    <x v="0"/>
    <x v="8"/>
    <s v="svobodný/á"/>
    <x v="1"/>
    <x v="1"/>
    <x v="11"/>
    <n v="17000"/>
    <n v="6000"/>
    <x v="1"/>
    <x v="1"/>
    <s v="u rodičů"/>
    <n v="0"/>
    <x v="1"/>
    <x v="0"/>
    <n v="720"/>
    <s v="ne"/>
    <s v="ne"/>
    <s v="ne"/>
    <s v="ne"/>
    <x v="0"/>
    <s v="ne"/>
    <s v="ne"/>
    <s v="ne"/>
    <s v="ne"/>
  </r>
  <r>
    <x v="1"/>
    <x v="2"/>
    <s v="rozvedený/á"/>
    <x v="1"/>
    <x v="2"/>
    <x v="26"/>
    <n v="16000"/>
    <n v="0"/>
    <x v="0"/>
    <x v="1"/>
    <s v="dům"/>
    <n v="0"/>
    <x v="0"/>
    <x v="0"/>
    <n v="700"/>
    <s v="ne"/>
    <s v="ne"/>
    <s v="ne"/>
    <s v="ne"/>
    <x v="0"/>
    <s v="ne"/>
    <s v="ne"/>
    <s v="ne"/>
    <s v="ne"/>
  </r>
  <r>
    <x v="1"/>
    <x v="8"/>
    <s v="ženatý/vdaná"/>
    <x v="1"/>
    <x v="2"/>
    <x v="45"/>
    <n v="10000"/>
    <n v="0"/>
    <x v="3"/>
    <x v="2"/>
    <s v="byt"/>
    <n v="0"/>
    <x v="1"/>
    <x v="0"/>
    <n v="800"/>
    <n v="500"/>
    <s v="ne"/>
    <s v="ne"/>
    <s v="ne"/>
    <x v="30"/>
    <s v="ne"/>
    <s v="ne"/>
    <n v="170"/>
    <n v="120"/>
  </r>
  <r>
    <x v="0"/>
    <x v="34"/>
    <s v="ženatý/vdaná"/>
    <x v="1"/>
    <x v="2"/>
    <x v="27"/>
    <n v="17700"/>
    <n v="2300"/>
    <x v="1"/>
    <x v="1"/>
    <s v="byt"/>
    <n v="0"/>
    <x v="1"/>
    <x v="0"/>
    <n v="1005"/>
    <s v="ne"/>
    <s v="ne"/>
    <s v="ne"/>
    <s v="ne"/>
    <x v="30"/>
    <s v="ne"/>
    <s v="ne"/>
    <s v="ne"/>
    <s v="ne"/>
  </r>
  <r>
    <x v="1"/>
    <x v="11"/>
    <s v="rozvedený/á"/>
    <x v="1"/>
    <x v="3"/>
    <x v="20"/>
    <n v="14000"/>
    <n v="10000"/>
    <x v="1"/>
    <x v="4"/>
    <s v="byt"/>
    <n v="50000"/>
    <x v="2"/>
    <x v="1"/>
    <n v="506"/>
    <s v="ne"/>
    <s v="ne"/>
    <s v="ne"/>
    <s v="ne"/>
    <x v="0"/>
    <n v="100000"/>
    <s v="ne"/>
    <s v="ne"/>
    <s v="ne"/>
  </r>
  <r>
    <x v="0"/>
    <x v="24"/>
    <s v="svobodný/á"/>
    <x v="2"/>
    <x v="1"/>
    <x v="36"/>
    <n v="20000"/>
    <n v="7000"/>
    <x v="1"/>
    <x v="2"/>
    <s v="byt"/>
    <n v="100000"/>
    <x v="2"/>
    <x v="0"/>
    <n v="725"/>
    <n v="500"/>
    <s v="ne"/>
    <s v="ne"/>
    <s v="ne"/>
    <x v="0"/>
    <s v="ne"/>
    <s v="ne"/>
    <n v="160"/>
    <s v="ne"/>
  </r>
  <r>
    <x v="1"/>
    <x v="24"/>
    <s v="ženatý/vdaná"/>
    <x v="1"/>
    <x v="3"/>
    <x v="9"/>
    <n v="22500"/>
    <n v="7500"/>
    <x v="1"/>
    <x v="6"/>
    <s v="dům"/>
    <n v="25000"/>
    <x v="2"/>
    <x v="0"/>
    <n v="1650"/>
    <n v="1000"/>
    <s v="ne"/>
    <n v="1600000"/>
    <n v="1700"/>
    <x v="33"/>
    <n v="50000"/>
    <s v="ne"/>
    <n v="276"/>
    <n v="307"/>
  </r>
  <r>
    <x v="0"/>
    <x v="18"/>
    <s v="ženatý/vdaná"/>
    <x v="1"/>
    <x v="3"/>
    <x v="15"/>
    <n v="22500"/>
    <n v="0"/>
    <x v="0"/>
    <x v="1"/>
    <s v="dům"/>
    <n v="25000"/>
    <x v="4"/>
    <x v="1"/>
    <n v="537"/>
    <n v="1500"/>
    <s v="ne"/>
    <n v="1000000"/>
    <n v="1000"/>
    <x v="33"/>
    <n v="50000"/>
    <s v="ne"/>
    <n v="133"/>
    <n v="262"/>
  </r>
  <r>
    <x v="1"/>
    <x v="28"/>
    <s v="ženatý/vdaná"/>
    <x v="1"/>
    <x v="0"/>
    <x v="5"/>
    <n v="35000"/>
    <n v="0"/>
    <x v="3"/>
    <x v="6"/>
    <s v="dům"/>
    <n v="1000000"/>
    <x v="8"/>
    <x v="0"/>
    <n v="1000"/>
    <s v="ne"/>
    <n v="200000"/>
    <n v="1750000"/>
    <s v="ne"/>
    <x v="0"/>
    <s v="ne"/>
    <s v="ne"/>
    <n v="500"/>
    <n v="750"/>
  </r>
  <r>
    <x v="0"/>
    <x v="27"/>
    <s v="ženatý/vdaná"/>
    <x v="1"/>
    <x v="0"/>
    <x v="59"/>
    <n v="35000"/>
    <n v="85000"/>
    <x v="3"/>
    <x v="4"/>
    <s v="dům"/>
    <n v="1000000"/>
    <x v="8"/>
    <x v="0"/>
    <n v="1000"/>
    <s v="ne"/>
    <s v="ne"/>
    <n v="1750000"/>
    <s v="ne"/>
    <x v="0"/>
    <s v="ne"/>
    <s v="ne"/>
    <s v="ne"/>
    <n v="591"/>
  </r>
  <r>
    <x v="2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3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4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5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6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7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8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9"/>
    <x v="36"/>
    <m/>
    <x v="3"/>
    <x v="4"/>
    <x v="60"/>
    <m/>
    <m/>
    <x v="5"/>
    <x v="7"/>
    <m/>
    <m/>
    <x v="14"/>
    <x v="2"/>
    <m/>
    <m/>
    <m/>
    <m/>
    <m/>
    <x v="34"/>
    <m/>
    <m/>
    <m/>
    <m/>
  </r>
  <r>
    <x v="10"/>
    <x v="36"/>
    <m/>
    <x v="3"/>
    <x v="4"/>
    <x v="60"/>
    <m/>
    <m/>
    <x v="5"/>
    <x v="7"/>
    <m/>
    <m/>
    <x v="14"/>
    <x v="2"/>
    <m/>
    <m/>
    <m/>
    <m/>
    <m/>
    <x v="34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4">
  <r>
    <x v="0"/>
    <x v="0"/>
    <x v="0"/>
    <x v="0"/>
    <x v="0"/>
    <n v="14000"/>
    <n v="18700"/>
    <n v="-4700"/>
    <x v="0"/>
    <x v="0"/>
    <s v="dům"/>
    <n v="1500000"/>
    <x v="0"/>
    <x v="0"/>
    <x v="0"/>
    <x v="0"/>
    <x v="0"/>
    <x v="0"/>
    <x v="0"/>
    <x v="0"/>
    <x v="0"/>
    <s v="ne"/>
    <x v="0"/>
    <x v="0"/>
    <x v="0"/>
  </r>
  <r>
    <x v="0"/>
    <x v="1"/>
    <x v="1"/>
    <x v="0"/>
    <x v="1"/>
    <n v="10500"/>
    <n v="7200"/>
    <n v="3300"/>
    <x v="1"/>
    <x v="1"/>
    <s v="byt"/>
    <n v="20000"/>
    <x v="1"/>
    <x v="0"/>
    <x v="0"/>
    <x v="1"/>
    <x v="1"/>
    <x v="0"/>
    <x v="1"/>
    <x v="0"/>
    <x v="0"/>
    <s v="ne"/>
    <x v="0"/>
    <x v="0"/>
    <x v="0"/>
  </r>
  <r>
    <x v="1"/>
    <x v="2"/>
    <x v="0"/>
    <x v="0"/>
    <x v="0"/>
    <n v="15000"/>
    <n v="10000"/>
    <n v="5000"/>
    <x v="1"/>
    <x v="2"/>
    <s v="byt"/>
    <n v="30000"/>
    <x v="2"/>
    <x v="0"/>
    <x v="1"/>
    <x v="2"/>
    <x v="1"/>
    <x v="0"/>
    <x v="2"/>
    <x v="0"/>
    <x v="0"/>
    <s v="ne"/>
    <x v="0"/>
    <x v="0"/>
    <x v="0"/>
  </r>
  <r>
    <x v="0"/>
    <x v="3"/>
    <x v="0"/>
    <x v="1"/>
    <x v="2"/>
    <n v="33000"/>
    <n v="15000"/>
    <n v="18000"/>
    <x v="1"/>
    <x v="0"/>
    <s v="dům"/>
    <n v="0"/>
    <x v="2"/>
    <x v="0"/>
    <x v="0"/>
    <x v="1"/>
    <x v="1"/>
    <x v="0"/>
    <x v="0"/>
    <x v="0"/>
    <x v="0"/>
    <s v="ne"/>
    <x v="1"/>
    <x v="0"/>
    <x v="0"/>
  </r>
  <r>
    <x v="0"/>
    <x v="4"/>
    <x v="1"/>
    <x v="1"/>
    <x v="1"/>
    <n v="0"/>
    <n v="0"/>
    <n v="0"/>
    <x v="2"/>
    <x v="3"/>
    <s v="u rodičů"/>
    <n v="0"/>
    <x v="1"/>
    <x v="0"/>
    <x v="0"/>
    <x v="1"/>
    <x v="1"/>
    <x v="0"/>
    <x v="0"/>
    <x v="0"/>
    <x v="0"/>
    <s v="ne"/>
    <x v="0"/>
    <x v="0"/>
    <x v="0"/>
  </r>
  <r>
    <x v="0"/>
    <x v="5"/>
    <x v="1"/>
    <x v="0"/>
    <x v="1"/>
    <n v="35000"/>
    <n v="24000"/>
    <n v="11000"/>
    <x v="3"/>
    <x v="4"/>
    <s v="byt"/>
    <n v="30000"/>
    <x v="0"/>
    <x v="0"/>
    <x v="1"/>
    <x v="1"/>
    <x v="1"/>
    <x v="0"/>
    <x v="0"/>
    <x v="0"/>
    <x v="1"/>
    <s v="ne"/>
    <x v="0"/>
    <x v="0"/>
    <x v="0"/>
  </r>
  <r>
    <x v="0"/>
    <x v="6"/>
    <x v="0"/>
    <x v="1"/>
    <x v="2"/>
    <n v="34000"/>
    <n v="28000"/>
    <n v="6000"/>
    <x v="3"/>
    <x v="0"/>
    <s v="dům"/>
    <n v="150000"/>
    <x v="0"/>
    <x v="0"/>
    <x v="0"/>
    <x v="1"/>
    <x v="1"/>
    <x v="0"/>
    <x v="0"/>
    <x v="1"/>
    <x v="0"/>
    <s v="ne"/>
    <x v="2"/>
    <x v="1"/>
    <x v="0"/>
  </r>
  <r>
    <x v="1"/>
    <x v="7"/>
    <x v="0"/>
    <x v="1"/>
    <x v="2"/>
    <n v="34000"/>
    <n v="28000"/>
    <n v="6000"/>
    <x v="3"/>
    <x v="0"/>
    <s v="dům"/>
    <n v="150000"/>
    <x v="1"/>
    <x v="0"/>
    <x v="0"/>
    <x v="1"/>
    <x v="1"/>
    <x v="0"/>
    <x v="0"/>
    <x v="1"/>
    <x v="0"/>
    <s v="ne"/>
    <x v="0"/>
    <x v="0"/>
    <x v="0"/>
  </r>
  <r>
    <x v="1"/>
    <x v="8"/>
    <x v="1"/>
    <x v="1"/>
    <x v="2"/>
    <n v="7600"/>
    <n v="7600"/>
    <n v="0"/>
    <x v="1"/>
    <x v="5"/>
    <s v="dům"/>
    <n v="0"/>
    <x v="1"/>
    <x v="0"/>
    <x v="2"/>
    <x v="1"/>
    <x v="1"/>
    <x v="0"/>
    <x v="0"/>
    <x v="0"/>
    <x v="0"/>
    <s v="ne"/>
    <x v="0"/>
    <x v="0"/>
    <x v="0"/>
  </r>
  <r>
    <x v="0"/>
    <x v="4"/>
    <x v="1"/>
    <x v="0"/>
    <x v="1"/>
    <n v="13200"/>
    <n v="9600"/>
    <n v="3600"/>
    <x v="2"/>
    <x v="1"/>
    <s v="u rodičů"/>
    <n v="10000"/>
    <x v="1"/>
    <x v="0"/>
    <x v="3"/>
    <x v="3"/>
    <x v="1"/>
    <x v="0"/>
    <x v="0"/>
    <x v="0"/>
    <x v="0"/>
    <s v="ne"/>
    <x v="0"/>
    <x v="0"/>
    <x v="0"/>
  </r>
  <r>
    <x v="0"/>
    <x v="9"/>
    <x v="1"/>
    <x v="1"/>
    <x v="0"/>
    <n v="30000"/>
    <n v="36000"/>
    <n v="-6000"/>
    <x v="4"/>
    <x v="1"/>
    <s v="dům"/>
    <n v="0"/>
    <x v="2"/>
    <x v="0"/>
    <x v="4"/>
    <x v="1"/>
    <x v="1"/>
    <x v="0"/>
    <x v="0"/>
    <x v="0"/>
    <x v="0"/>
    <s v="ne"/>
    <x v="3"/>
    <x v="1"/>
    <x v="0"/>
  </r>
  <r>
    <x v="0"/>
    <x v="10"/>
    <x v="0"/>
    <x v="1"/>
    <x v="2"/>
    <n v="30000"/>
    <n v="32400"/>
    <n v="-2400"/>
    <x v="3"/>
    <x v="0"/>
    <s v="byt"/>
    <n v="25000"/>
    <x v="3"/>
    <x v="0"/>
    <x v="5"/>
    <x v="1"/>
    <x v="1"/>
    <x v="0"/>
    <x v="0"/>
    <x v="0"/>
    <x v="0"/>
    <s v="ne"/>
    <x v="0"/>
    <x v="0"/>
    <x v="0"/>
  </r>
  <r>
    <x v="1"/>
    <x v="4"/>
    <x v="0"/>
    <x v="1"/>
    <x v="2"/>
    <n v="7600"/>
    <n v="7600"/>
    <n v="0"/>
    <x v="3"/>
    <x v="5"/>
    <s v="byt"/>
    <n v="25000"/>
    <x v="3"/>
    <x v="0"/>
    <x v="0"/>
    <x v="1"/>
    <x v="1"/>
    <x v="0"/>
    <x v="0"/>
    <x v="0"/>
    <x v="0"/>
    <s v="ne"/>
    <x v="0"/>
    <x v="0"/>
    <x v="0"/>
  </r>
  <r>
    <x v="0"/>
    <x v="4"/>
    <x v="1"/>
    <x v="0"/>
    <x v="1"/>
    <n v="21000"/>
    <n v="10000"/>
    <n v="11000"/>
    <x v="3"/>
    <x v="0"/>
    <s v="nájem"/>
    <n v="10000"/>
    <x v="4"/>
    <x v="0"/>
    <x v="6"/>
    <x v="4"/>
    <x v="1"/>
    <x v="0"/>
    <x v="3"/>
    <x v="2"/>
    <x v="0"/>
    <s v="ne"/>
    <x v="4"/>
    <x v="0"/>
    <x v="0"/>
  </r>
  <r>
    <x v="1"/>
    <x v="8"/>
    <x v="1"/>
    <x v="1"/>
    <x v="1"/>
    <n v="23000"/>
    <n v="15000"/>
    <n v="8000"/>
    <x v="3"/>
    <x v="0"/>
    <s v="dům"/>
    <n v="100000"/>
    <x v="3"/>
    <x v="0"/>
    <x v="7"/>
    <x v="3"/>
    <x v="1"/>
    <x v="0"/>
    <x v="0"/>
    <x v="0"/>
    <x v="0"/>
    <s v="ne"/>
    <x v="0"/>
    <x v="2"/>
    <x v="0"/>
  </r>
  <r>
    <x v="0"/>
    <x v="11"/>
    <x v="1"/>
    <x v="1"/>
    <x v="0"/>
    <n v="25000"/>
    <n v="20000"/>
    <n v="5000"/>
    <x v="1"/>
    <x v="6"/>
    <s v="dům"/>
    <n v="0"/>
    <x v="2"/>
    <x v="0"/>
    <x v="8"/>
    <x v="1"/>
    <x v="1"/>
    <x v="0"/>
    <x v="0"/>
    <x v="3"/>
    <x v="0"/>
    <s v="ne"/>
    <x v="0"/>
    <x v="0"/>
    <x v="0"/>
  </r>
  <r>
    <x v="1"/>
    <x v="11"/>
    <x v="2"/>
    <x v="1"/>
    <x v="0"/>
    <n v="23800"/>
    <n v="20000"/>
    <n v="3800"/>
    <x v="0"/>
    <x v="6"/>
    <s v="dům"/>
    <n v="0"/>
    <x v="3"/>
    <x v="0"/>
    <x v="9"/>
    <x v="1"/>
    <x v="1"/>
    <x v="0"/>
    <x v="0"/>
    <x v="3"/>
    <x v="0"/>
    <s v="ne"/>
    <x v="5"/>
    <x v="0"/>
    <x v="0"/>
  </r>
  <r>
    <x v="0"/>
    <x v="12"/>
    <x v="1"/>
    <x v="2"/>
    <x v="1"/>
    <n v="21000"/>
    <n v="19270"/>
    <n v="1730"/>
    <x v="3"/>
    <x v="0"/>
    <s v="byt"/>
    <n v="0"/>
    <x v="1"/>
    <x v="0"/>
    <x v="10"/>
    <x v="1"/>
    <x v="1"/>
    <x v="0"/>
    <x v="0"/>
    <x v="0"/>
    <x v="0"/>
    <s v="ne"/>
    <x v="0"/>
    <x v="0"/>
    <x v="0"/>
  </r>
  <r>
    <x v="0"/>
    <x v="13"/>
    <x v="1"/>
    <x v="2"/>
    <x v="1"/>
    <n v="40000"/>
    <n v="28000"/>
    <n v="12000"/>
    <x v="1"/>
    <x v="6"/>
    <s v="nájem"/>
    <n v="0"/>
    <x v="3"/>
    <x v="0"/>
    <x v="0"/>
    <x v="1"/>
    <x v="1"/>
    <x v="0"/>
    <x v="0"/>
    <x v="0"/>
    <x v="0"/>
    <s v="ne"/>
    <x v="0"/>
    <x v="0"/>
    <x v="0"/>
  </r>
  <r>
    <x v="1"/>
    <x v="6"/>
    <x v="0"/>
    <x v="0"/>
    <x v="2"/>
    <n v="7600"/>
    <n v="7600"/>
    <n v="0"/>
    <x v="3"/>
    <x v="5"/>
    <s v="byt"/>
    <n v="20000"/>
    <x v="5"/>
    <x v="0"/>
    <x v="11"/>
    <x v="1"/>
    <x v="1"/>
    <x v="0"/>
    <x v="0"/>
    <x v="4"/>
    <x v="0"/>
    <s v="ne"/>
    <x v="0"/>
    <x v="0"/>
    <x v="0"/>
  </r>
  <r>
    <x v="0"/>
    <x v="10"/>
    <x v="0"/>
    <x v="0"/>
    <x v="2"/>
    <n v="23000"/>
    <n v="32400"/>
    <n v="-9400"/>
    <x v="1"/>
    <x v="1"/>
    <s v="byt"/>
    <n v="20000"/>
    <x v="2"/>
    <x v="0"/>
    <x v="12"/>
    <x v="1"/>
    <x v="1"/>
    <x v="0"/>
    <x v="3"/>
    <x v="4"/>
    <x v="0"/>
    <s v="ne"/>
    <x v="6"/>
    <x v="3"/>
    <x v="0"/>
  </r>
  <r>
    <x v="0"/>
    <x v="8"/>
    <x v="1"/>
    <x v="1"/>
    <x v="1"/>
    <n v="34000"/>
    <n v="10300"/>
    <n v="23700"/>
    <x v="1"/>
    <x v="4"/>
    <s v="byt"/>
    <n v="75000"/>
    <x v="5"/>
    <x v="1"/>
    <x v="4"/>
    <x v="3"/>
    <x v="1"/>
    <x v="0"/>
    <x v="4"/>
    <x v="0"/>
    <x v="2"/>
    <s v="ne"/>
    <x v="0"/>
    <x v="0"/>
    <x v="0"/>
  </r>
  <r>
    <x v="1"/>
    <x v="4"/>
    <x v="1"/>
    <x v="1"/>
    <x v="1"/>
    <n v="22500"/>
    <n v="10300"/>
    <n v="12200"/>
    <x v="3"/>
    <x v="0"/>
    <s v="byt"/>
    <n v="75000"/>
    <x v="1"/>
    <x v="1"/>
    <x v="13"/>
    <x v="3"/>
    <x v="1"/>
    <x v="0"/>
    <x v="5"/>
    <x v="0"/>
    <x v="2"/>
    <s v="ne"/>
    <x v="0"/>
    <x v="0"/>
    <x v="0"/>
  </r>
  <r>
    <x v="1"/>
    <x v="13"/>
    <x v="1"/>
    <x v="2"/>
    <x v="1"/>
    <n v="21000"/>
    <n v="15000"/>
    <n v="6000"/>
    <x v="1"/>
    <x v="0"/>
    <s v="nájem"/>
    <n v="0"/>
    <x v="6"/>
    <x v="0"/>
    <x v="14"/>
    <x v="1"/>
    <x v="1"/>
    <x v="0"/>
    <x v="0"/>
    <x v="0"/>
    <x v="0"/>
    <s v="ne"/>
    <x v="0"/>
    <x v="0"/>
    <x v="0"/>
  </r>
  <r>
    <x v="1"/>
    <x v="10"/>
    <x v="1"/>
    <x v="2"/>
    <x v="1"/>
    <n v="22000"/>
    <n v="12000"/>
    <n v="10000"/>
    <x v="3"/>
    <x v="2"/>
    <s v="byt"/>
    <n v="0"/>
    <x v="7"/>
    <x v="0"/>
    <x v="15"/>
    <x v="1"/>
    <x v="1"/>
    <x v="0"/>
    <x v="0"/>
    <x v="3"/>
    <x v="0"/>
    <s v="ne"/>
    <x v="7"/>
    <x v="4"/>
    <x v="0"/>
  </r>
  <r>
    <x v="0"/>
    <x v="14"/>
    <x v="0"/>
    <x v="1"/>
    <x v="0"/>
    <n v="67000"/>
    <n v="41000"/>
    <n v="26000"/>
    <x v="3"/>
    <x v="0"/>
    <s v="dům"/>
    <n v="300000"/>
    <x v="8"/>
    <x v="0"/>
    <x v="16"/>
    <x v="5"/>
    <x v="1"/>
    <x v="0"/>
    <x v="0"/>
    <x v="0"/>
    <x v="0"/>
    <s v="ne"/>
    <x v="8"/>
    <x v="5"/>
    <x v="0"/>
  </r>
  <r>
    <x v="0"/>
    <x v="15"/>
    <x v="0"/>
    <x v="0"/>
    <x v="0"/>
    <n v="30000"/>
    <n v="10000"/>
    <n v="20000"/>
    <x v="1"/>
    <x v="2"/>
    <s v="byt"/>
    <n v="125000"/>
    <x v="0"/>
    <x v="0"/>
    <x v="0"/>
    <x v="1"/>
    <x v="1"/>
    <x v="0"/>
    <x v="1"/>
    <x v="0"/>
    <x v="0"/>
    <s v="ne"/>
    <x v="9"/>
    <x v="6"/>
    <x v="0"/>
  </r>
  <r>
    <x v="1"/>
    <x v="16"/>
    <x v="0"/>
    <x v="0"/>
    <x v="0"/>
    <n v="12000"/>
    <n v="10000"/>
    <n v="2000"/>
    <x v="1"/>
    <x v="0"/>
    <s v="byt"/>
    <n v="125000"/>
    <x v="0"/>
    <x v="0"/>
    <x v="0"/>
    <x v="1"/>
    <x v="1"/>
    <x v="0"/>
    <x v="1"/>
    <x v="0"/>
    <x v="0"/>
    <s v="ne"/>
    <x v="0"/>
    <x v="0"/>
    <x v="0"/>
  </r>
  <r>
    <x v="0"/>
    <x v="10"/>
    <x v="1"/>
    <x v="0"/>
    <x v="2"/>
    <n v="35000"/>
    <n v="17800"/>
    <n v="17200"/>
    <x v="3"/>
    <x v="0"/>
    <s v="dům"/>
    <n v="35000"/>
    <x v="1"/>
    <x v="0"/>
    <x v="17"/>
    <x v="6"/>
    <x v="1"/>
    <x v="0"/>
    <x v="0"/>
    <x v="5"/>
    <x v="0"/>
    <s v="ne"/>
    <x v="10"/>
    <x v="3"/>
    <x v="0"/>
  </r>
  <r>
    <x v="1"/>
    <x v="10"/>
    <x v="1"/>
    <x v="0"/>
    <x v="2"/>
    <n v="7600"/>
    <n v="7600"/>
    <n v="0"/>
    <x v="3"/>
    <x v="5"/>
    <s v="dům"/>
    <n v="35000"/>
    <x v="1"/>
    <x v="0"/>
    <x v="18"/>
    <x v="1"/>
    <x v="1"/>
    <x v="0"/>
    <x v="0"/>
    <x v="5"/>
    <x v="0"/>
    <s v="ne"/>
    <x v="0"/>
    <x v="0"/>
    <x v="0"/>
  </r>
  <r>
    <x v="1"/>
    <x v="4"/>
    <x v="1"/>
    <x v="2"/>
    <x v="1"/>
    <n v="23000"/>
    <n v="17950"/>
    <n v="5050"/>
    <x v="3"/>
    <x v="0"/>
    <s v="nájem"/>
    <n v="5000"/>
    <x v="1"/>
    <x v="0"/>
    <x v="19"/>
    <x v="7"/>
    <x v="1"/>
    <x v="0"/>
    <x v="0"/>
    <x v="0"/>
    <x v="3"/>
    <s v="ne"/>
    <x v="0"/>
    <x v="0"/>
    <x v="0"/>
  </r>
  <r>
    <x v="1"/>
    <x v="14"/>
    <x v="2"/>
    <x v="0"/>
    <x v="2"/>
    <n v="17000"/>
    <n v="9000"/>
    <n v="8000"/>
    <x v="1"/>
    <x v="2"/>
    <s v="byt"/>
    <n v="30000"/>
    <x v="1"/>
    <x v="0"/>
    <x v="20"/>
    <x v="8"/>
    <x v="1"/>
    <x v="0"/>
    <x v="6"/>
    <x v="0"/>
    <x v="0"/>
    <s v="ne"/>
    <x v="11"/>
    <x v="0"/>
    <x v="0"/>
  </r>
  <r>
    <x v="0"/>
    <x v="4"/>
    <x v="1"/>
    <x v="2"/>
    <x v="1"/>
    <n v="25000"/>
    <n v="15000"/>
    <n v="10000"/>
    <x v="3"/>
    <x v="0"/>
    <s v="nájem"/>
    <n v="80000"/>
    <x v="3"/>
    <x v="0"/>
    <x v="21"/>
    <x v="3"/>
    <x v="1"/>
    <x v="0"/>
    <x v="0"/>
    <x v="0"/>
    <x v="0"/>
    <s v="ne"/>
    <x v="0"/>
    <x v="0"/>
    <x v="0"/>
  </r>
  <r>
    <x v="0"/>
    <x v="14"/>
    <x v="1"/>
    <x v="1"/>
    <x v="1"/>
    <n v="24000"/>
    <n v="17000"/>
    <n v="7000"/>
    <x v="0"/>
    <x v="1"/>
    <s v="byt"/>
    <n v="20000"/>
    <x v="1"/>
    <x v="0"/>
    <x v="22"/>
    <x v="1"/>
    <x v="1"/>
    <x v="0"/>
    <x v="0"/>
    <x v="6"/>
    <x v="0"/>
    <s v="ne"/>
    <x v="12"/>
    <x v="7"/>
    <x v="0"/>
  </r>
  <r>
    <x v="0"/>
    <x v="17"/>
    <x v="0"/>
    <x v="1"/>
    <x v="2"/>
    <n v="18000"/>
    <n v="15770"/>
    <n v="2230"/>
    <x v="1"/>
    <x v="1"/>
    <s v="byt"/>
    <n v="20000"/>
    <x v="3"/>
    <x v="0"/>
    <x v="23"/>
    <x v="3"/>
    <x v="1"/>
    <x v="0"/>
    <x v="0"/>
    <x v="7"/>
    <x v="0"/>
    <s v="ne"/>
    <x v="13"/>
    <x v="8"/>
    <x v="0"/>
  </r>
  <r>
    <x v="1"/>
    <x v="10"/>
    <x v="0"/>
    <x v="1"/>
    <x v="2"/>
    <n v="7600"/>
    <n v="7600"/>
    <n v="0"/>
    <x v="1"/>
    <x v="5"/>
    <s v="byt"/>
    <n v="20000"/>
    <x v="3"/>
    <x v="0"/>
    <x v="0"/>
    <x v="1"/>
    <x v="1"/>
    <x v="0"/>
    <x v="0"/>
    <x v="7"/>
    <x v="0"/>
    <s v="ne"/>
    <x v="0"/>
    <x v="0"/>
    <x v="0"/>
  </r>
  <r>
    <x v="0"/>
    <x v="18"/>
    <x v="1"/>
    <x v="0"/>
    <x v="1"/>
    <n v="15000"/>
    <n v="8000"/>
    <n v="7000"/>
    <x v="0"/>
    <x v="1"/>
    <s v="byt"/>
    <n v="0"/>
    <x v="5"/>
    <x v="0"/>
    <x v="24"/>
    <x v="1"/>
    <x v="1"/>
    <x v="0"/>
    <x v="0"/>
    <x v="8"/>
    <x v="4"/>
    <s v="ne"/>
    <x v="0"/>
    <x v="0"/>
    <x v="0"/>
  </r>
  <r>
    <x v="1"/>
    <x v="1"/>
    <x v="1"/>
    <x v="1"/>
    <x v="1"/>
    <n v="17200"/>
    <n v="9350"/>
    <n v="7850"/>
    <x v="1"/>
    <x v="2"/>
    <s v="u rodičů"/>
    <n v="0"/>
    <x v="3"/>
    <x v="0"/>
    <x v="25"/>
    <x v="1"/>
    <x v="1"/>
    <x v="0"/>
    <x v="0"/>
    <x v="0"/>
    <x v="0"/>
    <s v="ne"/>
    <x v="0"/>
    <x v="0"/>
    <x v="0"/>
  </r>
  <r>
    <x v="0"/>
    <x v="17"/>
    <x v="1"/>
    <x v="1"/>
    <x v="1"/>
    <n v="26500"/>
    <n v="20550"/>
    <n v="5950"/>
    <x v="0"/>
    <x v="1"/>
    <s v="u rodičů"/>
    <n v="0"/>
    <x v="1"/>
    <x v="0"/>
    <x v="26"/>
    <x v="3"/>
    <x v="1"/>
    <x v="0"/>
    <x v="0"/>
    <x v="0"/>
    <x v="0"/>
    <s v="ne"/>
    <x v="0"/>
    <x v="9"/>
    <x v="0"/>
  </r>
  <r>
    <x v="0"/>
    <x v="16"/>
    <x v="0"/>
    <x v="0"/>
    <x v="0"/>
    <n v="30000"/>
    <n v="15600"/>
    <n v="14400"/>
    <x v="1"/>
    <x v="1"/>
    <s v="dům"/>
    <n v="20000"/>
    <x v="2"/>
    <x v="0"/>
    <x v="0"/>
    <x v="1"/>
    <x v="2"/>
    <x v="1"/>
    <x v="1"/>
    <x v="9"/>
    <x v="0"/>
    <s v="ne"/>
    <x v="14"/>
    <x v="10"/>
    <x v="0"/>
  </r>
  <r>
    <x v="1"/>
    <x v="9"/>
    <x v="0"/>
    <x v="0"/>
    <x v="0"/>
    <n v="17000"/>
    <n v="15600"/>
    <n v="1400"/>
    <x v="1"/>
    <x v="2"/>
    <s v="dům"/>
    <n v="20000"/>
    <x v="5"/>
    <x v="0"/>
    <x v="0"/>
    <x v="1"/>
    <x v="1"/>
    <x v="1"/>
    <x v="0"/>
    <x v="9"/>
    <x v="0"/>
    <s v="ne"/>
    <x v="0"/>
    <x v="0"/>
    <x v="0"/>
  </r>
  <r>
    <x v="1"/>
    <x v="19"/>
    <x v="0"/>
    <x v="2"/>
    <x v="0"/>
    <n v="40398"/>
    <n v="13000"/>
    <n v="27398"/>
    <x v="3"/>
    <x v="2"/>
    <s v="byt"/>
    <n v="400000"/>
    <x v="0"/>
    <x v="0"/>
    <x v="27"/>
    <x v="1"/>
    <x v="3"/>
    <x v="2"/>
    <x v="0"/>
    <x v="0"/>
    <x v="0"/>
    <s v="ne"/>
    <x v="15"/>
    <x v="0"/>
    <x v="0"/>
  </r>
  <r>
    <x v="1"/>
    <x v="20"/>
    <x v="1"/>
    <x v="2"/>
    <x v="1"/>
    <n v="40000"/>
    <n v="20000"/>
    <n v="20000"/>
    <x v="3"/>
    <x v="6"/>
    <s v="byt"/>
    <n v="200000"/>
    <x v="2"/>
    <x v="0"/>
    <x v="28"/>
    <x v="1"/>
    <x v="1"/>
    <x v="2"/>
    <x v="0"/>
    <x v="0"/>
    <x v="0"/>
    <s v="ne"/>
    <x v="16"/>
    <x v="0"/>
    <x v="0"/>
  </r>
  <r>
    <x v="1"/>
    <x v="12"/>
    <x v="2"/>
    <x v="2"/>
    <x v="2"/>
    <n v="29000"/>
    <n v="19070"/>
    <n v="9930"/>
    <x v="1"/>
    <x v="4"/>
    <s v="byt"/>
    <n v="35000"/>
    <x v="1"/>
    <x v="1"/>
    <x v="24"/>
    <x v="1"/>
    <x v="1"/>
    <x v="0"/>
    <x v="7"/>
    <x v="0"/>
    <x v="5"/>
    <s v="ne"/>
    <x v="17"/>
    <x v="11"/>
    <x v="0"/>
  </r>
  <r>
    <x v="0"/>
    <x v="7"/>
    <x v="1"/>
    <x v="0"/>
    <x v="1"/>
    <n v="16000"/>
    <n v="11000"/>
    <n v="5000"/>
    <x v="3"/>
    <x v="1"/>
    <s v="byt"/>
    <n v="0"/>
    <x v="1"/>
    <x v="0"/>
    <x v="0"/>
    <x v="9"/>
    <x v="1"/>
    <x v="0"/>
    <x v="0"/>
    <x v="0"/>
    <x v="0"/>
    <s v="ne"/>
    <x v="0"/>
    <x v="0"/>
    <x v="0"/>
  </r>
  <r>
    <x v="0"/>
    <x v="21"/>
    <x v="0"/>
    <x v="1"/>
    <x v="2"/>
    <n v="35000"/>
    <n v="7500"/>
    <n v="27500"/>
    <x v="0"/>
    <x v="1"/>
    <s v="dům"/>
    <n v="55000"/>
    <x v="1"/>
    <x v="0"/>
    <x v="29"/>
    <x v="1"/>
    <x v="3"/>
    <x v="0"/>
    <x v="0"/>
    <x v="0"/>
    <x v="0"/>
    <s v="ne"/>
    <x v="3"/>
    <x v="12"/>
    <x v="0"/>
  </r>
  <r>
    <x v="1"/>
    <x v="12"/>
    <x v="0"/>
    <x v="1"/>
    <x v="2"/>
    <n v="15000"/>
    <n v="7500"/>
    <n v="7500"/>
    <x v="1"/>
    <x v="0"/>
    <s v="dům"/>
    <n v="55000"/>
    <x v="1"/>
    <x v="1"/>
    <x v="0"/>
    <x v="3"/>
    <x v="1"/>
    <x v="0"/>
    <x v="0"/>
    <x v="0"/>
    <x v="0"/>
    <s v="ne"/>
    <x v="0"/>
    <x v="0"/>
    <x v="0"/>
  </r>
  <r>
    <x v="1"/>
    <x v="4"/>
    <x v="1"/>
    <x v="0"/>
    <x v="1"/>
    <n v="25000"/>
    <n v="10000"/>
    <n v="15000"/>
    <x v="3"/>
    <x v="0"/>
    <s v="nájem"/>
    <n v="30000"/>
    <x v="1"/>
    <x v="0"/>
    <x v="30"/>
    <x v="10"/>
    <x v="1"/>
    <x v="0"/>
    <x v="1"/>
    <x v="0"/>
    <x v="0"/>
    <s v="ne"/>
    <x v="18"/>
    <x v="2"/>
    <x v="0"/>
  </r>
  <r>
    <x v="1"/>
    <x v="5"/>
    <x v="1"/>
    <x v="1"/>
    <x v="1"/>
    <n v="20000"/>
    <n v="17000"/>
    <n v="3000"/>
    <x v="2"/>
    <x v="0"/>
    <s v="byt"/>
    <n v="30000"/>
    <x v="5"/>
    <x v="0"/>
    <x v="0"/>
    <x v="1"/>
    <x v="1"/>
    <x v="0"/>
    <x v="8"/>
    <x v="10"/>
    <x v="0"/>
    <s v="ne"/>
    <x v="19"/>
    <x v="13"/>
    <x v="0"/>
  </r>
  <r>
    <x v="0"/>
    <x v="22"/>
    <x v="0"/>
    <x v="0"/>
    <x v="2"/>
    <n v="32000"/>
    <n v="18200"/>
    <n v="13800"/>
    <x v="0"/>
    <x v="1"/>
    <s v="byt"/>
    <n v="10000"/>
    <x v="3"/>
    <x v="0"/>
    <x v="0"/>
    <x v="1"/>
    <x v="1"/>
    <x v="0"/>
    <x v="0"/>
    <x v="0"/>
    <x v="0"/>
    <s v="ne"/>
    <x v="0"/>
    <x v="0"/>
    <x v="0"/>
  </r>
  <r>
    <x v="1"/>
    <x v="10"/>
    <x v="0"/>
    <x v="0"/>
    <x v="2"/>
    <n v="6800"/>
    <n v="6800"/>
    <n v="0"/>
    <x v="1"/>
    <x v="5"/>
    <s v="byt"/>
    <n v="10000"/>
    <x v="1"/>
    <x v="0"/>
    <x v="31"/>
    <x v="11"/>
    <x v="1"/>
    <x v="0"/>
    <x v="0"/>
    <x v="0"/>
    <x v="0"/>
    <s v="ne"/>
    <x v="0"/>
    <x v="0"/>
    <x v="0"/>
  </r>
  <r>
    <x v="0"/>
    <x v="7"/>
    <x v="1"/>
    <x v="0"/>
    <x v="1"/>
    <n v="23000"/>
    <n v="15000"/>
    <n v="8000"/>
    <x v="1"/>
    <x v="1"/>
    <s v="nájem"/>
    <n v="0"/>
    <x v="3"/>
    <x v="0"/>
    <x v="32"/>
    <x v="1"/>
    <x v="1"/>
    <x v="0"/>
    <x v="0"/>
    <x v="0"/>
    <x v="6"/>
    <s v="ne"/>
    <x v="0"/>
    <x v="0"/>
    <x v="0"/>
  </r>
  <r>
    <x v="0"/>
    <x v="4"/>
    <x v="1"/>
    <x v="1"/>
    <x v="1"/>
    <n v="20000"/>
    <n v="13200"/>
    <n v="6800"/>
    <x v="0"/>
    <x v="1"/>
    <s v="u rodičů"/>
    <n v="0"/>
    <x v="3"/>
    <x v="0"/>
    <x v="0"/>
    <x v="1"/>
    <x v="1"/>
    <x v="0"/>
    <x v="0"/>
    <x v="0"/>
    <x v="0"/>
    <s v="ne"/>
    <x v="0"/>
    <x v="0"/>
    <x v="0"/>
  </r>
  <r>
    <x v="1"/>
    <x v="23"/>
    <x v="0"/>
    <x v="2"/>
    <x v="2"/>
    <n v="8500"/>
    <n v="8500"/>
    <n v="0"/>
    <x v="1"/>
    <x v="5"/>
    <s v="byt"/>
    <n v="135000"/>
    <x v="2"/>
    <x v="1"/>
    <x v="33"/>
    <x v="1"/>
    <x v="1"/>
    <x v="0"/>
    <x v="0"/>
    <x v="0"/>
    <x v="0"/>
    <s v="ne"/>
    <x v="0"/>
    <x v="0"/>
    <x v="0"/>
  </r>
  <r>
    <x v="0"/>
    <x v="24"/>
    <x v="0"/>
    <x v="2"/>
    <x v="2"/>
    <n v="30000"/>
    <n v="11500"/>
    <n v="18500"/>
    <x v="1"/>
    <x v="0"/>
    <s v="byt"/>
    <n v="135000"/>
    <x v="2"/>
    <x v="1"/>
    <x v="34"/>
    <x v="10"/>
    <x v="1"/>
    <x v="0"/>
    <x v="0"/>
    <x v="0"/>
    <x v="0"/>
    <s v="ne"/>
    <x v="0"/>
    <x v="14"/>
    <x v="0"/>
  </r>
  <r>
    <x v="0"/>
    <x v="1"/>
    <x v="1"/>
    <x v="2"/>
    <x v="1"/>
    <n v="16000"/>
    <n v="8000"/>
    <n v="8000"/>
    <x v="0"/>
    <x v="1"/>
    <s v="u rodičů"/>
    <n v="0"/>
    <x v="2"/>
    <x v="0"/>
    <x v="35"/>
    <x v="1"/>
    <x v="1"/>
    <x v="0"/>
    <x v="0"/>
    <x v="0"/>
    <x v="0"/>
    <s v="ne"/>
    <x v="20"/>
    <x v="0"/>
    <x v="0"/>
  </r>
  <r>
    <x v="1"/>
    <x v="5"/>
    <x v="1"/>
    <x v="2"/>
    <x v="1"/>
    <n v="25000"/>
    <n v="23000"/>
    <n v="2000"/>
    <x v="2"/>
    <x v="1"/>
    <s v="nájem"/>
    <n v="300000"/>
    <x v="2"/>
    <x v="0"/>
    <x v="36"/>
    <x v="1"/>
    <x v="1"/>
    <x v="0"/>
    <x v="0"/>
    <x v="0"/>
    <x v="0"/>
    <s v="ne"/>
    <x v="0"/>
    <x v="0"/>
    <x v="0"/>
  </r>
  <r>
    <x v="1"/>
    <x v="25"/>
    <x v="0"/>
    <x v="1"/>
    <x v="0"/>
    <n v="15400"/>
    <n v="15000"/>
    <n v="400"/>
    <x v="1"/>
    <x v="0"/>
    <s v="byt"/>
    <n v="5000"/>
    <x v="6"/>
    <x v="0"/>
    <x v="0"/>
    <x v="1"/>
    <x v="1"/>
    <x v="0"/>
    <x v="0"/>
    <x v="0"/>
    <x v="0"/>
    <s v="ne"/>
    <x v="0"/>
    <x v="0"/>
    <x v="0"/>
  </r>
  <r>
    <x v="0"/>
    <x v="26"/>
    <x v="0"/>
    <x v="1"/>
    <x v="0"/>
    <n v="22000"/>
    <n v="15000"/>
    <n v="7000"/>
    <x v="1"/>
    <x v="1"/>
    <s v="byt"/>
    <n v="5000"/>
    <x v="5"/>
    <x v="0"/>
    <x v="0"/>
    <x v="1"/>
    <x v="1"/>
    <x v="0"/>
    <x v="4"/>
    <x v="0"/>
    <x v="0"/>
    <s v="ne"/>
    <x v="0"/>
    <x v="15"/>
    <x v="0"/>
  </r>
  <r>
    <x v="0"/>
    <x v="20"/>
    <x v="1"/>
    <x v="2"/>
    <x v="2"/>
    <n v="21000"/>
    <n v="21000"/>
    <n v="0"/>
    <x v="1"/>
    <x v="1"/>
    <s v="nájem"/>
    <n v="0"/>
    <x v="5"/>
    <x v="0"/>
    <x v="37"/>
    <x v="3"/>
    <x v="1"/>
    <x v="0"/>
    <x v="9"/>
    <x v="0"/>
    <x v="0"/>
    <s v="ne"/>
    <x v="0"/>
    <x v="0"/>
    <x v="0"/>
  </r>
  <r>
    <x v="1"/>
    <x v="6"/>
    <x v="1"/>
    <x v="1"/>
    <x v="1"/>
    <n v="18000"/>
    <n v="11000"/>
    <n v="7000"/>
    <x v="1"/>
    <x v="2"/>
    <s v="dům"/>
    <n v="0"/>
    <x v="5"/>
    <x v="0"/>
    <x v="34"/>
    <x v="1"/>
    <x v="1"/>
    <x v="0"/>
    <x v="0"/>
    <x v="0"/>
    <x v="1"/>
    <s v="ne"/>
    <x v="21"/>
    <x v="16"/>
    <x v="0"/>
  </r>
  <r>
    <x v="1"/>
    <x v="7"/>
    <x v="0"/>
    <x v="1"/>
    <x v="0"/>
    <n v="15000"/>
    <n v="13100"/>
    <n v="1900"/>
    <x v="1"/>
    <x v="5"/>
    <s v="dům"/>
    <n v="15000"/>
    <x v="5"/>
    <x v="0"/>
    <x v="38"/>
    <x v="1"/>
    <x v="1"/>
    <x v="0"/>
    <x v="0"/>
    <x v="11"/>
    <x v="0"/>
    <s v="ne"/>
    <x v="0"/>
    <x v="0"/>
    <x v="0"/>
  </r>
  <r>
    <x v="0"/>
    <x v="23"/>
    <x v="0"/>
    <x v="1"/>
    <x v="0"/>
    <n v="21000"/>
    <n v="13100"/>
    <n v="7900"/>
    <x v="2"/>
    <x v="2"/>
    <s v="dům"/>
    <n v="15000"/>
    <x v="3"/>
    <x v="0"/>
    <x v="39"/>
    <x v="1"/>
    <x v="1"/>
    <x v="0"/>
    <x v="0"/>
    <x v="11"/>
    <x v="0"/>
    <s v="ne"/>
    <x v="22"/>
    <x v="17"/>
    <x v="0"/>
  </r>
  <r>
    <x v="0"/>
    <x v="27"/>
    <x v="1"/>
    <x v="1"/>
    <x v="2"/>
    <n v="68000"/>
    <n v="19675"/>
    <n v="48325"/>
    <x v="1"/>
    <x v="6"/>
    <s v="dům"/>
    <n v="45000"/>
    <x v="1"/>
    <x v="0"/>
    <x v="40"/>
    <x v="1"/>
    <x v="1"/>
    <x v="0"/>
    <x v="0"/>
    <x v="12"/>
    <x v="0"/>
    <s v="ne"/>
    <x v="23"/>
    <x v="18"/>
    <x v="0"/>
  </r>
  <r>
    <x v="1"/>
    <x v="28"/>
    <x v="1"/>
    <x v="1"/>
    <x v="2"/>
    <n v="25500"/>
    <n v="19675"/>
    <n v="5825"/>
    <x v="1"/>
    <x v="5"/>
    <s v="dům"/>
    <n v="45000"/>
    <x v="6"/>
    <x v="0"/>
    <x v="41"/>
    <x v="1"/>
    <x v="1"/>
    <x v="0"/>
    <x v="0"/>
    <x v="13"/>
    <x v="0"/>
    <s v="ne"/>
    <x v="0"/>
    <x v="0"/>
    <x v="0"/>
  </r>
  <r>
    <x v="1"/>
    <x v="4"/>
    <x v="1"/>
    <x v="0"/>
    <x v="1"/>
    <n v="17200"/>
    <n v="9300"/>
    <n v="7900"/>
    <x v="3"/>
    <x v="0"/>
    <s v="nájem"/>
    <n v="170000"/>
    <x v="1"/>
    <x v="0"/>
    <x v="42"/>
    <x v="1"/>
    <x v="1"/>
    <x v="0"/>
    <x v="4"/>
    <x v="0"/>
    <x v="0"/>
    <s v="ne"/>
    <x v="24"/>
    <x v="0"/>
    <x v="0"/>
  </r>
  <r>
    <x v="0"/>
    <x v="12"/>
    <x v="0"/>
    <x v="1"/>
    <x v="0"/>
    <n v="30000"/>
    <n v="27620"/>
    <n v="2380"/>
    <x v="4"/>
    <x v="1"/>
    <s v="dům"/>
    <n v="7500"/>
    <x v="2"/>
    <x v="0"/>
    <x v="4"/>
    <x v="1"/>
    <x v="1"/>
    <x v="0"/>
    <x v="0"/>
    <x v="0"/>
    <x v="0"/>
    <s v="ne"/>
    <x v="0"/>
    <x v="0"/>
    <x v="0"/>
  </r>
  <r>
    <x v="1"/>
    <x v="23"/>
    <x v="0"/>
    <x v="1"/>
    <x v="0"/>
    <n v="8500"/>
    <n v="8500"/>
    <n v="0"/>
    <x v="2"/>
    <x v="5"/>
    <s v="dům"/>
    <n v="7500"/>
    <x v="5"/>
    <x v="0"/>
    <x v="26"/>
    <x v="1"/>
    <x v="1"/>
    <x v="0"/>
    <x v="10"/>
    <x v="0"/>
    <x v="0"/>
    <s v="ne"/>
    <x v="0"/>
    <x v="0"/>
    <x v="0"/>
  </r>
  <r>
    <x v="0"/>
    <x v="5"/>
    <x v="1"/>
    <x v="0"/>
    <x v="1"/>
    <n v="13000"/>
    <n v="5600"/>
    <n v="7400"/>
    <x v="3"/>
    <x v="0"/>
    <s v="u rodičů"/>
    <n v="0"/>
    <x v="2"/>
    <x v="0"/>
    <x v="13"/>
    <x v="1"/>
    <x v="1"/>
    <x v="0"/>
    <x v="0"/>
    <x v="0"/>
    <x v="0"/>
    <s v="ne"/>
    <x v="0"/>
    <x v="0"/>
    <x v="0"/>
  </r>
  <r>
    <x v="1"/>
    <x v="21"/>
    <x v="2"/>
    <x v="1"/>
    <x v="2"/>
    <n v="26000"/>
    <n v="17000"/>
    <n v="9000"/>
    <x v="1"/>
    <x v="2"/>
    <s v="dům"/>
    <n v="500000"/>
    <x v="0"/>
    <x v="1"/>
    <x v="17"/>
    <x v="10"/>
    <x v="1"/>
    <x v="0"/>
    <x v="8"/>
    <x v="0"/>
    <x v="0"/>
    <s v="ne"/>
    <x v="0"/>
    <x v="0"/>
    <x v="0"/>
  </r>
  <r>
    <x v="0"/>
    <x v="4"/>
    <x v="1"/>
    <x v="1"/>
    <x v="1"/>
    <n v="27000"/>
    <n v="13700"/>
    <n v="13300"/>
    <x v="1"/>
    <x v="1"/>
    <s v="u rodičů"/>
    <n v="0"/>
    <x v="3"/>
    <x v="0"/>
    <x v="43"/>
    <x v="1"/>
    <x v="1"/>
    <x v="0"/>
    <x v="0"/>
    <x v="0"/>
    <x v="7"/>
    <s v="ne"/>
    <x v="0"/>
    <x v="19"/>
    <x v="0"/>
  </r>
  <r>
    <x v="0"/>
    <x v="23"/>
    <x v="2"/>
    <x v="0"/>
    <x v="0"/>
    <n v="21000"/>
    <n v="17850"/>
    <n v="3150"/>
    <x v="1"/>
    <x v="2"/>
    <s v="nájem"/>
    <n v="0"/>
    <x v="3"/>
    <x v="0"/>
    <x v="0"/>
    <x v="1"/>
    <x v="1"/>
    <x v="0"/>
    <x v="0"/>
    <x v="0"/>
    <x v="1"/>
    <s v="ne"/>
    <x v="0"/>
    <x v="0"/>
    <x v="0"/>
  </r>
  <r>
    <x v="1"/>
    <x v="9"/>
    <x v="2"/>
    <x v="0"/>
    <x v="0"/>
    <n v="35000"/>
    <n v="32000"/>
    <n v="3000"/>
    <x v="1"/>
    <x v="2"/>
    <s v="dům"/>
    <n v="110000"/>
    <x v="2"/>
    <x v="1"/>
    <x v="9"/>
    <x v="7"/>
    <x v="1"/>
    <x v="0"/>
    <x v="0"/>
    <x v="0"/>
    <x v="0"/>
    <s v="ne"/>
    <x v="25"/>
    <x v="0"/>
    <x v="0"/>
  </r>
  <r>
    <x v="0"/>
    <x v="28"/>
    <x v="0"/>
    <x v="1"/>
    <x v="0"/>
    <n v="25000"/>
    <n v="25000"/>
    <n v="0"/>
    <x v="0"/>
    <x v="1"/>
    <s v="dům"/>
    <n v="0"/>
    <x v="6"/>
    <x v="0"/>
    <x v="44"/>
    <x v="12"/>
    <x v="1"/>
    <x v="0"/>
    <x v="0"/>
    <x v="14"/>
    <x v="0"/>
    <s v="ne"/>
    <x v="0"/>
    <x v="0"/>
    <x v="0"/>
  </r>
  <r>
    <x v="0"/>
    <x v="5"/>
    <x v="0"/>
    <x v="1"/>
    <x v="2"/>
    <n v="23000"/>
    <n v="10000"/>
    <n v="13000"/>
    <x v="2"/>
    <x v="1"/>
    <s v="dům"/>
    <n v="30000"/>
    <x v="1"/>
    <x v="0"/>
    <x v="30"/>
    <x v="1"/>
    <x v="1"/>
    <x v="0"/>
    <x v="0"/>
    <x v="0"/>
    <x v="0"/>
    <s v="ne"/>
    <x v="9"/>
    <x v="1"/>
    <x v="0"/>
  </r>
  <r>
    <x v="1"/>
    <x v="10"/>
    <x v="0"/>
    <x v="1"/>
    <x v="2"/>
    <n v="13000"/>
    <n v="10000"/>
    <n v="3000"/>
    <x v="3"/>
    <x v="1"/>
    <s v="dům"/>
    <n v="30000"/>
    <x v="1"/>
    <x v="0"/>
    <x v="45"/>
    <x v="1"/>
    <x v="1"/>
    <x v="0"/>
    <x v="1"/>
    <x v="0"/>
    <x v="0"/>
    <s v="ne"/>
    <x v="0"/>
    <x v="0"/>
    <x v="0"/>
  </r>
  <r>
    <x v="0"/>
    <x v="11"/>
    <x v="1"/>
    <x v="1"/>
    <x v="1"/>
    <n v="22000"/>
    <n v="11000"/>
    <n v="11000"/>
    <x v="3"/>
    <x v="6"/>
    <s v="u rodičů"/>
    <n v="220000"/>
    <x v="2"/>
    <x v="0"/>
    <x v="46"/>
    <x v="4"/>
    <x v="1"/>
    <x v="0"/>
    <x v="0"/>
    <x v="0"/>
    <x v="0"/>
    <s v="ne"/>
    <x v="26"/>
    <x v="0"/>
    <x v="0"/>
  </r>
  <r>
    <x v="1"/>
    <x v="24"/>
    <x v="0"/>
    <x v="1"/>
    <x v="3"/>
    <n v="6500"/>
    <n v="6500"/>
    <n v="0"/>
    <x v="0"/>
    <x v="5"/>
    <s v="dům"/>
    <n v="0"/>
    <x v="1"/>
    <x v="0"/>
    <x v="47"/>
    <x v="3"/>
    <x v="1"/>
    <x v="0"/>
    <x v="0"/>
    <x v="0"/>
    <x v="0"/>
    <s v="ne"/>
    <x v="0"/>
    <x v="0"/>
    <x v="0"/>
  </r>
  <r>
    <x v="0"/>
    <x v="20"/>
    <x v="0"/>
    <x v="1"/>
    <x v="3"/>
    <n v="18000"/>
    <n v="14800"/>
    <n v="3200"/>
    <x v="0"/>
    <x v="0"/>
    <s v="dům"/>
    <n v="0"/>
    <x v="1"/>
    <x v="0"/>
    <x v="47"/>
    <x v="3"/>
    <x v="1"/>
    <x v="0"/>
    <x v="0"/>
    <x v="0"/>
    <x v="0"/>
    <s v="ne"/>
    <x v="0"/>
    <x v="0"/>
    <x v="0"/>
  </r>
  <r>
    <x v="0"/>
    <x v="29"/>
    <x v="0"/>
    <x v="0"/>
    <x v="2"/>
    <n v="20000"/>
    <n v="19000"/>
    <n v="1000"/>
    <x v="1"/>
    <x v="1"/>
    <s v="dům"/>
    <n v="0"/>
    <x v="5"/>
    <x v="0"/>
    <x v="48"/>
    <x v="1"/>
    <x v="1"/>
    <x v="0"/>
    <x v="0"/>
    <x v="15"/>
    <x v="0"/>
    <s v="ne"/>
    <x v="0"/>
    <x v="0"/>
    <x v="0"/>
  </r>
  <r>
    <x v="1"/>
    <x v="5"/>
    <x v="0"/>
    <x v="0"/>
    <x v="2"/>
    <n v="15000"/>
    <n v="15000"/>
    <n v="0"/>
    <x v="2"/>
    <x v="5"/>
    <s v="dům"/>
    <n v="0"/>
    <x v="5"/>
    <x v="0"/>
    <x v="49"/>
    <x v="1"/>
    <x v="1"/>
    <x v="0"/>
    <x v="0"/>
    <x v="15"/>
    <x v="0"/>
    <s v="ne"/>
    <x v="0"/>
    <x v="0"/>
    <x v="0"/>
  </r>
  <r>
    <x v="1"/>
    <x v="28"/>
    <x v="0"/>
    <x v="1"/>
    <x v="0"/>
    <n v="19700"/>
    <n v="19700"/>
    <n v="0"/>
    <x v="1"/>
    <x v="5"/>
    <s v="dům"/>
    <n v="60000"/>
    <x v="0"/>
    <x v="0"/>
    <x v="50"/>
    <x v="1"/>
    <x v="1"/>
    <x v="0"/>
    <x v="0"/>
    <x v="16"/>
    <x v="0"/>
    <s v="ne"/>
    <x v="0"/>
    <x v="0"/>
    <x v="0"/>
  </r>
  <r>
    <x v="0"/>
    <x v="24"/>
    <x v="0"/>
    <x v="1"/>
    <x v="0"/>
    <n v="39500"/>
    <n v="28300"/>
    <n v="11200"/>
    <x v="1"/>
    <x v="4"/>
    <s v="dům"/>
    <n v="60000"/>
    <x v="0"/>
    <x v="1"/>
    <x v="51"/>
    <x v="13"/>
    <x v="1"/>
    <x v="0"/>
    <x v="0"/>
    <x v="16"/>
    <x v="0"/>
    <s v="ne"/>
    <x v="0"/>
    <x v="0"/>
    <x v="0"/>
  </r>
  <r>
    <x v="0"/>
    <x v="13"/>
    <x v="1"/>
    <x v="0"/>
    <x v="2"/>
    <n v="27500"/>
    <n v="12100"/>
    <n v="15400"/>
    <x v="1"/>
    <x v="1"/>
    <s v="byt"/>
    <n v="20000"/>
    <x v="1"/>
    <x v="0"/>
    <x v="52"/>
    <x v="1"/>
    <x v="1"/>
    <x v="0"/>
    <x v="0"/>
    <x v="17"/>
    <x v="0"/>
    <s v="ne"/>
    <x v="19"/>
    <x v="0"/>
    <x v="0"/>
  </r>
  <r>
    <x v="0"/>
    <x v="9"/>
    <x v="0"/>
    <x v="1"/>
    <x v="2"/>
    <n v="35000"/>
    <n v="13000"/>
    <n v="22000"/>
    <x v="1"/>
    <x v="1"/>
    <s v="dům"/>
    <n v="75000"/>
    <x v="0"/>
    <x v="0"/>
    <x v="14"/>
    <x v="4"/>
    <x v="1"/>
    <x v="0"/>
    <x v="10"/>
    <x v="0"/>
    <x v="0"/>
    <s v="ne"/>
    <x v="27"/>
    <x v="0"/>
    <x v="0"/>
  </r>
  <r>
    <x v="1"/>
    <x v="26"/>
    <x v="0"/>
    <x v="1"/>
    <x v="2"/>
    <n v="19000"/>
    <n v="13000"/>
    <n v="6000"/>
    <x v="1"/>
    <x v="2"/>
    <s v="dům"/>
    <n v="75000"/>
    <x v="0"/>
    <x v="0"/>
    <x v="45"/>
    <x v="1"/>
    <x v="1"/>
    <x v="0"/>
    <x v="1"/>
    <x v="0"/>
    <x v="0"/>
    <s v="ne"/>
    <x v="0"/>
    <x v="0"/>
    <x v="0"/>
  </r>
  <r>
    <x v="1"/>
    <x v="25"/>
    <x v="1"/>
    <x v="1"/>
    <x v="1"/>
    <n v="28000"/>
    <n v="17300"/>
    <n v="10700"/>
    <x v="3"/>
    <x v="0"/>
    <s v="dům"/>
    <n v="60000"/>
    <x v="9"/>
    <x v="0"/>
    <x v="53"/>
    <x v="3"/>
    <x v="1"/>
    <x v="0"/>
    <x v="0"/>
    <x v="18"/>
    <x v="0"/>
    <s v="ne"/>
    <x v="26"/>
    <x v="19"/>
    <x v="0"/>
  </r>
  <r>
    <x v="0"/>
    <x v="5"/>
    <x v="1"/>
    <x v="0"/>
    <x v="1"/>
    <n v="30000"/>
    <n v="20000"/>
    <n v="10000"/>
    <x v="1"/>
    <x v="2"/>
    <s v="byt"/>
    <n v="20000"/>
    <x v="1"/>
    <x v="0"/>
    <x v="19"/>
    <x v="3"/>
    <x v="1"/>
    <x v="0"/>
    <x v="0"/>
    <x v="0"/>
    <x v="0"/>
    <s v="ne"/>
    <x v="0"/>
    <x v="0"/>
    <x v="0"/>
  </r>
  <r>
    <x v="0"/>
    <x v="30"/>
    <x v="1"/>
    <x v="0"/>
    <x v="1"/>
    <n v="18000"/>
    <n v="12000"/>
    <n v="6000"/>
    <x v="2"/>
    <x v="6"/>
    <s v="nájem"/>
    <n v="250000"/>
    <x v="1"/>
    <x v="0"/>
    <x v="0"/>
    <x v="6"/>
    <x v="3"/>
    <x v="0"/>
    <x v="3"/>
    <x v="0"/>
    <x v="0"/>
    <s v="ne"/>
    <x v="0"/>
    <x v="0"/>
    <x v="0"/>
  </r>
  <r>
    <x v="1"/>
    <x v="5"/>
    <x v="0"/>
    <x v="1"/>
    <x v="0"/>
    <n v="35000"/>
    <n v="32000"/>
    <n v="19000"/>
    <x v="1"/>
    <x v="6"/>
    <s v="dům"/>
    <n v="40000"/>
    <x v="1"/>
    <x v="0"/>
    <x v="54"/>
    <x v="13"/>
    <x v="1"/>
    <x v="0"/>
    <x v="0"/>
    <x v="9"/>
    <x v="0"/>
    <s v="ne"/>
    <x v="28"/>
    <x v="0"/>
    <x v="0"/>
  </r>
  <r>
    <x v="0"/>
    <x v="11"/>
    <x v="0"/>
    <x v="1"/>
    <x v="0"/>
    <n v="20000"/>
    <n v="32000"/>
    <n v="19000"/>
    <x v="1"/>
    <x v="1"/>
    <s v="dům"/>
    <n v="40000"/>
    <x v="3"/>
    <x v="0"/>
    <x v="18"/>
    <x v="1"/>
    <x v="1"/>
    <x v="0"/>
    <x v="0"/>
    <x v="9"/>
    <x v="0"/>
    <s v="ne"/>
    <x v="0"/>
    <x v="0"/>
    <x v="0"/>
  </r>
  <r>
    <x v="0"/>
    <x v="4"/>
    <x v="1"/>
    <x v="2"/>
    <x v="1"/>
    <n v="15000"/>
    <n v="14000"/>
    <n v="1000"/>
    <x v="2"/>
    <x v="1"/>
    <s v="nájem"/>
    <n v="0"/>
    <x v="3"/>
    <x v="0"/>
    <x v="33"/>
    <x v="1"/>
    <x v="1"/>
    <x v="0"/>
    <x v="0"/>
    <x v="0"/>
    <x v="0"/>
    <s v="ne"/>
    <x v="0"/>
    <x v="20"/>
    <x v="0"/>
  </r>
  <r>
    <x v="1"/>
    <x v="8"/>
    <x v="1"/>
    <x v="1"/>
    <x v="2"/>
    <n v="14000"/>
    <n v="14000"/>
    <n v="0"/>
    <x v="1"/>
    <x v="1"/>
    <s v="nájem"/>
    <n v="0"/>
    <x v="1"/>
    <x v="0"/>
    <x v="0"/>
    <x v="14"/>
    <x v="1"/>
    <x v="0"/>
    <x v="0"/>
    <x v="0"/>
    <x v="8"/>
    <s v="ne"/>
    <x v="0"/>
    <x v="0"/>
    <x v="0"/>
  </r>
  <r>
    <x v="0"/>
    <x v="13"/>
    <x v="1"/>
    <x v="2"/>
    <x v="1"/>
    <n v="24000"/>
    <n v="17550"/>
    <n v="6450"/>
    <x v="1"/>
    <x v="1"/>
    <s v="dům"/>
    <n v="80000"/>
    <x v="7"/>
    <x v="0"/>
    <x v="55"/>
    <x v="7"/>
    <x v="1"/>
    <x v="0"/>
    <x v="0"/>
    <x v="0"/>
    <x v="0"/>
    <s v="ne"/>
    <x v="4"/>
    <x v="21"/>
    <x v="0"/>
  </r>
  <r>
    <x v="1"/>
    <x v="20"/>
    <x v="1"/>
    <x v="1"/>
    <x v="2"/>
    <n v="17000"/>
    <n v="16000"/>
    <n v="1000"/>
    <x v="1"/>
    <x v="1"/>
    <s v="nájem"/>
    <n v="0"/>
    <x v="7"/>
    <x v="0"/>
    <x v="45"/>
    <x v="1"/>
    <x v="1"/>
    <x v="0"/>
    <x v="0"/>
    <x v="0"/>
    <x v="0"/>
    <s v="ne"/>
    <x v="29"/>
    <x v="0"/>
    <x v="0"/>
  </r>
  <r>
    <x v="0"/>
    <x v="30"/>
    <x v="1"/>
    <x v="0"/>
    <x v="1"/>
    <n v="22000"/>
    <n v="15000"/>
    <n v="7000"/>
    <x v="1"/>
    <x v="6"/>
    <s v="u rodičů"/>
    <n v="30000"/>
    <x v="3"/>
    <x v="0"/>
    <x v="19"/>
    <x v="15"/>
    <x v="1"/>
    <x v="0"/>
    <x v="0"/>
    <x v="0"/>
    <x v="0"/>
    <s v="ne"/>
    <x v="0"/>
    <x v="0"/>
    <x v="0"/>
  </r>
  <r>
    <x v="0"/>
    <x v="13"/>
    <x v="1"/>
    <x v="2"/>
    <x v="1"/>
    <n v="21000"/>
    <n v="15000"/>
    <n v="6000"/>
    <x v="2"/>
    <x v="1"/>
    <s v="u rodičů"/>
    <n v="100000"/>
    <x v="7"/>
    <x v="0"/>
    <x v="45"/>
    <x v="1"/>
    <x v="1"/>
    <x v="0"/>
    <x v="11"/>
    <x v="0"/>
    <x v="0"/>
    <s v="ne"/>
    <x v="30"/>
    <x v="16"/>
    <x v="0"/>
  </r>
  <r>
    <x v="0"/>
    <x v="31"/>
    <x v="0"/>
    <x v="2"/>
    <x v="0"/>
    <n v="28000"/>
    <n v="28000"/>
    <n v="0"/>
    <x v="0"/>
    <x v="6"/>
    <s v="dům"/>
    <n v="350000"/>
    <x v="3"/>
    <x v="0"/>
    <x v="0"/>
    <x v="1"/>
    <x v="1"/>
    <x v="3"/>
    <x v="0"/>
    <x v="0"/>
    <x v="9"/>
    <s v="ne"/>
    <x v="31"/>
    <x v="22"/>
    <x v="0"/>
  </r>
  <r>
    <x v="1"/>
    <x v="32"/>
    <x v="0"/>
    <x v="2"/>
    <x v="0"/>
    <n v="28000"/>
    <n v="28000"/>
    <n v="0"/>
    <x v="1"/>
    <x v="6"/>
    <s v="dům"/>
    <n v="350000"/>
    <x v="8"/>
    <x v="0"/>
    <x v="0"/>
    <x v="1"/>
    <x v="1"/>
    <x v="3"/>
    <x v="0"/>
    <x v="0"/>
    <x v="9"/>
    <s v="ne"/>
    <x v="0"/>
    <x v="0"/>
    <x v="0"/>
  </r>
  <r>
    <x v="0"/>
    <x v="8"/>
    <x v="0"/>
    <x v="1"/>
    <x v="2"/>
    <n v="24000"/>
    <n v="16900"/>
    <n v="7100"/>
    <x v="3"/>
    <x v="0"/>
    <s v="byt"/>
    <n v="200000"/>
    <x v="1"/>
    <x v="0"/>
    <x v="56"/>
    <x v="3"/>
    <x v="4"/>
    <x v="4"/>
    <x v="0"/>
    <x v="0"/>
    <x v="0"/>
    <s v="ne"/>
    <x v="32"/>
    <x v="23"/>
    <x v="0"/>
  </r>
  <r>
    <x v="1"/>
    <x v="8"/>
    <x v="0"/>
    <x v="1"/>
    <x v="2"/>
    <n v="7600"/>
    <n v="7600"/>
    <n v="0"/>
    <x v="3"/>
    <x v="5"/>
    <s v="byt"/>
    <n v="200000"/>
    <x v="1"/>
    <x v="0"/>
    <x v="39"/>
    <x v="1"/>
    <x v="1"/>
    <x v="4"/>
    <x v="0"/>
    <x v="0"/>
    <x v="0"/>
    <s v="ne"/>
    <x v="0"/>
    <x v="0"/>
    <x v="0"/>
  </r>
  <r>
    <x v="0"/>
    <x v="17"/>
    <x v="0"/>
    <x v="0"/>
    <x v="2"/>
    <n v="35000"/>
    <n v="16000"/>
    <n v="19000"/>
    <x v="3"/>
    <x v="6"/>
    <s v="byt"/>
    <n v="75000"/>
    <x v="1"/>
    <x v="0"/>
    <x v="57"/>
    <x v="1"/>
    <x v="1"/>
    <x v="2"/>
    <x v="0"/>
    <x v="19"/>
    <x v="1"/>
    <s v="ne"/>
    <x v="33"/>
    <x v="24"/>
    <x v="0"/>
  </r>
  <r>
    <x v="1"/>
    <x v="17"/>
    <x v="0"/>
    <x v="0"/>
    <x v="2"/>
    <n v="11000"/>
    <n v="11000"/>
    <n v="0"/>
    <x v="3"/>
    <x v="5"/>
    <s v="byt"/>
    <n v="75000"/>
    <x v="3"/>
    <x v="0"/>
    <x v="29"/>
    <x v="1"/>
    <x v="1"/>
    <x v="2"/>
    <x v="0"/>
    <x v="19"/>
    <x v="1"/>
    <s v="ne"/>
    <x v="0"/>
    <x v="0"/>
    <x v="0"/>
  </r>
  <r>
    <x v="0"/>
    <x v="8"/>
    <x v="1"/>
    <x v="2"/>
    <x v="1"/>
    <n v="20000"/>
    <n v="15000"/>
    <n v="5000"/>
    <x v="1"/>
    <x v="1"/>
    <s v="nájem"/>
    <n v="40000"/>
    <x v="3"/>
    <x v="0"/>
    <x v="54"/>
    <x v="7"/>
    <x v="1"/>
    <x v="5"/>
    <x v="0"/>
    <x v="0"/>
    <x v="0"/>
    <s v="ne"/>
    <x v="34"/>
    <x v="0"/>
    <x v="0"/>
  </r>
  <r>
    <x v="0"/>
    <x v="26"/>
    <x v="1"/>
    <x v="0"/>
    <x v="1"/>
    <n v="25000"/>
    <n v="23000"/>
    <n v="2000"/>
    <x v="1"/>
    <x v="1"/>
    <s v="nájem"/>
    <n v="40000"/>
    <x v="1"/>
    <x v="1"/>
    <x v="58"/>
    <x v="16"/>
    <x v="1"/>
    <x v="5"/>
    <x v="0"/>
    <x v="0"/>
    <x v="10"/>
    <s v="ne"/>
    <x v="0"/>
    <x v="0"/>
    <x v="0"/>
  </r>
  <r>
    <x v="0"/>
    <x v="16"/>
    <x v="2"/>
    <x v="2"/>
    <x v="2"/>
    <n v="35000"/>
    <n v="35000"/>
    <n v="0"/>
    <x v="1"/>
    <x v="1"/>
    <s v="nájem"/>
    <n v="50000"/>
    <x v="1"/>
    <x v="1"/>
    <x v="29"/>
    <x v="2"/>
    <x v="1"/>
    <x v="0"/>
    <x v="0"/>
    <x v="0"/>
    <x v="0"/>
    <s v="ne"/>
    <x v="35"/>
    <x v="0"/>
    <x v="0"/>
  </r>
  <r>
    <x v="1"/>
    <x v="26"/>
    <x v="2"/>
    <x v="1"/>
    <x v="0"/>
    <n v="24000"/>
    <n v="24000"/>
    <n v="0"/>
    <x v="1"/>
    <x v="2"/>
    <s v="nájem"/>
    <n v="200000"/>
    <x v="10"/>
    <x v="1"/>
    <x v="59"/>
    <x v="3"/>
    <x v="1"/>
    <x v="0"/>
    <x v="0"/>
    <x v="0"/>
    <x v="0"/>
    <s v="ne"/>
    <x v="0"/>
    <x v="25"/>
    <x v="0"/>
  </r>
  <r>
    <x v="0"/>
    <x v="16"/>
    <x v="2"/>
    <x v="2"/>
    <x v="2"/>
    <n v="35000"/>
    <n v="32000"/>
    <n v="3000"/>
    <x v="1"/>
    <x v="6"/>
    <s v="nájem"/>
    <n v="0"/>
    <x v="2"/>
    <x v="0"/>
    <x v="60"/>
    <x v="7"/>
    <x v="1"/>
    <x v="0"/>
    <x v="0"/>
    <x v="0"/>
    <x v="0"/>
    <s v="ne"/>
    <x v="36"/>
    <x v="0"/>
    <x v="0"/>
  </r>
  <r>
    <x v="0"/>
    <x v="17"/>
    <x v="1"/>
    <x v="1"/>
    <x v="1"/>
    <n v="25000"/>
    <n v="25000"/>
    <n v="0"/>
    <x v="3"/>
    <x v="0"/>
    <s v="byt"/>
    <n v="150000"/>
    <x v="3"/>
    <x v="0"/>
    <x v="61"/>
    <x v="1"/>
    <x v="5"/>
    <x v="0"/>
    <x v="0"/>
    <x v="20"/>
    <x v="0"/>
    <s v="ne"/>
    <x v="37"/>
    <x v="26"/>
    <x v="0"/>
  </r>
  <r>
    <x v="0"/>
    <x v="4"/>
    <x v="1"/>
    <x v="1"/>
    <x v="1"/>
    <n v="17000"/>
    <n v="17000"/>
    <n v="0"/>
    <x v="1"/>
    <x v="1"/>
    <s v="nájem"/>
    <n v="0"/>
    <x v="3"/>
    <x v="1"/>
    <x v="62"/>
    <x v="1"/>
    <x v="1"/>
    <x v="0"/>
    <x v="0"/>
    <x v="0"/>
    <x v="11"/>
    <s v="ne"/>
    <x v="0"/>
    <x v="0"/>
    <x v="0"/>
  </r>
  <r>
    <x v="0"/>
    <x v="17"/>
    <x v="0"/>
    <x v="1"/>
    <x v="2"/>
    <n v="60000"/>
    <n v="40000"/>
    <n v="20000"/>
    <x v="1"/>
    <x v="4"/>
    <s v="dům"/>
    <n v="265000"/>
    <x v="1"/>
    <x v="1"/>
    <x v="63"/>
    <x v="17"/>
    <x v="1"/>
    <x v="0"/>
    <x v="0"/>
    <x v="21"/>
    <x v="0"/>
    <s v="ne"/>
    <x v="38"/>
    <x v="27"/>
    <x v="0"/>
  </r>
  <r>
    <x v="1"/>
    <x v="4"/>
    <x v="0"/>
    <x v="1"/>
    <x v="2"/>
    <n v="15000"/>
    <n v="15000"/>
    <n v="0"/>
    <x v="1"/>
    <x v="0"/>
    <s v="dům"/>
    <n v="265000"/>
    <x v="3"/>
    <x v="0"/>
    <x v="60"/>
    <x v="1"/>
    <x v="1"/>
    <x v="0"/>
    <x v="0"/>
    <x v="21"/>
    <x v="0"/>
    <s v="ne"/>
    <x v="0"/>
    <x v="0"/>
    <x v="0"/>
  </r>
  <r>
    <x v="1"/>
    <x v="1"/>
    <x v="1"/>
    <x v="0"/>
    <x v="2"/>
    <n v="15000"/>
    <n v="15000"/>
    <n v="0"/>
    <x v="1"/>
    <x v="1"/>
    <s v="nájem"/>
    <n v="0"/>
    <x v="3"/>
    <x v="0"/>
    <x v="64"/>
    <x v="9"/>
    <x v="1"/>
    <x v="0"/>
    <x v="0"/>
    <x v="0"/>
    <x v="0"/>
    <s v="ne"/>
    <x v="0"/>
    <x v="28"/>
    <x v="0"/>
  </r>
  <r>
    <x v="0"/>
    <x v="33"/>
    <x v="0"/>
    <x v="2"/>
    <x v="0"/>
    <n v="30000"/>
    <n v="30000"/>
    <n v="0"/>
    <x v="1"/>
    <x v="1"/>
    <s v="nájem"/>
    <n v="25000"/>
    <x v="1"/>
    <x v="0"/>
    <x v="65"/>
    <x v="1"/>
    <x v="1"/>
    <x v="0"/>
    <x v="0"/>
    <x v="0"/>
    <x v="9"/>
    <s v="ne"/>
    <x v="0"/>
    <x v="0"/>
    <x v="0"/>
  </r>
  <r>
    <x v="1"/>
    <x v="16"/>
    <x v="0"/>
    <x v="2"/>
    <x v="0"/>
    <n v="14000"/>
    <n v="14000"/>
    <n v="0"/>
    <x v="1"/>
    <x v="1"/>
    <s v="nájem"/>
    <n v="25000"/>
    <x v="1"/>
    <x v="0"/>
    <x v="66"/>
    <x v="1"/>
    <x v="1"/>
    <x v="0"/>
    <x v="0"/>
    <x v="0"/>
    <x v="9"/>
    <s v="ne"/>
    <x v="0"/>
    <x v="0"/>
    <x v="0"/>
  </r>
  <r>
    <x v="0"/>
    <x v="8"/>
    <x v="1"/>
    <x v="1"/>
    <x v="1"/>
    <n v="10000"/>
    <n v="10000"/>
    <n v="0"/>
    <x v="2"/>
    <x v="1"/>
    <s v="byt"/>
    <n v="100000"/>
    <x v="3"/>
    <x v="0"/>
    <x v="0"/>
    <x v="6"/>
    <x v="6"/>
    <x v="0"/>
    <x v="0"/>
    <x v="0"/>
    <x v="12"/>
    <s v="ne"/>
    <x v="0"/>
    <x v="0"/>
    <x v="0"/>
  </r>
  <r>
    <x v="0"/>
    <x v="11"/>
    <x v="2"/>
    <x v="0"/>
    <x v="2"/>
    <n v="16000"/>
    <n v="16000"/>
    <n v="0"/>
    <x v="0"/>
    <x v="1"/>
    <s v="byt"/>
    <n v="0"/>
    <x v="1"/>
    <x v="1"/>
    <x v="0"/>
    <x v="1"/>
    <x v="1"/>
    <x v="0"/>
    <x v="0"/>
    <x v="0"/>
    <x v="13"/>
    <s v="ne"/>
    <x v="0"/>
    <x v="0"/>
    <x v="0"/>
  </r>
  <r>
    <x v="0"/>
    <x v="34"/>
    <x v="0"/>
    <x v="1"/>
    <x v="2"/>
    <n v="33000"/>
    <n v="13400"/>
    <n v="19600"/>
    <x v="1"/>
    <x v="0"/>
    <s v="nájem"/>
    <n v="950000"/>
    <x v="8"/>
    <x v="0"/>
    <x v="34"/>
    <x v="4"/>
    <x v="1"/>
    <x v="0"/>
    <x v="12"/>
    <x v="22"/>
    <x v="0"/>
    <s v="ne"/>
    <x v="39"/>
    <x v="29"/>
    <x v="0"/>
  </r>
  <r>
    <x v="1"/>
    <x v="7"/>
    <x v="0"/>
    <x v="1"/>
    <x v="2"/>
    <n v="7600"/>
    <n v="7600"/>
    <n v="0"/>
    <x v="3"/>
    <x v="5"/>
    <s v="nájem"/>
    <n v="950000"/>
    <x v="1"/>
    <x v="0"/>
    <x v="67"/>
    <x v="1"/>
    <x v="1"/>
    <x v="0"/>
    <x v="0"/>
    <x v="22"/>
    <x v="0"/>
    <s v="ne"/>
    <x v="0"/>
    <x v="0"/>
    <x v="0"/>
  </r>
  <r>
    <x v="0"/>
    <x v="14"/>
    <x v="1"/>
    <x v="0"/>
    <x v="1"/>
    <n v="20000"/>
    <n v="20000"/>
    <n v="0"/>
    <x v="0"/>
    <x v="1"/>
    <s v="byt"/>
    <n v="0"/>
    <x v="3"/>
    <x v="0"/>
    <x v="0"/>
    <x v="1"/>
    <x v="1"/>
    <x v="0"/>
    <x v="0"/>
    <x v="0"/>
    <x v="5"/>
    <s v="ne"/>
    <x v="0"/>
    <x v="0"/>
    <x v="0"/>
  </r>
  <r>
    <x v="0"/>
    <x v="1"/>
    <x v="1"/>
    <x v="2"/>
    <x v="1"/>
    <n v="25000"/>
    <n v="11000"/>
    <n v="14000"/>
    <x v="1"/>
    <x v="0"/>
    <s v="nájem"/>
    <n v="60000"/>
    <x v="1"/>
    <x v="0"/>
    <x v="33"/>
    <x v="1"/>
    <x v="1"/>
    <x v="0"/>
    <x v="0"/>
    <x v="0"/>
    <x v="0"/>
    <s v="ne"/>
    <x v="0"/>
    <x v="0"/>
    <x v="0"/>
  </r>
  <r>
    <x v="1"/>
    <x v="1"/>
    <x v="1"/>
    <x v="2"/>
    <x v="1"/>
    <n v="16000"/>
    <n v="11000"/>
    <n v="5000"/>
    <x v="1"/>
    <x v="0"/>
    <s v="nájem"/>
    <n v="60000"/>
    <x v="2"/>
    <x v="0"/>
    <x v="0"/>
    <x v="1"/>
    <x v="1"/>
    <x v="0"/>
    <x v="0"/>
    <x v="0"/>
    <x v="0"/>
    <s v="ne"/>
    <x v="0"/>
    <x v="0"/>
    <x v="0"/>
  </r>
  <r>
    <x v="0"/>
    <x v="1"/>
    <x v="1"/>
    <x v="2"/>
    <x v="1"/>
    <n v="50000"/>
    <n v="50000"/>
    <n v="0"/>
    <x v="1"/>
    <x v="6"/>
    <s v="nájem"/>
    <n v="30000"/>
    <x v="1"/>
    <x v="1"/>
    <x v="55"/>
    <x v="7"/>
    <x v="1"/>
    <x v="0"/>
    <x v="0"/>
    <x v="0"/>
    <x v="0"/>
    <s v="ne"/>
    <x v="4"/>
    <x v="0"/>
    <x v="0"/>
  </r>
  <r>
    <x v="1"/>
    <x v="6"/>
    <x v="1"/>
    <x v="2"/>
    <x v="1"/>
    <n v="36000"/>
    <n v="25550"/>
    <n v="10450"/>
    <x v="3"/>
    <x v="0"/>
    <s v="dům"/>
    <n v="600000"/>
    <x v="3"/>
    <x v="0"/>
    <x v="68"/>
    <x v="4"/>
    <x v="1"/>
    <x v="6"/>
    <x v="0"/>
    <x v="23"/>
    <x v="0"/>
    <s v="ne"/>
    <x v="40"/>
    <x v="0"/>
    <x v="0"/>
  </r>
  <r>
    <x v="0"/>
    <x v="11"/>
    <x v="0"/>
    <x v="1"/>
    <x v="0"/>
    <n v="63000"/>
    <n v="52400"/>
    <n v="10600"/>
    <x v="1"/>
    <x v="6"/>
    <s v="dům"/>
    <n v="0"/>
    <x v="8"/>
    <x v="0"/>
    <x v="54"/>
    <x v="1"/>
    <x v="1"/>
    <x v="0"/>
    <x v="0"/>
    <x v="24"/>
    <x v="0"/>
    <s v="ne"/>
    <x v="41"/>
    <x v="0"/>
    <x v="0"/>
  </r>
  <r>
    <x v="1"/>
    <x v="28"/>
    <x v="0"/>
    <x v="1"/>
    <x v="0"/>
    <n v="15600"/>
    <n v="15600"/>
    <n v="0"/>
    <x v="3"/>
    <x v="1"/>
    <s v="dům"/>
    <n v="0"/>
    <x v="2"/>
    <x v="0"/>
    <x v="0"/>
    <x v="1"/>
    <x v="1"/>
    <x v="0"/>
    <x v="0"/>
    <x v="24"/>
    <x v="0"/>
    <s v="ne"/>
    <x v="0"/>
    <x v="0"/>
    <x v="0"/>
  </r>
  <r>
    <x v="0"/>
    <x v="15"/>
    <x v="0"/>
    <x v="2"/>
    <x v="1"/>
    <n v="100000"/>
    <n v="38000"/>
    <n v="62000"/>
    <x v="1"/>
    <x v="6"/>
    <s v="byt"/>
    <n v="0"/>
    <x v="3"/>
    <x v="0"/>
    <x v="0"/>
    <x v="1"/>
    <x v="1"/>
    <x v="0"/>
    <x v="0"/>
    <x v="25"/>
    <x v="0"/>
    <s v="ne"/>
    <x v="42"/>
    <x v="0"/>
    <x v="0"/>
  </r>
  <r>
    <x v="1"/>
    <x v="23"/>
    <x v="0"/>
    <x v="2"/>
    <x v="1"/>
    <n v="40000"/>
    <n v="38000"/>
    <n v="2000"/>
    <x v="3"/>
    <x v="4"/>
    <s v="byt"/>
    <n v="0"/>
    <x v="3"/>
    <x v="0"/>
    <x v="69"/>
    <x v="1"/>
    <x v="1"/>
    <x v="0"/>
    <x v="0"/>
    <x v="25"/>
    <x v="0"/>
    <s v="ne"/>
    <x v="0"/>
    <x v="0"/>
    <x v="0"/>
  </r>
  <r>
    <x v="0"/>
    <x v="17"/>
    <x v="1"/>
    <x v="0"/>
    <x v="1"/>
    <n v="25000"/>
    <n v="17300"/>
    <n v="7700"/>
    <x v="1"/>
    <x v="4"/>
    <s v="byt"/>
    <n v="150000"/>
    <x v="3"/>
    <x v="0"/>
    <x v="55"/>
    <x v="1"/>
    <x v="1"/>
    <x v="0"/>
    <x v="0"/>
    <x v="26"/>
    <x v="12"/>
    <s v="ne"/>
    <x v="43"/>
    <x v="0"/>
    <x v="0"/>
  </r>
  <r>
    <x v="0"/>
    <x v="7"/>
    <x v="0"/>
    <x v="1"/>
    <x v="2"/>
    <n v="20000"/>
    <n v="11000"/>
    <n v="9000"/>
    <x v="0"/>
    <x v="1"/>
    <s v="byt"/>
    <n v="10000"/>
    <x v="10"/>
    <x v="0"/>
    <x v="36"/>
    <x v="1"/>
    <x v="1"/>
    <x v="0"/>
    <x v="0"/>
    <x v="27"/>
    <x v="0"/>
    <s v="ne"/>
    <x v="44"/>
    <x v="0"/>
    <x v="0"/>
  </r>
  <r>
    <x v="1"/>
    <x v="13"/>
    <x v="0"/>
    <x v="1"/>
    <x v="2"/>
    <n v="11600"/>
    <n v="11000"/>
    <n v="600"/>
    <x v="3"/>
    <x v="5"/>
    <s v="byt"/>
    <n v="10000"/>
    <x v="3"/>
    <x v="0"/>
    <x v="45"/>
    <x v="1"/>
    <x v="1"/>
    <x v="0"/>
    <x v="0"/>
    <x v="27"/>
    <x v="0"/>
    <s v="ne"/>
    <x v="0"/>
    <x v="0"/>
    <x v="0"/>
  </r>
  <r>
    <x v="0"/>
    <x v="21"/>
    <x v="0"/>
    <x v="2"/>
    <x v="3"/>
    <n v="50000"/>
    <n v="36000"/>
    <n v="14000"/>
    <x v="1"/>
    <x v="6"/>
    <s v="dům"/>
    <n v="0"/>
    <x v="3"/>
    <x v="0"/>
    <x v="70"/>
    <x v="1"/>
    <x v="1"/>
    <x v="0"/>
    <x v="0"/>
    <x v="28"/>
    <x v="0"/>
    <n v="250000"/>
    <x v="0"/>
    <x v="0"/>
    <x v="0"/>
  </r>
  <r>
    <x v="1"/>
    <x v="20"/>
    <x v="0"/>
    <x v="2"/>
    <x v="3"/>
    <n v="0"/>
    <n v="0"/>
    <n v="0"/>
    <x v="1"/>
    <x v="3"/>
    <s v="dům"/>
    <n v="0"/>
    <x v="1"/>
    <x v="0"/>
    <x v="0"/>
    <x v="1"/>
    <x v="1"/>
    <x v="0"/>
    <x v="0"/>
    <x v="28"/>
    <x v="0"/>
    <s v="ne"/>
    <x v="0"/>
    <x v="0"/>
    <x v="0"/>
  </r>
  <r>
    <x v="0"/>
    <x v="4"/>
    <x v="1"/>
    <x v="1"/>
    <x v="1"/>
    <n v="15000"/>
    <n v="16000"/>
    <n v="-1000"/>
    <x v="1"/>
    <x v="1"/>
    <s v="u rodičů"/>
    <n v="20000"/>
    <x v="3"/>
    <x v="0"/>
    <x v="71"/>
    <x v="7"/>
    <x v="1"/>
    <x v="0"/>
    <x v="0"/>
    <x v="0"/>
    <x v="0"/>
    <s v="ne"/>
    <x v="0"/>
    <x v="0"/>
    <x v="0"/>
  </r>
  <r>
    <x v="0"/>
    <x v="7"/>
    <x v="0"/>
    <x v="1"/>
    <x v="2"/>
    <n v="18000"/>
    <n v="18000"/>
    <n v="0"/>
    <x v="1"/>
    <x v="2"/>
    <s v="dům"/>
    <n v="200000"/>
    <x v="3"/>
    <x v="0"/>
    <x v="30"/>
    <x v="7"/>
    <x v="1"/>
    <x v="0"/>
    <x v="0"/>
    <x v="21"/>
    <x v="0"/>
    <s v="ne"/>
    <x v="0"/>
    <x v="1"/>
    <x v="0"/>
  </r>
  <r>
    <x v="1"/>
    <x v="6"/>
    <x v="0"/>
    <x v="1"/>
    <x v="2"/>
    <n v="7600"/>
    <n v="7600"/>
    <n v="0"/>
    <x v="1"/>
    <x v="5"/>
    <s v="dům"/>
    <n v="200000"/>
    <x v="1"/>
    <x v="0"/>
    <x v="72"/>
    <x v="1"/>
    <x v="1"/>
    <x v="0"/>
    <x v="0"/>
    <x v="21"/>
    <x v="0"/>
    <s v="ne"/>
    <x v="0"/>
    <x v="0"/>
    <x v="0"/>
  </r>
  <r>
    <x v="1"/>
    <x v="14"/>
    <x v="1"/>
    <x v="0"/>
    <x v="1"/>
    <n v="34000"/>
    <n v="19000"/>
    <n v="15000"/>
    <x v="3"/>
    <x v="1"/>
    <s v="byt"/>
    <n v="200000"/>
    <x v="3"/>
    <x v="0"/>
    <x v="38"/>
    <x v="1"/>
    <x v="1"/>
    <x v="7"/>
    <x v="0"/>
    <x v="0"/>
    <x v="0"/>
    <s v="ne"/>
    <x v="39"/>
    <x v="30"/>
    <x v="0"/>
  </r>
  <r>
    <x v="1"/>
    <x v="35"/>
    <x v="1"/>
    <x v="1"/>
    <x v="1"/>
    <n v="15000"/>
    <n v="6700"/>
    <n v="8300"/>
    <x v="2"/>
    <x v="2"/>
    <s v="u rodičů"/>
    <n v="30000"/>
    <x v="1"/>
    <x v="0"/>
    <x v="73"/>
    <x v="3"/>
    <x v="1"/>
    <x v="0"/>
    <x v="0"/>
    <x v="0"/>
    <x v="0"/>
    <s v="ne"/>
    <x v="0"/>
    <x v="0"/>
    <x v="0"/>
  </r>
  <r>
    <x v="0"/>
    <x v="28"/>
    <x v="1"/>
    <x v="1"/>
    <x v="2"/>
    <n v="40000"/>
    <n v="33280"/>
    <n v="6720"/>
    <x v="2"/>
    <x v="6"/>
    <s v="byt"/>
    <n v="0"/>
    <x v="1"/>
    <x v="0"/>
    <x v="74"/>
    <x v="18"/>
    <x v="1"/>
    <x v="0"/>
    <x v="0"/>
    <x v="0"/>
    <x v="0"/>
    <s v="ne"/>
    <x v="45"/>
    <x v="0"/>
    <x v="0"/>
  </r>
  <r>
    <x v="1"/>
    <x v="6"/>
    <x v="1"/>
    <x v="1"/>
    <x v="2"/>
    <n v="10200"/>
    <n v="10200"/>
    <n v="0"/>
    <x v="1"/>
    <x v="1"/>
    <s v="byt"/>
    <n v="0"/>
    <x v="1"/>
    <x v="0"/>
    <x v="75"/>
    <x v="1"/>
    <x v="1"/>
    <x v="0"/>
    <x v="0"/>
    <x v="0"/>
    <x v="0"/>
    <s v="ne"/>
    <x v="0"/>
    <x v="0"/>
    <x v="0"/>
  </r>
  <r>
    <x v="1"/>
    <x v="19"/>
    <x v="2"/>
    <x v="0"/>
    <x v="2"/>
    <n v="18000"/>
    <n v="14000"/>
    <n v="4000"/>
    <x v="1"/>
    <x v="2"/>
    <s v="byt"/>
    <n v="120000"/>
    <x v="3"/>
    <x v="0"/>
    <x v="76"/>
    <x v="4"/>
    <x v="1"/>
    <x v="0"/>
    <x v="0"/>
    <x v="0"/>
    <x v="0"/>
    <s v="ne"/>
    <x v="4"/>
    <x v="0"/>
    <x v="0"/>
  </r>
  <r>
    <x v="1"/>
    <x v="23"/>
    <x v="2"/>
    <x v="1"/>
    <x v="2"/>
    <n v="25000"/>
    <n v="25000"/>
    <n v="0"/>
    <x v="3"/>
    <x v="2"/>
    <s v="dům"/>
    <n v="20000"/>
    <x v="1"/>
    <x v="0"/>
    <x v="77"/>
    <x v="10"/>
    <x v="1"/>
    <x v="0"/>
    <x v="0"/>
    <x v="0"/>
    <x v="0"/>
    <s v="ne"/>
    <x v="46"/>
    <x v="0"/>
    <x v="0"/>
  </r>
  <r>
    <x v="1"/>
    <x v="23"/>
    <x v="0"/>
    <x v="2"/>
    <x v="0"/>
    <n v="20000"/>
    <n v="17500"/>
    <n v="2500"/>
    <x v="3"/>
    <x v="0"/>
    <s v="dům"/>
    <n v="34000"/>
    <x v="1"/>
    <x v="0"/>
    <x v="78"/>
    <x v="1"/>
    <x v="1"/>
    <x v="0"/>
    <x v="4"/>
    <x v="0"/>
    <x v="0"/>
    <s v="ne"/>
    <x v="47"/>
    <x v="31"/>
    <x v="0"/>
  </r>
  <r>
    <x v="0"/>
    <x v="23"/>
    <x v="0"/>
    <x v="2"/>
    <x v="0"/>
    <n v="23000"/>
    <n v="17500"/>
    <n v="5500"/>
    <x v="1"/>
    <x v="2"/>
    <s v="dům"/>
    <n v="34000"/>
    <x v="1"/>
    <x v="0"/>
    <x v="79"/>
    <x v="1"/>
    <x v="1"/>
    <x v="0"/>
    <x v="4"/>
    <x v="0"/>
    <x v="0"/>
    <s v="ne"/>
    <x v="0"/>
    <x v="0"/>
    <x v="0"/>
  </r>
  <r>
    <x v="1"/>
    <x v="28"/>
    <x v="0"/>
    <x v="1"/>
    <x v="2"/>
    <n v="19000"/>
    <n v="19000"/>
    <n v="0"/>
    <x v="1"/>
    <x v="2"/>
    <s v="dům"/>
    <n v="0"/>
    <x v="3"/>
    <x v="0"/>
    <x v="80"/>
    <x v="1"/>
    <x v="1"/>
    <x v="0"/>
    <x v="0"/>
    <x v="29"/>
    <x v="14"/>
    <s v="ne"/>
    <x v="0"/>
    <x v="0"/>
    <x v="0"/>
  </r>
  <r>
    <x v="0"/>
    <x v="11"/>
    <x v="0"/>
    <x v="1"/>
    <x v="2"/>
    <n v="30600"/>
    <n v="30600"/>
    <n v="0"/>
    <x v="1"/>
    <x v="2"/>
    <s v="dům"/>
    <n v="0"/>
    <x v="3"/>
    <x v="0"/>
    <x v="0"/>
    <x v="1"/>
    <x v="1"/>
    <x v="0"/>
    <x v="0"/>
    <x v="29"/>
    <x v="14"/>
    <s v="ne"/>
    <x v="0"/>
    <x v="0"/>
    <x v="0"/>
  </r>
  <r>
    <x v="1"/>
    <x v="5"/>
    <x v="0"/>
    <x v="1"/>
    <x v="2"/>
    <n v="20400"/>
    <n v="15900"/>
    <n v="4500"/>
    <x v="1"/>
    <x v="5"/>
    <s v="dům"/>
    <n v="50000"/>
    <x v="5"/>
    <x v="0"/>
    <x v="81"/>
    <x v="1"/>
    <x v="1"/>
    <x v="0"/>
    <x v="0"/>
    <x v="30"/>
    <x v="0"/>
    <s v="ne"/>
    <x v="0"/>
    <x v="32"/>
    <x v="0"/>
  </r>
  <r>
    <x v="0"/>
    <x v="10"/>
    <x v="0"/>
    <x v="1"/>
    <x v="2"/>
    <n v="23000"/>
    <n v="15900"/>
    <n v="7100"/>
    <x v="1"/>
    <x v="1"/>
    <s v="dům"/>
    <n v="50000"/>
    <x v="1"/>
    <x v="0"/>
    <x v="82"/>
    <x v="1"/>
    <x v="1"/>
    <x v="0"/>
    <x v="0"/>
    <x v="30"/>
    <x v="0"/>
    <s v="ne"/>
    <x v="0"/>
    <x v="33"/>
    <x v="0"/>
  </r>
  <r>
    <x v="1"/>
    <x v="11"/>
    <x v="0"/>
    <x v="2"/>
    <x v="3"/>
    <n v="7600"/>
    <n v="7600"/>
    <n v="0"/>
    <x v="3"/>
    <x v="5"/>
    <s v="dům"/>
    <n v="200000"/>
    <x v="3"/>
    <x v="0"/>
    <x v="83"/>
    <x v="1"/>
    <x v="1"/>
    <x v="0"/>
    <x v="0"/>
    <x v="31"/>
    <x v="0"/>
    <s v="ne"/>
    <x v="48"/>
    <x v="34"/>
    <x v="0"/>
  </r>
  <r>
    <x v="0"/>
    <x v="15"/>
    <x v="0"/>
    <x v="2"/>
    <x v="3"/>
    <n v="34500"/>
    <n v="32400"/>
    <n v="2100"/>
    <x v="3"/>
    <x v="6"/>
    <s v="dům"/>
    <n v="200000"/>
    <x v="3"/>
    <x v="0"/>
    <x v="0"/>
    <x v="1"/>
    <x v="1"/>
    <x v="0"/>
    <x v="0"/>
    <x v="31"/>
    <x v="0"/>
    <s v="ne"/>
    <x v="0"/>
    <x v="0"/>
    <x v="0"/>
  </r>
  <r>
    <x v="0"/>
    <x v="14"/>
    <x v="1"/>
    <x v="1"/>
    <x v="0"/>
    <n v="29000"/>
    <n v="18000"/>
    <n v="11000"/>
    <x v="4"/>
    <x v="4"/>
    <s v="dům"/>
    <n v="40000"/>
    <x v="5"/>
    <x v="0"/>
    <x v="36"/>
    <x v="1"/>
    <x v="1"/>
    <x v="0"/>
    <x v="0"/>
    <x v="0"/>
    <x v="15"/>
    <s v="ne"/>
    <x v="0"/>
    <x v="10"/>
    <x v="0"/>
  </r>
  <r>
    <x v="1"/>
    <x v="11"/>
    <x v="1"/>
    <x v="1"/>
    <x v="0"/>
    <n v="14000"/>
    <n v="14000"/>
    <n v="0"/>
    <x v="1"/>
    <x v="0"/>
    <s v="dům"/>
    <n v="40000"/>
    <x v="5"/>
    <x v="0"/>
    <x v="36"/>
    <x v="1"/>
    <x v="1"/>
    <x v="0"/>
    <x v="0"/>
    <x v="0"/>
    <x v="16"/>
    <s v="ne"/>
    <x v="0"/>
    <x v="0"/>
    <x v="0"/>
  </r>
  <r>
    <x v="1"/>
    <x v="11"/>
    <x v="0"/>
    <x v="1"/>
    <x v="0"/>
    <n v="50000"/>
    <n v="27500"/>
    <n v="22500"/>
    <x v="1"/>
    <x v="6"/>
    <s v="dům"/>
    <n v="300000"/>
    <x v="2"/>
    <x v="0"/>
    <x v="21"/>
    <x v="13"/>
    <x v="1"/>
    <x v="0"/>
    <x v="4"/>
    <x v="2"/>
    <x v="0"/>
    <n v="350000"/>
    <x v="49"/>
    <x v="11"/>
    <x v="0"/>
  </r>
  <r>
    <x v="0"/>
    <x v="18"/>
    <x v="0"/>
    <x v="2"/>
    <x v="0"/>
    <n v="40000"/>
    <n v="27500"/>
    <n v="12500"/>
    <x v="3"/>
    <x v="2"/>
    <s v="dům"/>
    <n v="0"/>
    <x v="2"/>
    <x v="0"/>
    <x v="84"/>
    <x v="1"/>
    <x v="1"/>
    <x v="0"/>
    <x v="4"/>
    <x v="0"/>
    <x v="0"/>
    <s v="ne"/>
    <x v="0"/>
    <x v="0"/>
    <x v="0"/>
  </r>
  <r>
    <x v="1"/>
    <x v="28"/>
    <x v="0"/>
    <x v="0"/>
    <x v="0"/>
    <n v="19000"/>
    <n v="19000"/>
    <n v="0"/>
    <x v="1"/>
    <x v="2"/>
    <s v="byt"/>
    <n v="0"/>
    <x v="3"/>
    <x v="0"/>
    <x v="0"/>
    <x v="1"/>
    <x v="1"/>
    <x v="0"/>
    <x v="1"/>
    <x v="0"/>
    <x v="9"/>
    <s v="ne"/>
    <x v="22"/>
    <x v="33"/>
    <x v="0"/>
  </r>
  <r>
    <x v="0"/>
    <x v="11"/>
    <x v="0"/>
    <x v="0"/>
    <x v="0"/>
    <n v="27000"/>
    <n v="27000"/>
    <n v="0"/>
    <x v="1"/>
    <x v="2"/>
    <s v="byt"/>
    <n v="0"/>
    <x v="3"/>
    <x v="0"/>
    <x v="0"/>
    <x v="1"/>
    <x v="1"/>
    <x v="0"/>
    <x v="1"/>
    <x v="0"/>
    <x v="9"/>
    <s v="ne"/>
    <x v="0"/>
    <x v="0"/>
    <x v="0"/>
  </r>
  <r>
    <x v="1"/>
    <x v="24"/>
    <x v="0"/>
    <x v="0"/>
    <x v="0"/>
    <n v="13000"/>
    <n v="11450"/>
    <n v="1550"/>
    <x v="0"/>
    <x v="1"/>
    <s v="dům"/>
    <n v="10000"/>
    <x v="3"/>
    <x v="0"/>
    <x v="26"/>
    <x v="7"/>
    <x v="1"/>
    <x v="0"/>
    <x v="0"/>
    <x v="30"/>
    <x v="0"/>
    <s v="ne"/>
    <x v="50"/>
    <x v="35"/>
    <x v="0"/>
  </r>
  <r>
    <x v="0"/>
    <x v="24"/>
    <x v="0"/>
    <x v="0"/>
    <x v="0"/>
    <n v="21000"/>
    <n v="11450"/>
    <n v="9550"/>
    <x v="0"/>
    <x v="1"/>
    <s v="dům"/>
    <n v="10000"/>
    <x v="3"/>
    <x v="0"/>
    <x v="85"/>
    <x v="3"/>
    <x v="1"/>
    <x v="0"/>
    <x v="0"/>
    <x v="30"/>
    <x v="0"/>
    <s v="ne"/>
    <x v="51"/>
    <x v="36"/>
    <x v="0"/>
  </r>
  <r>
    <x v="1"/>
    <x v="18"/>
    <x v="0"/>
    <x v="1"/>
    <x v="0"/>
    <n v="21400"/>
    <n v="21400"/>
    <n v="0"/>
    <x v="2"/>
    <x v="2"/>
    <s v="dům"/>
    <n v="2000000"/>
    <x v="3"/>
    <x v="0"/>
    <x v="86"/>
    <x v="1"/>
    <x v="1"/>
    <x v="8"/>
    <x v="1"/>
    <x v="0"/>
    <x v="0"/>
    <s v="ne"/>
    <x v="0"/>
    <x v="37"/>
    <x v="0"/>
  </r>
  <r>
    <x v="0"/>
    <x v="27"/>
    <x v="0"/>
    <x v="1"/>
    <x v="0"/>
    <n v="80000"/>
    <n v="34600"/>
    <n v="45400"/>
    <x v="3"/>
    <x v="2"/>
    <s v="dům"/>
    <n v="2000000"/>
    <x v="3"/>
    <x v="0"/>
    <x v="87"/>
    <x v="1"/>
    <x v="1"/>
    <x v="8"/>
    <x v="1"/>
    <x v="0"/>
    <x v="0"/>
    <s v="ne"/>
    <x v="52"/>
    <x v="38"/>
    <x v="0"/>
  </r>
  <r>
    <x v="1"/>
    <x v="7"/>
    <x v="0"/>
    <x v="1"/>
    <x v="0"/>
    <n v="10100"/>
    <n v="10100"/>
    <n v="0"/>
    <x v="1"/>
    <x v="5"/>
    <s v="dům"/>
    <n v="0"/>
    <x v="1"/>
    <x v="0"/>
    <x v="88"/>
    <x v="1"/>
    <x v="1"/>
    <x v="0"/>
    <x v="0"/>
    <x v="21"/>
    <x v="1"/>
    <s v="ne"/>
    <x v="31"/>
    <x v="39"/>
    <x v="0"/>
  </r>
  <r>
    <x v="0"/>
    <x v="23"/>
    <x v="0"/>
    <x v="1"/>
    <x v="0"/>
    <n v="22000"/>
    <n v="22000"/>
    <n v="0"/>
    <x v="1"/>
    <x v="0"/>
    <s v="dům"/>
    <n v="0"/>
    <x v="1"/>
    <x v="0"/>
    <x v="0"/>
    <x v="1"/>
    <x v="1"/>
    <x v="0"/>
    <x v="0"/>
    <x v="21"/>
    <x v="1"/>
    <s v="ne"/>
    <x v="0"/>
    <x v="0"/>
    <x v="0"/>
  </r>
  <r>
    <x v="1"/>
    <x v="25"/>
    <x v="2"/>
    <x v="1"/>
    <x v="2"/>
    <n v="30000"/>
    <n v="25000"/>
    <n v="5000"/>
    <x v="1"/>
    <x v="0"/>
    <s v="nájem"/>
    <n v="100000"/>
    <x v="2"/>
    <x v="0"/>
    <x v="41"/>
    <x v="1"/>
    <x v="1"/>
    <x v="0"/>
    <x v="0"/>
    <x v="0"/>
    <x v="0"/>
    <s v="ne"/>
    <x v="53"/>
    <x v="40"/>
    <x v="0"/>
  </r>
  <r>
    <x v="1"/>
    <x v="28"/>
    <x v="0"/>
    <x v="1"/>
    <x v="0"/>
    <n v="15000"/>
    <n v="15000"/>
    <n v="0"/>
    <x v="3"/>
    <x v="1"/>
    <s v="dům"/>
    <n v="60000"/>
    <x v="0"/>
    <x v="0"/>
    <x v="89"/>
    <x v="10"/>
    <x v="1"/>
    <x v="3"/>
    <x v="0"/>
    <x v="32"/>
    <x v="0"/>
    <s v="ne"/>
    <x v="54"/>
    <x v="14"/>
    <x v="0"/>
  </r>
  <r>
    <x v="0"/>
    <x v="11"/>
    <x v="0"/>
    <x v="1"/>
    <x v="0"/>
    <n v="36000"/>
    <n v="22000"/>
    <n v="14000"/>
    <x v="1"/>
    <x v="2"/>
    <s v="dům"/>
    <n v="60000"/>
    <x v="0"/>
    <x v="0"/>
    <x v="24"/>
    <x v="1"/>
    <x v="1"/>
    <x v="3"/>
    <x v="0"/>
    <x v="32"/>
    <x v="0"/>
    <s v="ne"/>
    <x v="44"/>
    <x v="0"/>
    <x v="0"/>
  </r>
  <r>
    <x v="0"/>
    <x v="8"/>
    <x v="1"/>
    <x v="1"/>
    <x v="1"/>
    <n v="23000"/>
    <n v="17000"/>
    <n v="6000"/>
    <x v="1"/>
    <x v="1"/>
    <s v="u rodičů"/>
    <n v="0"/>
    <x v="1"/>
    <x v="0"/>
    <x v="90"/>
    <x v="1"/>
    <x v="1"/>
    <x v="0"/>
    <x v="0"/>
    <x v="0"/>
    <x v="0"/>
    <s v="ne"/>
    <x v="0"/>
    <x v="0"/>
    <x v="0"/>
  </r>
  <r>
    <x v="1"/>
    <x v="2"/>
    <x v="2"/>
    <x v="1"/>
    <x v="2"/>
    <n v="16000"/>
    <n v="16000"/>
    <n v="0"/>
    <x v="0"/>
    <x v="1"/>
    <s v="dům"/>
    <n v="0"/>
    <x v="0"/>
    <x v="0"/>
    <x v="19"/>
    <x v="1"/>
    <x v="1"/>
    <x v="0"/>
    <x v="0"/>
    <x v="0"/>
    <x v="0"/>
    <s v="ne"/>
    <x v="0"/>
    <x v="0"/>
    <x v="0"/>
  </r>
  <r>
    <x v="1"/>
    <x v="8"/>
    <x v="0"/>
    <x v="1"/>
    <x v="2"/>
    <n v="10000"/>
    <n v="10000"/>
    <n v="0"/>
    <x v="3"/>
    <x v="2"/>
    <s v="byt"/>
    <n v="0"/>
    <x v="1"/>
    <x v="0"/>
    <x v="45"/>
    <x v="3"/>
    <x v="1"/>
    <x v="0"/>
    <x v="0"/>
    <x v="30"/>
    <x v="0"/>
    <s v="ne"/>
    <x v="55"/>
    <x v="41"/>
    <x v="0"/>
  </r>
  <r>
    <x v="0"/>
    <x v="34"/>
    <x v="0"/>
    <x v="1"/>
    <x v="2"/>
    <n v="20000"/>
    <n v="17700"/>
    <n v="2300"/>
    <x v="1"/>
    <x v="1"/>
    <s v="byt"/>
    <n v="0"/>
    <x v="1"/>
    <x v="0"/>
    <x v="91"/>
    <x v="1"/>
    <x v="1"/>
    <x v="0"/>
    <x v="0"/>
    <x v="30"/>
    <x v="0"/>
    <s v="ne"/>
    <x v="0"/>
    <x v="0"/>
    <x v="0"/>
  </r>
  <r>
    <x v="1"/>
    <x v="11"/>
    <x v="2"/>
    <x v="1"/>
    <x v="3"/>
    <n v="24000"/>
    <n v="14000"/>
    <n v="10000"/>
    <x v="1"/>
    <x v="4"/>
    <s v="byt"/>
    <n v="50000"/>
    <x v="2"/>
    <x v="1"/>
    <x v="92"/>
    <x v="1"/>
    <x v="1"/>
    <x v="0"/>
    <x v="0"/>
    <x v="0"/>
    <x v="17"/>
    <s v="ne"/>
    <x v="0"/>
    <x v="0"/>
    <x v="0"/>
  </r>
  <r>
    <x v="0"/>
    <x v="24"/>
    <x v="1"/>
    <x v="2"/>
    <x v="1"/>
    <n v="27000"/>
    <n v="20000"/>
    <n v="7000"/>
    <x v="1"/>
    <x v="2"/>
    <s v="byt"/>
    <n v="100000"/>
    <x v="2"/>
    <x v="0"/>
    <x v="93"/>
    <x v="3"/>
    <x v="1"/>
    <x v="0"/>
    <x v="0"/>
    <x v="0"/>
    <x v="0"/>
    <s v="ne"/>
    <x v="33"/>
    <x v="0"/>
    <x v="0"/>
  </r>
  <r>
    <x v="1"/>
    <x v="24"/>
    <x v="0"/>
    <x v="1"/>
    <x v="3"/>
    <n v="30000"/>
    <n v="22500"/>
    <n v="7500"/>
    <x v="1"/>
    <x v="6"/>
    <s v="dům"/>
    <n v="25000"/>
    <x v="2"/>
    <x v="0"/>
    <x v="94"/>
    <x v="7"/>
    <x v="1"/>
    <x v="9"/>
    <x v="1"/>
    <x v="33"/>
    <x v="12"/>
    <s v="ne"/>
    <x v="56"/>
    <x v="42"/>
    <x v="0"/>
  </r>
  <r>
    <x v="0"/>
    <x v="18"/>
    <x v="0"/>
    <x v="1"/>
    <x v="3"/>
    <n v="22500"/>
    <n v="22500"/>
    <n v="0"/>
    <x v="0"/>
    <x v="1"/>
    <s v="dům"/>
    <n v="25000"/>
    <x v="4"/>
    <x v="1"/>
    <x v="95"/>
    <x v="10"/>
    <x v="1"/>
    <x v="10"/>
    <x v="10"/>
    <x v="33"/>
    <x v="12"/>
    <s v="ne"/>
    <x v="57"/>
    <x v="43"/>
    <x v="0"/>
  </r>
  <r>
    <x v="1"/>
    <x v="28"/>
    <x v="0"/>
    <x v="1"/>
    <x v="0"/>
    <n v="35000"/>
    <n v="35000"/>
    <n v="0"/>
    <x v="3"/>
    <x v="6"/>
    <s v="dům"/>
    <n v="1000000"/>
    <x v="8"/>
    <x v="0"/>
    <x v="30"/>
    <x v="1"/>
    <x v="7"/>
    <x v="11"/>
    <x v="0"/>
    <x v="0"/>
    <x v="0"/>
    <s v="ne"/>
    <x v="58"/>
    <x v="44"/>
    <x v="0"/>
  </r>
  <r>
    <x v="0"/>
    <x v="27"/>
    <x v="0"/>
    <x v="1"/>
    <x v="0"/>
    <n v="120000"/>
    <n v="35000"/>
    <n v="85000"/>
    <x v="3"/>
    <x v="4"/>
    <s v="dům"/>
    <n v="1000000"/>
    <x v="8"/>
    <x v="0"/>
    <x v="30"/>
    <x v="1"/>
    <x v="1"/>
    <x v="11"/>
    <x v="0"/>
    <x v="0"/>
    <x v="0"/>
    <s v="ne"/>
    <x v="0"/>
    <x v="45"/>
    <x v="0"/>
  </r>
  <r>
    <x v="2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3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4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5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6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7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8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9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  <r>
    <x v="10"/>
    <x v="36"/>
    <x v="3"/>
    <x v="3"/>
    <x v="4"/>
    <m/>
    <m/>
    <m/>
    <x v="5"/>
    <x v="7"/>
    <m/>
    <m/>
    <x v="11"/>
    <x v="2"/>
    <x v="96"/>
    <x v="19"/>
    <x v="8"/>
    <x v="12"/>
    <x v="13"/>
    <x v="34"/>
    <x v="18"/>
    <m/>
    <x v="50"/>
    <x v="3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5">
  <r>
    <x v="0"/>
    <x v="0"/>
    <x v="0"/>
    <x v="0"/>
    <x v="0"/>
    <x v="0"/>
    <n v="18700"/>
    <x v="0"/>
    <x v="0"/>
    <x v="0"/>
    <s v="dům"/>
    <x v="0"/>
    <n v="1000"/>
    <x v="0"/>
    <x v="0"/>
    <n v="1380"/>
    <n v="550000"/>
    <s v="ne"/>
    <x v="0"/>
    <x v="0"/>
    <s v="ne"/>
    <s v="ne"/>
    <x v="0"/>
    <x v="0"/>
    <m/>
  </r>
  <r>
    <x v="0"/>
    <x v="1"/>
    <x v="1"/>
    <x v="0"/>
    <x v="1"/>
    <x v="1"/>
    <n v="7200"/>
    <x v="1"/>
    <x v="1"/>
    <x v="1"/>
    <s v="byt"/>
    <x v="1"/>
    <n v="300"/>
    <x v="0"/>
    <x v="0"/>
    <s v="ne"/>
    <s v="ne"/>
    <s v="ne"/>
    <x v="1"/>
    <x v="0"/>
    <s v="ne"/>
    <s v="ne"/>
    <x v="0"/>
    <x v="0"/>
    <m/>
  </r>
  <r>
    <x v="1"/>
    <x v="2"/>
    <x v="0"/>
    <x v="0"/>
    <x v="0"/>
    <x v="2"/>
    <n v="10000"/>
    <x v="2"/>
    <x v="1"/>
    <x v="2"/>
    <s v="byt"/>
    <x v="2"/>
    <n v="500"/>
    <x v="0"/>
    <x v="1"/>
    <n v="1300"/>
    <s v="ne"/>
    <s v="ne"/>
    <x v="2"/>
    <x v="0"/>
    <s v="ne"/>
    <s v="ne"/>
    <x v="0"/>
    <x v="0"/>
    <m/>
  </r>
  <r>
    <x v="0"/>
    <x v="3"/>
    <x v="0"/>
    <x v="1"/>
    <x v="2"/>
    <x v="3"/>
    <n v="15000"/>
    <x v="3"/>
    <x v="1"/>
    <x v="0"/>
    <s v="dům"/>
    <x v="3"/>
    <n v="500"/>
    <x v="0"/>
    <x v="0"/>
    <s v="ne"/>
    <s v="ne"/>
    <s v="ne"/>
    <x v="0"/>
    <x v="0"/>
    <s v="ne"/>
    <s v="ne"/>
    <x v="1"/>
    <x v="0"/>
    <m/>
  </r>
  <r>
    <x v="0"/>
    <x v="4"/>
    <x v="1"/>
    <x v="1"/>
    <x v="1"/>
    <x v="4"/>
    <n v="0"/>
    <x v="4"/>
    <x v="2"/>
    <x v="3"/>
    <s v="u rodičů"/>
    <x v="3"/>
    <n v="300"/>
    <x v="0"/>
    <x v="0"/>
    <s v="ne"/>
    <s v="ne"/>
    <s v="ne"/>
    <x v="0"/>
    <x v="0"/>
    <s v="ne"/>
    <s v="ne"/>
    <x v="0"/>
    <x v="0"/>
    <m/>
  </r>
  <r>
    <x v="0"/>
    <x v="5"/>
    <x v="1"/>
    <x v="0"/>
    <x v="1"/>
    <x v="5"/>
    <n v="24000"/>
    <x v="5"/>
    <x v="3"/>
    <x v="4"/>
    <s v="byt"/>
    <x v="2"/>
    <n v="1000"/>
    <x v="0"/>
    <x v="1"/>
    <s v="ne"/>
    <s v="ne"/>
    <s v="ne"/>
    <x v="0"/>
    <x v="0"/>
    <n v="150000"/>
    <s v="ne"/>
    <x v="0"/>
    <x v="0"/>
    <m/>
  </r>
  <r>
    <x v="0"/>
    <x v="6"/>
    <x v="0"/>
    <x v="1"/>
    <x v="2"/>
    <x v="6"/>
    <n v="28000"/>
    <x v="6"/>
    <x v="3"/>
    <x v="0"/>
    <s v="dům"/>
    <x v="4"/>
    <n v="1000"/>
    <x v="0"/>
    <x v="0"/>
    <s v="ne"/>
    <s v="ne"/>
    <s v="ne"/>
    <x v="0"/>
    <x v="1"/>
    <s v="ne"/>
    <s v="ne"/>
    <x v="2"/>
    <x v="1"/>
    <m/>
  </r>
  <r>
    <x v="1"/>
    <x v="7"/>
    <x v="0"/>
    <x v="1"/>
    <x v="2"/>
    <x v="6"/>
    <n v="28000"/>
    <x v="6"/>
    <x v="3"/>
    <x v="0"/>
    <s v="dům"/>
    <x v="4"/>
    <n v="300"/>
    <x v="0"/>
    <x v="0"/>
    <s v="ne"/>
    <s v="ne"/>
    <s v="ne"/>
    <x v="0"/>
    <x v="1"/>
    <s v="ne"/>
    <s v="ne"/>
    <x v="0"/>
    <x v="0"/>
    <m/>
  </r>
  <r>
    <x v="1"/>
    <x v="8"/>
    <x v="1"/>
    <x v="1"/>
    <x v="2"/>
    <x v="7"/>
    <n v="7600"/>
    <x v="4"/>
    <x v="1"/>
    <x v="5"/>
    <s v="dům"/>
    <x v="3"/>
    <n v="300"/>
    <x v="0"/>
    <x v="2"/>
    <s v="ne"/>
    <s v="ne"/>
    <s v="ne"/>
    <x v="0"/>
    <x v="0"/>
    <s v="ne"/>
    <s v="ne"/>
    <x v="0"/>
    <x v="0"/>
    <m/>
  </r>
  <r>
    <x v="0"/>
    <x v="4"/>
    <x v="1"/>
    <x v="0"/>
    <x v="1"/>
    <x v="8"/>
    <n v="9600"/>
    <x v="7"/>
    <x v="2"/>
    <x v="1"/>
    <s v="u rodičů"/>
    <x v="5"/>
    <n v="300"/>
    <x v="0"/>
    <x v="3"/>
    <n v="500"/>
    <s v="ne"/>
    <s v="ne"/>
    <x v="0"/>
    <x v="0"/>
    <s v="ne"/>
    <s v="ne"/>
    <x v="0"/>
    <x v="0"/>
    <m/>
  </r>
  <r>
    <x v="0"/>
    <x v="9"/>
    <x v="1"/>
    <x v="1"/>
    <x v="0"/>
    <x v="9"/>
    <n v="36000"/>
    <x v="8"/>
    <x v="4"/>
    <x v="1"/>
    <s v="dům"/>
    <x v="3"/>
    <n v="500"/>
    <x v="0"/>
    <x v="4"/>
    <s v="ne"/>
    <s v="ne"/>
    <s v="ne"/>
    <x v="0"/>
    <x v="0"/>
    <s v="ne"/>
    <s v="ne"/>
    <x v="3"/>
    <x v="1"/>
    <m/>
  </r>
  <r>
    <x v="0"/>
    <x v="10"/>
    <x v="0"/>
    <x v="1"/>
    <x v="2"/>
    <x v="9"/>
    <n v="32400"/>
    <x v="9"/>
    <x v="3"/>
    <x v="0"/>
    <s v="byt"/>
    <x v="6"/>
    <s v="ne"/>
    <x v="0"/>
    <x v="5"/>
    <s v="ne"/>
    <s v="ne"/>
    <s v="ne"/>
    <x v="0"/>
    <x v="0"/>
    <s v="ne"/>
    <s v="ne"/>
    <x v="0"/>
    <x v="0"/>
    <m/>
  </r>
  <r>
    <x v="1"/>
    <x v="4"/>
    <x v="0"/>
    <x v="1"/>
    <x v="2"/>
    <x v="7"/>
    <n v="7600"/>
    <x v="4"/>
    <x v="3"/>
    <x v="5"/>
    <s v="byt"/>
    <x v="6"/>
    <s v="ne"/>
    <x v="0"/>
    <x v="0"/>
    <s v="ne"/>
    <s v="ne"/>
    <s v="ne"/>
    <x v="0"/>
    <x v="0"/>
    <s v="ne"/>
    <s v="ne"/>
    <x v="0"/>
    <x v="0"/>
    <m/>
  </r>
  <r>
    <x v="0"/>
    <x v="4"/>
    <x v="1"/>
    <x v="0"/>
    <x v="1"/>
    <x v="10"/>
    <n v="10000"/>
    <x v="5"/>
    <x v="3"/>
    <x v="0"/>
    <s v="nájem"/>
    <x v="5"/>
    <n v="600"/>
    <x v="0"/>
    <x v="6"/>
    <n v="2000"/>
    <s v="ne"/>
    <s v="ne"/>
    <x v="3"/>
    <x v="2"/>
    <s v="ne"/>
    <s v="ne"/>
    <x v="4"/>
    <x v="0"/>
    <m/>
  </r>
  <r>
    <x v="1"/>
    <x v="8"/>
    <x v="1"/>
    <x v="1"/>
    <x v="1"/>
    <x v="11"/>
    <n v="15000"/>
    <x v="10"/>
    <x v="3"/>
    <x v="0"/>
    <s v="dům"/>
    <x v="7"/>
    <s v="ne"/>
    <x v="0"/>
    <x v="7"/>
    <n v="500"/>
    <s v="ne"/>
    <s v="ne"/>
    <x v="0"/>
    <x v="0"/>
    <s v="ne"/>
    <s v="ne"/>
    <x v="0"/>
    <x v="2"/>
    <m/>
  </r>
  <r>
    <x v="0"/>
    <x v="11"/>
    <x v="1"/>
    <x v="1"/>
    <x v="0"/>
    <x v="12"/>
    <n v="20000"/>
    <x v="2"/>
    <x v="1"/>
    <x v="6"/>
    <s v="dům"/>
    <x v="3"/>
    <n v="500"/>
    <x v="0"/>
    <x v="8"/>
    <s v="ne"/>
    <s v="ne"/>
    <s v="ne"/>
    <x v="0"/>
    <x v="3"/>
    <s v="ne"/>
    <s v="ne"/>
    <x v="0"/>
    <x v="0"/>
    <m/>
  </r>
  <r>
    <x v="1"/>
    <x v="11"/>
    <x v="2"/>
    <x v="1"/>
    <x v="0"/>
    <x v="13"/>
    <n v="20000"/>
    <x v="11"/>
    <x v="0"/>
    <x v="6"/>
    <s v="dům"/>
    <x v="3"/>
    <s v="ne"/>
    <x v="0"/>
    <x v="9"/>
    <s v="ne"/>
    <s v="ne"/>
    <s v="ne"/>
    <x v="0"/>
    <x v="3"/>
    <s v="ne"/>
    <s v="ne"/>
    <x v="5"/>
    <x v="0"/>
    <m/>
  </r>
  <r>
    <x v="0"/>
    <x v="12"/>
    <x v="1"/>
    <x v="2"/>
    <x v="1"/>
    <x v="10"/>
    <n v="19270"/>
    <x v="12"/>
    <x v="3"/>
    <x v="0"/>
    <s v="byt"/>
    <x v="3"/>
    <n v="300"/>
    <x v="0"/>
    <x v="10"/>
    <s v="ne"/>
    <s v="ne"/>
    <s v="ne"/>
    <x v="0"/>
    <x v="0"/>
    <s v="ne"/>
    <s v="ne"/>
    <x v="0"/>
    <x v="0"/>
    <m/>
  </r>
  <r>
    <x v="0"/>
    <x v="13"/>
    <x v="1"/>
    <x v="2"/>
    <x v="1"/>
    <x v="14"/>
    <n v="28000"/>
    <x v="13"/>
    <x v="1"/>
    <x v="6"/>
    <s v="nájem"/>
    <x v="3"/>
    <s v="ne"/>
    <x v="0"/>
    <x v="0"/>
    <s v="ne"/>
    <s v="ne"/>
    <s v="ne"/>
    <x v="0"/>
    <x v="0"/>
    <s v="ne"/>
    <s v="ne"/>
    <x v="0"/>
    <x v="0"/>
    <m/>
  </r>
  <r>
    <x v="1"/>
    <x v="6"/>
    <x v="0"/>
    <x v="0"/>
    <x v="2"/>
    <x v="7"/>
    <n v="7600"/>
    <x v="4"/>
    <x v="3"/>
    <x v="5"/>
    <s v="byt"/>
    <x v="1"/>
    <n v="100"/>
    <x v="0"/>
    <x v="11"/>
    <s v="ne"/>
    <s v="ne"/>
    <s v="ne"/>
    <x v="0"/>
    <x v="4"/>
    <s v="ne"/>
    <s v="ne"/>
    <x v="0"/>
    <x v="0"/>
    <m/>
  </r>
  <r>
    <x v="0"/>
    <x v="10"/>
    <x v="0"/>
    <x v="0"/>
    <x v="2"/>
    <x v="11"/>
    <n v="32400"/>
    <x v="14"/>
    <x v="1"/>
    <x v="1"/>
    <s v="byt"/>
    <x v="1"/>
    <n v="500"/>
    <x v="0"/>
    <x v="12"/>
    <s v="ne"/>
    <s v="ne"/>
    <s v="ne"/>
    <x v="3"/>
    <x v="4"/>
    <s v="ne"/>
    <s v="ne"/>
    <x v="6"/>
    <x v="3"/>
    <m/>
  </r>
  <r>
    <x v="0"/>
    <x v="8"/>
    <x v="1"/>
    <x v="1"/>
    <x v="1"/>
    <x v="6"/>
    <n v="10300"/>
    <x v="15"/>
    <x v="1"/>
    <x v="4"/>
    <s v="byt"/>
    <x v="8"/>
    <n v="100"/>
    <x v="1"/>
    <x v="4"/>
    <n v="500"/>
    <s v="ne"/>
    <s v="ne"/>
    <x v="2"/>
    <x v="0"/>
    <n v="15000"/>
    <s v="ne"/>
    <x v="0"/>
    <x v="0"/>
    <m/>
  </r>
  <r>
    <x v="1"/>
    <x v="4"/>
    <x v="1"/>
    <x v="1"/>
    <x v="1"/>
    <x v="15"/>
    <n v="10300"/>
    <x v="16"/>
    <x v="3"/>
    <x v="0"/>
    <s v="byt"/>
    <x v="8"/>
    <n v="300"/>
    <x v="1"/>
    <x v="13"/>
    <n v="500"/>
    <s v="ne"/>
    <s v="ne"/>
    <x v="4"/>
    <x v="0"/>
    <n v="15000"/>
    <s v="ne"/>
    <x v="0"/>
    <x v="0"/>
    <m/>
  </r>
  <r>
    <x v="1"/>
    <x v="13"/>
    <x v="1"/>
    <x v="2"/>
    <x v="1"/>
    <x v="10"/>
    <n v="15000"/>
    <x v="6"/>
    <x v="1"/>
    <x v="0"/>
    <s v="nájem"/>
    <x v="3"/>
    <n v="200"/>
    <x v="0"/>
    <x v="14"/>
    <s v="ne"/>
    <s v="ne"/>
    <s v="ne"/>
    <x v="0"/>
    <x v="0"/>
    <s v="ne"/>
    <s v="ne"/>
    <x v="0"/>
    <x v="0"/>
    <m/>
  </r>
  <r>
    <x v="1"/>
    <x v="10"/>
    <x v="1"/>
    <x v="2"/>
    <x v="1"/>
    <x v="16"/>
    <n v="12000"/>
    <x v="17"/>
    <x v="3"/>
    <x v="2"/>
    <s v="byt"/>
    <x v="3"/>
    <n v="350"/>
    <x v="0"/>
    <x v="15"/>
    <s v="ne"/>
    <s v="ne"/>
    <s v="ne"/>
    <x v="0"/>
    <x v="3"/>
    <s v="ne"/>
    <s v="ne"/>
    <x v="7"/>
    <x v="4"/>
    <m/>
  </r>
  <r>
    <x v="0"/>
    <x v="14"/>
    <x v="0"/>
    <x v="1"/>
    <x v="0"/>
    <x v="17"/>
    <n v="41000"/>
    <x v="18"/>
    <x v="3"/>
    <x v="0"/>
    <s v="dům"/>
    <x v="9"/>
    <n v="1500"/>
    <x v="0"/>
    <x v="16"/>
    <n v="6100"/>
    <s v="ne"/>
    <s v="ne"/>
    <x v="0"/>
    <x v="0"/>
    <s v="ne"/>
    <s v="ne"/>
    <x v="8"/>
    <x v="5"/>
    <m/>
  </r>
  <r>
    <x v="0"/>
    <x v="15"/>
    <x v="0"/>
    <x v="0"/>
    <x v="0"/>
    <x v="9"/>
    <n v="10000"/>
    <x v="19"/>
    <x v="1"/>
    <x v="2"/>
    <s v="byt"/>
    <x v="10"/>
    <n v="1000"/>
    <x v="0"/>
    <x v="0"/>
    <s v="ne"/>
    <s v="ne"/>
    <s v="ne"/>
    <x v="1"/>
    <x v="0"/>
    <s v="ne"/>
    <s v="ne"/>
    <x v="9"/>
    <x v="6"/>
    <m/>
  </r>
  <r>
    <x v="1"/>
    <x v="16"/>
    <x v="0"/>
    <x v="0"/>
    <x v="0"/>
    <x v="18"/>
    <n v="10000"/>
    <x v="20"/>
    <x v="1"/>
    <x v="0"/>
    <s v="byt"/>
    <x v="10"/>
    <n v="1000"/>
    <x v="0"/>
    <x v="0"/>
    <s v="ne"/>
    <s v="ne"/>
    <s v="ne"/>
    <x v="1"/>
    <x v="0"/>
    <s v="ne"/>
    <s v="ne"/>
    <x v="0"/>
    <x v="0"/>
    <m/>
  </r>
  <r>
    <x v="0"/>
    <x v="10"/>
    <x v="1"/>
    <x v="0"/>
    <x v="2"/>
    <x v="5"/>
    <n v="17800"/>
    <x v="21"/>
    <x v="3"/>
    <x v="0"/>
    <s v="dům"/>
    <x v="11"/>
    <n v="300"/>
    <x v="0"/>
    <x v="17"/>
    <n v="2500"/>
    <s v="ne"/>
    <s v="ne"/>
    <x v="0"/>
    <x v="5"/>
    <s v="ne"/>
    <s v="ne"/>
    <x v="10"/>
    <x v="3"/>
    <m/>
  </r>
  <r>
    <x v="1"/>
    <x v="10"/>
    <x v="1"/>
    <x v="0"/>
    <x v="2"/>
    <x v="7"/>
    <n v="7600"/>
    <x v="4"/>
    <x v="3"/>
    <x v="5"/>
    <s v="dům"/>
    <x v="11"/>
    <n v="300"/>
    <x v="0"/>
    <x v="18"/>
    <s v="ne"/>
    <s v="ne"/>
    <s v="ne"/>
    <x v="0"/>
    <x v="5"/>
    <s v="ne"/>
    <s v="ne"/>
    <x v="0"/>
    <x v="0"/>
    <m/>
  </r>
  <r>
    <x v="1"/>
    <x v="4"/>
    <x v="1"/>
    <x v="2"/>
    <x v="1"/>
    <x v="11"/>
    <n v="17950"/>
    <x v="22"/>
    <x v="3"/>
    <x v="0"/>
    <s v="nájem"/>
    <x v="12"/>
    <n v="300"/>
    <x v="0"/>
    <x v="19"/>
    <n v="1000"/>
    <s v="ne"/>
    <s v="ne"/>
    <x v="0"/>
    <x v="0"/>
    <n v="52000"/>
    <s v="ne"/>
    <x v="0"/>
    <x v="0"/>
    <m/>
  </r>
  <r>
    <x v="1"/>
    <x v="14"/>
    <x v="2"/>
    <x v="0"/>
    <x v="2"/>
    <x v="19"/>
    <n v="9000"/>
    <x v="10"/>
    <x v="1"/>
    <x v="2"/>
    <s v="byt"/>
    <x v="2"/>
    <n v="300"/>
    <x v="0"/>
    <x v="20"/>
    <n v="600"/>
    <s v="ne"/>
    <s v="ne"/>
    <x v="5"/>
    <x v="0"/>
    <s v="ne"/>
    <s v="ne"/>
    <x v="11"/>
    <x v="0"/>
    <m/>
  </r>
  <r>
    <x v="0"/>
    <x v="4"/>
    <x v="1"/>
    <x v="2"/>
    <x v="1"/>
    <x v="12"/>
    <n v="15000"/>
    <x v="17"/>
    <x v="3"/>
    <x v="0"/>
    <s v="nájem"/>
    <x v="13"/>
    <s v="ne"/>
    <x v="0"/>
    <x v="21"/>
    <n v="500"/>
    <s v="ne"/>
    <s v="ne"/>
    <x v="0"/>
    <x v="0"/>
    <s v="ne"/>
    <s v="ne"/>
    <x v="0"/>
    <x v="0"/>
    <m/>
  </r>
  <r>
    <x v="0"/>
    <x v="14"/>
    <x v="1"/>
    <x v="1"/>
    <x v="1"/>
    <x v="20"/>
    <n v="17000"/>
    <x v="23"/>
    <x v="0"/>
    <x v="1"/>
    <s v="byt"/>
    <x v="1"/>
    <n v="300"/>
    <x v="0"/>
    <x v="22"/>
    <s v="ne"/>
    <s v="ne"/>
    <s v="ne"/>
    <x v="0"/>
    <x v="6"/>
    <s v="ne"/>
    <s v="ne"/>
    <x v="12"/>
    <x v="7"/>
    <m/>
  </r>
  <r>
    <x v="0"/>
    <x v="17"/>
    <x v="0"/>
    <x v="1"/>
    <x v="2"/>
    <x v="21"/>
    <n v="15770"/>
    <x v="24"/>
    <x v="1"/>
    <x v="1"/>
    <s v="byt"/>
    <x v="1"/>
    <s v="ne"/>
    <x v="0"/>
    <x v="23"/>
    <n v="500"/>
    <s v="ne"/>
    <s v="ne"/>
    <x v="0"/>
    <x v="7"/>
    <s v="ne"/>
    <s v="ne"/>
    <x v="13"/>
    <x v="8"/>
    <m/>
  </r>
  <r>
    <x v="1"/>
    <x v="10"/>
    <x v="0"/>
    <x v="1"/>
    <x v="2"/>
    <x v="7"/>
    <n v="7600"/>
    <x v="4"/>
    <x v="1"/>
    <x v="5"/>
    <s v="byt"/>
    <x v="1"/>
    <s v="ne"/>
    <x v="0"/>
    <x v="0"/>
    <s v="ne"/>
    <s v="ne"/>
    <s v="ne"/>
    <x v="0"/>
    <x v="7"/>
    <s v="ne"/>
    <s v="ne"/>
    <x v="0"/>
    <x v="0"/>
    <m/>
  </r>
  <r>
    <x v="0"/>
    <x v="18"/>
    <x v="1"/>
    <x v="0"/>
    <x v="1"/>
    <x v="2"/>
    <n v="8000"/>
    <x v="23"/>
    <x v="0"/>
    <x v="1"/>
    <s v="byt"/>
    <x v="3"/>
    <n v="100"/>
    <x v="0"/>
    <x v="24"/>
    <s v="ne"/>
    <s v="ne"/>
    <s v="ne"/>
    <x v="0"/>
    <x v="8"/>
    <n v="294055"/>
    <s v="ne"/>
    <x v="0"/>
    <x v="0"/>
    <m/>
  </r>
  <r>
    <x v="1"/>
    <x v="1"/>
    <x v="1"/>
    <x v="1"/>
    <x v="1"/>
    <x v="22"/>
    <n v="9350"/>
    <x v="25"/>
    <x v="1"/>
    <x v="2"/>
    <s v="u rodičů"/>
    <x v="3"/>
    <s v="ne"/>
    <x v="0"/>
    <x v="25"/>
    <s v="ne"/>
    <s v="ne"/>
    <s v="ne"/>
    <x v="0"/>
    <x v="0"/>
    <s v="ne"/>
    <s v="ne"/>
    <x v="0"/>
    <x v="0"/>
    <m/>
  </r>
  <r>
    <x v="0"/>
    <x v="17"/>
    <x v="1"/>
    <x v="1"/>
    <x v="1"/>
    <x v="23"/>
    <n v="20550"/>
    <x v="26"/>
    <x v="0"/>
    <x v="1"/>
    <s v="u rodičů"/>
    <x v="3"/>
    <n v="300"/>
    <x v="0"/>
    <x v="26"/>
    <n v="500"/>
    <s v="ne"/>
    <s v="ne"/>
    <x v="0"/>
    <x v="0"/>
    <s v="ne"/>
    <s v="ne"/>
    <x v="0"/>
    <x v="9"/>
    <m/>
  </r>
  <r>
    <x v="0"/>
    <x v="16"/>
    <x v="0"/>
    <x v="0"/>
    <x v="0"/>
    <x v="9"/>
    <n v="15600"/>
    <x v="27"/>
    <x v="1"/>
    <x v="1"/>
    <s v="dům"/>
    <x v="1"/>
    <n v="500"/>
    <x v="0"/>
    <x v="0"/>
    <s v="ne"/>
    <n v="500000"/>
    <n v="600000"/>
    <x v="1"/>
    <x v="9"/>
    <s v="ne"/>
    <s v="ne"/>
    <x v="14"/>
    <x v="10"/>
    <m/>
  </r>
  <r>
    <x v="1"/>
    <x v="9"/>
    <x v="0"/>
    <x v="0"/>
    <x v="0"/>
    <x v="19"/>
    <n v="15600"/>
    <x v="28"/>
    <x v="1"/>
    <x v="2"/>
    <s v="dům"/>
    <x v="1"/>
    <n v="100"/>
    <x v="0"/>
    <x v="0"/>
    <s v="ne"/>
    <s v="ne"/>
    <n v="600000"/>
    <x v="0"/>
    <x v="9"/>
    <s v="ne"/>
    <s v="ne"/>
    <x v="0"/>
    <x v="0"/>
    <m/>
  </r>
  <r>
    <x v="1"/>
    <x v="19"/>
    <x v="0"/>
    <x v="2"/>
    <x v="0"/>
    <x v="24"/>
    <n v="13000"/>
    <x v="29"/>
    <x v="3"/>
    <x v="2"/>
    <s v="byt"/>
    <x v="14"/>
    <n v="1000"/>
    <x v="0"/>
    <x v="27"/>
    <s v="ne"/>
    <n v="100000"/>
    <n v="2000000"/>
    <x v="0"/>
    <x v="0"/>
    <s v="ne"/>
    <s v="ne"/>
    <x v="15"/>
    <x v="0"/>
    <m/>
  </r>
  <r>
    <x v="1"/>
    <x v="20"/>
    <x v="1"/>
    <x v="2"/>
    <x v="1"/>
    <x v="14"/>
    <n v="20000"/>
    <x v="19"/>
    <x v="3"/>
    <x v="6"/>
    <s v="byt"/>
    <x v="15"/>
    <n v="500"/>
    <x v="0"/>
    <x v="28"/>
    <s v="ne"/>
    <s v="ne"/>
    <n v="2000000"/>
    <x v="0"/>
    <x v="0"/>
    <s v="ne"/>
    <s v="ne"/>
    <x v="16"/>
    <x v="0"/>
    <m/>
  </r>
  <r>
    <x v="1"/>
    <x v="12"/>
    <x v="2"/>
    <x v="2"/>
    <x v="2"/>
    <x v="25"/>
    <n v="19070"/>
    <x v="30"/>
    <x v="1"/>
    <x v="4"/>
    <s v="byt"/>
    <x v="11"/>
    <n v="300"/>
    <x v="1"/>
    <x v="24"/>
    <s v="ne"/>
    <s v="ne"/>
    <s v="ne"/>
    <x v="6"/>
    <x v="0"/>
    <n v="550000"/>
    <s v="ne"/>
    <x v="17"/>
    <x v="11"/>
    <m/>
  </r>
  <r>
    <x v="0"/>
    <x v="7"/>
    <x v="1"/>
    <x v="0"/>
    <x v="1"/>
    <x v="26"/>
    <n v="11000"/>
    <x v="2"/>
    <x v="3"/>
    <x v="1"/>
    <s v="byt"/>
    <x v="3"/>
    <n v="300"/>
    <x v="0"/>
    <x v="0"/>
    <n v="700"/>
    <s v="ne"/>
    <s v="ne"/>
    <x v="0"/>
    <x v="0"/>
    <s v="ne"/>
    <s v="ne"/>
    <x v="0"/>
    <x v="0"/>
    <m/>
  </r>
  <r>
    <x v="0"/>
    <x v="21"/>
    <x v="0"/>
    <x v="1"/>
    <x v="2"/>
    <x v="5"/>
    <n v="7500"/>
    <x v="31"/>
    <x v="0"/>
    <x v="1"/>
    <s v="dům"/>
    <x v="16"/>
    <n v="300"/>
    <x v="0"/>
    <x v="29"/>
    <s v="ne"/>
    <n v="100000"/>
    <s v="ne"/>
    <x v="0"/>
    <x v="0"/>
    <s v="ne"/>
    <s v="ne"/>
    <x v="3"/>
    <x v="12"/>
    <m/>
  </r>
  <r>
    <x v="1"/>
    <x v="12"/>
    <x v="0"/>
    <x v="1"/>
    <x v="2"/>
    <x v="2"/>
    <n v="7500"/>
    <x v="32"/>
    <x v="1"/>
    <x v="0"/>
    <s v="dům"/>
    <x v="16"/>
    <n v="300"/>
    <x v="1"/>
    <x v="0"/>
    <n v="500"/>
    <s v="ne"/>
    <s v="ne"/>
    <x v="0"/>
    <x v="0"/>
    <s v="ne"/>
    <s v="ne"/>
    <x v="0"/>
    <x v="0"/>
    <m/>
  </r>
  <r>
    <x v="1"/>
    <x v="4"/>
    <x v="1"/>
    <x v="0"/>
    <x v="1"/>
    <x v="12"/>
    <n v="10000"/>
    <x v="33"/>
    <x v="3"/>
    <x v="0"/>
    <s v="nájem"/>
    <x v="2"/>
    <n v="300"/>
    <x v="0"/>
    <x v="30"/>
    <n v="1500"/>
    <s v="ne"/>
    <s v="ne"/>
    <x v="1"/>
    <x v="0"/>
    <s v="ne"/>
    <s v="ne"/>
    <x v="0"/>
    <x v="2"/>
    <m/>
  </r>
  <r>
    <x v="1"/>
    <x v="5"/>
    <x v="1"/>
    <x v="1"/>
    <x v="1"/>
    <x v="27"/>
    <n v="17000"/>
    <x v="34"/>
    <x v="2"/>
    <x v="0"/>
    <s v="byt"/>
    <x v="2"/>
    <n v="100"/>
    <x v="0"/>
    <x v="0"/>
    <s v="ne"/>
    <s v="ne"/>
    <s v="ne"/>
    <x v="7"/>
    <x v="10"/>
    <s v="ne"/>
    <s v="ne"/>
    <x v="18"/>
    <x v="13"/>
    <m/>
  </r>
  <r>
    <x v="0"/>
    <x v="22"/>
    <x v="0"/>
    <x v="0"/>
    <x v="2"/>
    <x v="28"/>
    <n v="18200"/>
    <x v="35"/>
    <x v="0"/>
    <x v="1"/>
    <s v="byt"/>
    <x v="5"/>
    <s v="ne"/>
    <x v="0"/>
    <x v="0"/>
    <s v="ne"/>
    <s v="ne"/>
    <s v="ne"/>
    <x v="0"/>
    <x v="0"/>
    <s v="ne"/>
    <s v="ne"/>
    <x v="0"/>
    <x v="0"/>
    <m/>
  </r>
  <r>
    <x v="1"/>
    <x v="10"/>
    <x v="0"/>
    <x v="0"/>
    <x v="2"/>
    <x v="29"/>
    <n v="6800"/>
    <x v="4"/>
    <x v="1"/>
    <x v="5"/>
    <s v="byt"/>
    <x v="5"/>
    <n v="300"/>
    <x v="0"/>
    <x v="31"/>
    <n v="1100"/>
    <s v="ne"/>
    <s v="ne"/>
    <x v="0"/>
    <x v="0"/>
    <s v="ne"/>
    <s v="ne"/>
    <x v="0"/>
    <x v="0"/>
    <m/>
  </r>
  <r>
    <x v="0"/>
    <x v="7"/>
    <x v="1"/>
    <x v="0"/>
    <x v="1"/>
    <x v="11"/>
    <n v="15000"/>
    <x v="10"/>
    <x v="1"/>
    <x v="1"/>
    <s v="nájem"/>
    <x v="3"/>
    <s v="ne"/>
    <x v="0"/>
    <x v="32"/>
    <s v="ne"/>
    <s v="ne"/>
    <s v="ne"/>
    <x v="0"/>
    <x v="0"/>
    <n v="230000"/>
    <s v="ne"/>
    <x v="0"/>
    <x v="0"/>
    <m/>
  </r>
  <r>
    <x v="0"/>
    <x v="4"/>
    <x v="1"/>
    <x v="1"/>
    <x v="1"/>
    <x v="27"/>
    <n v="13200"/>
    <x v="36"/>
    <x v="0"/>
    <x v="1"/>
    <s v="u rodičů"/>
    <x v="3"/>
    <s v="ne"/>
    <x v="0"/>
    <x v="0"/>
    <s v="ne"/>
    <s v="ne"/>
    <s v="ne"/>
    <x v="0"/>
    <x v="0"/>
    <s v="ne"/>
    <s v="ne"/>
    <x v="0"/>
    <x v="0"/>
    <m/>
  </r>
  <r>
    <x v="1"/>
    <x v="23"/>
    <x v="0"/>
    <x v="2"/>
    <x v="2"/>
    <x v="30"/>
    <n v="8500"/>
    <x v="4"/>
    <x v="1"/>
    <x v="5"/>
    <s v="byt"/>
    <x v="17"/>
    <n v="500"/>
    <x v="1"/>
    <x v="33"/>
    <s v="ne"/>
    <s v="ne"/>
    <s v="ne"/>
    <x v="0"/>
    <x v="0"/>
    <s v="ne"/>
    <s v="ne"/>
    <x v="0"/>
    <x v="0"/>
    <m/>
  </r>
  <r>
    <x v="0"/>
    <x v="24"/>
    <x v="0"/>
    <x v="2"/>
    <x v="2"/>
    <x v="9"/>
    <n v="11500"/>
    <x v="37"/>
    <x v="1"/>
    <x v="0"/>
    <s v="byt"/>
    <x v="17"/>
    <n v="500"/>
    <x v="1"/>
    <x v="34"/>
    <n v="1500"/>
    <s v="ne"/>
    <s v="ne"/>
    <x v="0"/>
    <x v="0"/>
    <s v="ne"/>
    <s v="ne"/>
    <x v="0"/>
    <x v="14"/>
    <m/>
  </r>
  <r>
    <x v="0"/>
    <x v="1"/>
    <x v="1"/>
    <x v="2"/>
    <x v="1"/>
    <x v="26"/>
    <n v="8000"/>
    <x v="10"/>
    <x v="0"/>
    <x v="1"/>
    <s v="u rodičů"/>
    <x v="3"/>
    <n v="500"/>
    <x v="0"/>
    <x v="35"/>
    <s v="ne"/>
    <s v="ne"/>
    <s v="ne"/>
    <x v="0"/>
    <x v="0"/>
    <s v="ne"/>
    <s v="ne"/>
    <x v="19"/>
    <x v="0"/>
    <m/>
  </r>
  <r>
    <x v="1"/>
    <x v="5"/>
    <x v="1"/>
    <x v="2"/>
    <x v="1"/>
    <x v="12"/>
    <n v="23000"/>
    <x v="20"/>
    <x v="2"/>
    <x v="1"/>
    <s v="nájem"/>
    <x v="9"/>
    <n v="500"/>
    <x v="0"/>
    <x v="36"/>
    <s v="ne"/>
    <s v="ne"/>
    <s v="ne"/>
    <x v="0"/>
    <x v="0"/>
    <s v="ne"/>
    <s v="ne"/>
    <x v="0"/>
    <x v="0"/>
    <m/>
  </r>
  <r>
    <x v="1"/>
    <x v="25"/>
    <x v="0"/>
    <x v="1"/>
    <x v="0"/>
    <x v="31"/>
    <n v="15000"/>
    <x v="38"/>
    <x v="1"/>
    <x v="0"/>
    <s v="byt"/>
    <x v="12"/>
    <n v="200"/>
    <x v="0"/>
    <x v="0"/>
    <s v="ne"/>
    <s v="ne"/>
    <s v="ne"/>
    <x v="0"/>
    <x v="0"/>
    <s v="ne"/>
    <s v="ne"/>
    <x v="0"/>
    <x v="0"/>
    <m/>
  </r>
  <r>
    <x v="0"/>
    <x v="26"/>
    <x v="0"/>
    <x v="1"/>
    <x v="0"/>
    <x v="16"/>
    <n v="15000"/>
    <x v="23"/>
    <x v="1"/>
    <x v="1"/>
    <s v="byt"/>
    <x v="12"/>
    <n v="100"/>
    <x v="0"/>
    <x v="0"/>
    <s v="ne"/>
    <s v="ne"/>
    <s v="ne"/>
    <x v="2"/>
    <x v="0"/>
    <s v="ne"/>
    <s v="ne"/>
    <x v="0"/>
    <x v="15"/>
    <m/>
  </r>
  <r>
    <x v="0"/>
    <x v="20"/>
    <x v="1"/>
    <x v="2"/>
    <x v="2"/>
    <x v="10"/>
    <n v="21000"/>
    <x v="4"/>
    <x v="1"/>
    <x v="1"/>
    <s v="nájem"/>
    <x v="3"/>
    <n v="100"/>
    <x v="0"/>
    <x v="37"/>
    <n v="500"/>
    <s v="ne"/>
    <s v="ne"/>
    <x v="8"/>
    <x v="0"/>
    <s v="ne"/>
    <s v="ne"/>
    <x v="0"/>
    <x v="0"/>
    <m/>
  </r>
  <r>
    <x v="1"/>
    <x v="6"/>
    <x v="1"/>
    <x v="1"/>
    <x v="1"/>
    <x v="21"/>
    <n v="11000"/>
    <x v="23"/>
    <x v="1"/>
    <x v="2"/>
    <s v="dům"/>
    <x v="3"/>
    <n v="100"/>
    <x v="0"/>
    <x v="34"/>
    <s v="ne"/>
    <s v="ne"/>
    <s v="ne"/>
    <x v="0"/>
    <x v="0"/>
    <n v="150000"/>
    <s v="ne"/>
    <x v="20"/>
    <x v="16"/>
    <m/>
  </r>
  <r>
    <x v="1"/>
    <x v="7"/>
    <x v="0"/>
    <x v="1"/>
    <x v="0"/>
    <x v="2"/>
    <n v="13100"/>
    <x v="39"/>
    <x v="1"/>
    <x v="5"/>
    <s v="dům"/>
    <x v="18"/>
    <n v="100"/>
    <x v="0"/>
    <x v="38"/>
    <s v="ne"/>
    <s v="ne"/>
    <s v="ne"/>
    <x v="0"/>
    <x v="11"/>
    <s v="ne"/>
    <s v="ne"/>
    <x v="0"/>
    <x v="0"/>
    <m/>
  </r>
  <r>
    <x v="0"/>
    <x v="23"/>
    <x v="0"/>
    <x v="1"/>
    <x v="0"/>
    <x v="10"/>
    <n v="13100"/>
    <x v="40"/>
    <x v="2"/>
    <x v="2"/>
    <s v="dům"/>
    <x v="18"/>
    <s v="ne"/>
    <x v="0"/>
    <x v="39"/>
    <s v="ne"/>
    <s v="ne"/>
    <s v="ne"/>
    <x v="0"/>
    <x v="11"/>
    <s v="ne"/>
    <s v="ne"/>
    <x v="21"/>
    <x v="17"/>
    <m/>
  </r>
  <r>
    <x v="0"/>
    <x v="27"/>
    <x v="1"/>
    <x v="1"/>
    <x v="2"/>
    <x v="32"/>
    <n v="19675"/>
    <x v="41"/>
    <x v="1"/>
    <x v="6"/>
    <s v="dům"/>
    <x v="19"/>
    <n v="300"/>
    <x v="0"/>
    <x v="40"/>
    <s v="ne"/>
    <s v="ne"/>
    <s v="ne"/>
    <x v="0"/>
    <x v="12"/>
    <s v="ne"/>
    <s v="ne"/>
    <x v="22"/>
    <x v="18"/>
    <m/>
  </r>
  <r>
    <x v="1"/>
    <x v="28"/>
    <x v="1"/>
    <x v="1"/>
    <x v="2"/>
    <x v="33"/>
    <n v="19675"/>
    <x v="42"/>
    <x v="1"/>
    <x v="5"/>
    <s v="dům"/>
    <x v="19"/>
    <n v="200"/>
    <x v="0"/>
    <x v="41"/>
    <s v="ne"/>
    <s v="ne"/>
    <s v="ne"/>
    <x v="0"/>
    <x v="13"/>
    <s v="ne"/>
    <s v="ne"/>
    <x v="0"/>
    <x v="0"/>
    <m/>
  </r>
  <r>
    <x v="1"/>
    <x v="4"/>
    <x v="1"/>
    <x v="0"/>
    <x v="1"/>
    <x v="22"/>
    <n v="9300"/>
    <x v="40"/>
    <x v="3"/>
    <x v="0"/>
    <s v="nájem"/>
    <x v="20"/>
    <n v="300"/>
    <x v="0"/>
    <x v="42"/>
    <s v="ne"/>
    <s v="ne"/>
    <s v="ne"/>
    <x v="2"/>
    <x v="0"/>
    <s v="ne"/>
    <s v="ne"/>
    <x v="23"/>
    <x v="0"/>
    <m/>
  </r>
  <r>
    <x v="0"/>
    <x v="12"/>
    <x v="0"/>
    <x v="1"/>
    <x v="0"/>
    <x v="9"/>
    <n v="27620"/>
    <x v="43"/>
    <x v="4"/>
    <x v="1"/>
    <s v="dům"/>
    <x v="21"/>
    <n v="500"/>
    <x v="0"/>
    <x v="4"/>
    <s v="ne"/>
    <s v="ne"/>
    <s v="ne"/>
    <x v="0"/>
    <x v="0"/>
    <s v="ne"/>
    <s v="ne"/>
    <x v="0"/>
    <x v="0"/>
    <m/>
  </r>
  <r>
    <x v="1"/>
    <x v="23"/>
    <x v="0"/>
    <x v="1"/>
    <x v="0"/>
    <x v="30"/>
    <n v="8500"/>
    <x v="4"/>
    <x v="2"/>
    <x v="5"/>
    <s v="dům"/>
    <x v="21"/>
    <n v="100"/>
    <x v="0"/>
    <x v="26"/>
    <s v="ne"/>
    <s v="ne"/>
    <s v="ne"/>
    <x v="9"/>
    <x v="0"/>
    <s v="ne"/>
    <s v="ne"/>
    <x v="0"/>
    <x v="0"/>
    <m/>
  </r>
  <r>
    <x v="0"/>
    <x v="5"/>
    <x v="1"/>
    <x v="0"/>
    <x v="1"/>
    <x v="34"/>
    <n v="5600"/>
    <x v="44"/>
    <x v="3"/>
    <x v="0"/>
    <s v="u rodičů"/>
    <x v="3"/>
    <n v="500"/>
    <x v="0"/>
    <x v="13"/>
    <s v="ne"/>
    <s v="ne"/>
    <s v="ne"/>
    <x v="0"/>
    <x v="0"/>
    <s v="ne"/>
    <s v="ne"/>
    <x v="0"/>
    <x v="0"/>
    <m/>
  </r>
  <r>
    <x v="1"/>
    <x v="21"/>
    <x v="2"/>
    <x v="1"/>
    <x v="2"/>
    <x v="35"/>
    <n v="17000"/>
    <x v="45"/>
    <x v="1"/>
    <x v="2"/>
    <s v="dům"/>
    <x v="22"/>
    <n v="1000"/>
    <x v="1"/>
    <x v="17"/>
    <n v="1500"/>
    <s v="ne"/>
    <s v="ne"/>
    <x v="7"/>
    <x v="0"/>
    <s v="ne"/>
    <s v="ne"/>
    <x v="0"/>
    <x v="0"/>
    <m/>
  </r>
  <r>
    <x v="0"/>
    <x v="4"/>
    <x v="1"/>
    <x v="1"/>
    <x v="1"/>
    <x v="36"/>
    <n v="13700"/>
    <x v="46"/>
    <x v="1"/>
    <x v="1"/>
    <s v="u rodičů"/>
    <x v="3"/>
    <s v="ne"/>
    <x v="0"/>
    <x v="43"/>
    <s v="ne"/>
    <s v="ne"/>
    <s v="ne"/>
    <x v="0"/>
    <x v="0"/>
    <n v="470000"/>
    <s v="ne"/>
    <x v="0"/>
    <x v="19"/>
    <m/>
  </r>
  <r>
    <x v="0"/>
    <x v="23"/>
    <x v="2"/>
    <x v="0"/>
    <x v="0"/>
    <x v="10"/>
    <n v="17850"/>
    <x v="47"/>
    <x v="1"/>
    <x v="2"/>
    <s v="nájem"/>
    <x v="3"/>
    <s v="ne"/>
    <x v="0"/>
    <x v="0"/>
    <s v="ne"/>
    <s v="ne"/>
    <s v="ne"/>
    <x v="0"/>
    <x v="0"/>
    <n v="150000"/>
    <s v="ne"/>
    <x v="0"/>
    <x v="0"/>
    <m/>
  </r>
  <r>
    <x v="1"/>
    <x v="9"/>
    <x v="2"/>
    <x v="0"/>
    <x v="0"/>
    <x v="5"/>
    <n v="32000"/>
    <x v="34"/>
    <x v="1"/>
    <x v="2"/>
    <s v="dům"/>
    <x v="23"/>
    <n v="500"/>
    <x v="1"/>
    <x v="9"/>
    <n v="1000"/>
    <s v="ne"/>
    <s v="ne"/>
    <x v="0"/>
    <x v="0"/>
    <s v="ne"/>
    <s v="ne"/>
    <x v="24"/>
    <x v="0"/>
    <m/>
  </r>
  <r>
    <x v="0"/>
    <x v="28"/>
    <x v="0"/>
    <x v="1"/>
    <x v="0"/>
    <x v="12"/>
    <n v="25000"/>
    <x v="4"/>
    <x v="0"/>
    <x v="1"/>
    <s v="dům"/>
    <x v="3"/>
    <n v="200"/>
    <x v="0"/>
    <x v="44"/>
    <n v="800"/>
    <s v="ne"/>
    <s v="ne"/>
    <x v="0"/>
    <x v="14"/>
    <s v="ne"/>
    <s v="ne"/>
    <x v="0"/>
    <x v="0"/>
    <m/>
  </r>
  <r>
    <x v="0"/>
    <x v="5"/>
    <x v="0"/>
    <x v="1"/>
    <x v="2"/>
    <x v="11"/>
    <n v="10000"/>
    <x v="48"/>
    <x v="2"/>
    <x v="1"/>
    <s v="dům"/>
    <x v="2"/>
    <n v="300"/>
    <x v="0"/>
    <x v="30"/>
    <s v="ne"/>
    <s v="ne"/>
    <s v="ne"/>
    <x v="0"/>
    <x v="0"/>
    <s v="ne"/>
    <s v="ne"/>
    <x v="9"/>
    <x v="1"/>
    <m/>
  </r>
  <r>
    <x v="1"/>
    <x v="10"/>
    <x v="0"/>
    <x v="1"/>
    <x v="2"/>
    <x v="34"/>
    <n v="10000"/>
    <x v="34"/>
    <x v="3"/>
    <x v="1"/>
    <s v="dům"/>
    <x v="2"/>
    <n v="300"/>
    <x v="0"/>
    <x v="45"/>
    <s v="ne"/>
    <s v="ne"/>
    <s v="ne"/>
    <x v="1"/>
    <x v="0"/>
    <s v="ne"/>
    <s v="ne"/>
    <x v="0"/>
    <x v="0"/>
    <m/>
  </r>
  <r>
    <x v="0"/>
    <x v="11"/>
    <x v="1"/>
    <x v="1"/>
    <x v="1"/>
    <x v="16"/>
    <n v="11000"/>
    <x v="5"/>
    <x v="3"/>
    <x v="6"/>
    <s v="u rodičů"/>
    <x v="24"/>
    <n v="500"/>
    <x v="0"/>
    <x v="46"/>
    <n v="2000"/>
    <s v="ne"/>
    <s v="ne"/>
    <x v="0"/>
    <x v="0"/>
    <s v="ne"/>
    <s v="ne"/>
    <x v="25"/>
    <x v="0"/>
    <m/>
  </r>
  <r>
    <x v="1"/>
    <x v="24"/>
    <x v="0"/>
    <x v="1"/>
    <x v="3"/>
    <x v="37"/>
    <n v="6500"/>
    <x v="4"/>
    <x v="0"/>
    <x v="5"/>
    <s v="dům"/>
    <x v="3"/>
    <n v="300"/>
    <x v="0"/>
    <x v="47"/>
    <n v="500"/>
    <s v="ne"/>
    <s v="ne"/>
    <x v="0"/>
    <x v="0"/>
    <s v="ne"/>
    <s v="ne"/>
    <x v="0"/>
    <x v="0"/>
    <m/>
  </r>
  <r>
    <x v="0"/>
    <x v="20"/>
    <x v="0"/>
    <x v="1"/>
    <x v="3"/>
    <x v="21"/>
    <n v="14800"/>
    <x v="49"/>
    <x v="0"/>
    <x v="0"/>
    <s v="dům"/>
    <x v="3"/>
    <n v="300"/>
    <x v="0"/>
    <x v="47"/>
    <n v="500"/>
    <s v="ne"/>
    <s v="ne"/>
    <x v="0"/>
    <x v="0"/>
    <s v="ne"/>
    <s v="ne"/>
    <x v="0"/>
    <x v="0"/>
    <m/>
  </r>
  <r>
    <x v="0"/>
    <x v="29"/>
    <x v="0"/>
    <x v="0"/>
    <x v="2"/>
    <x v="27"/>
    <n v="19000"/>
    <x v="50"/>
    <x v="1"/>
    <x v="1"/>
    <s v="dům"/>
    <x v="3"/>
    <n v="100"/>
    <x v="0"/>
    <x v="48"/>
    <s v="ne"/>
    <s v="ne"/>
    <s v="ne"/>
    <x v="0"/>
    <x v="15"/>
    <s v="ne"/>
    <s v="ne"/>
    <x v="0"/>
    <x v="0"/>
    <m/>
  </r>
  <r>
    <x v="1"/>
    <x v="5"/>
    <x v="0"/>
    <x v="0"/>
    <x v="2"/>
    <x v="2"/>
    <n v="15000"/>
    <x v="4"/>
    <x v="2"/>
    <x v="5"/>
    <s v="dům"/>
    <x v="3"/>
    <n v="100"/>
    <x v="0"/>
    <x v="49"/>
    <s v="ne"/>
    <s v="ne"/>
    <s v="ne"/>
    <x v="0"/>
    <x v="15"/>
    <s v="ne"/>
    <s v="ne"/>
    <x v="0"/>
    <x v="0"/>
    <m/>
  </r>
  <r>
    <x v="1"/>
    <x v="28"/>
    <x v="0"/>
    <x v="1"/>
    <x v="0"/>
    <x v="38"/>
    <n v="19700"/>
    <x v="4"/>
    <x v="1"/>
    <x v="5"/>
    <s v="dům"/>
    <x v="25"/>
    <n v="1000"/>
    <x v="0"/>
    <x v="50"/>
    <s v="ne"/>
    <s v="ne"/>
    <s v="ne"/>
    <x v="0"/>
    <x v="16"/>
    <s v="ne"/>
    <s v="ne"/>
    <x v="0"/>
    <x v="0"/>
    <m/>
  </r>
  <r>
    <x v="0"/>
    <x v="24"/>
    <x v="0"/>
    <x v="1"/>
    <x v="0"/>
    <x v="39"/>
    <n v="28300"/>
    <x v="51"/>
    <x v="1"/>
    <x v="4"/>
    <s v="dům"/>
    <x v="25"/>
    <n v="1000"/>
    <x v="1"/>
    <x v="51"/>
    <n v="5000"/>
    <s v="ne"/>
    <s v="ne"/>
    <x v="0"/>
    <x v="16"/>
    <s v="ne"/>
    <s v="ne"/>
    <x v="0"/>
    <x v="0"/>
    <m/>
  </r>
  <r>
    <x v="0"/>
    <x v="13"/>
    <x v="1"/>
    <x v="0"/>
    <x v="2"/>
    <x v="40"/>
    <n v="12100"/>
    <x v="52"/>
    <x v="1"/>
    <x v="1"/>
    <s v="byt"/>
    <x v="1"/>
    <n v="300"/>
    <x v="0"/>
    <x v="52"/>
    <s v="ne"/>
    <s v="ne"/>
    <s v="ne"/>
    <x v="0"/>
    <x v="17"/>
    <s v="ne"/>
    <s v="ne"/>
    <x v="18"/>
    <x v="0"/>
    <m/>
  </r>
  <r>
    <x v="0"/>
    <x v="9"/>
    <x v="0"/>
    <x v="1"/>
    <x v="2"/>
    <x v="5"/>
    <n v="13000"/>
    <x v="53"/>
    <x v="1"/>
    <x v="1"/>
    <s v="dům"/>
    <x v="8"/>
    <n v="1000"/>
    <x v="0"/>
    <x v="14"/>
    <n v="2000"/>
    <s v="ne"/>
    <s v="ne"/>
    <x v="9"/>
    <x v="0"/>
    <s v="ne"/>
    <s v="ne"/>
    <x v="26"/>
    <x v="0"/>
    <m/>
  </r>
  <r>
    <x v="1"/>
    <x v="26"/>
    <x v="0"/>
    <x v="1"/>
    <x v="2"/>
    <x v="41"/>
    <n v="13000"/>
    <x v="6"/>
    <x v="1"/>
    <x v="2"/>
    <s v="dům"/>
    <x v="8"/>
    <n v="1000"/>
    <x v="0"/>
    <x v="45"/>
    <s v="ne"/>
    <s v="ne"/>
    <s v="ne"/>
    <x v="1"/>
    <x v="0"/>
    <s v="ne"/>
    <s v="ne"/>
    <x v="0"/>
    <x v="0"/>
    <m/>
  </r>
  <r>
    <x v="1"/>
    <x v="25"/>
    <x v="1"/>
    <x v="1"/>
    <x v="1"/>
    <x v="42"/>
    <n v="17300"/>
    <x v="54"/>
    <x v="3"/>
    <x v="0"/>
    <s v="dům"/>
    <x v="25"/>
    <n v="2000"/>
    <x v="0"/>
    <x v="53"/>
    <n v="500"/>
    <s v="ne"/>
    <s v="ne"/>
    <x v="0"/>
    <x v="18"/>
    <s v="ne"/>
    <s v="ne"/>
    <x v="25"/>
    <x v="19"/>
    <m/>
  </r>
  <r>
    <x v="0"/>
    <x v="5"/>
    <x v="1"/>
    <x v="0"/>
    <x v="1"/>
    <x v="9"/>
    <n v="20000"/>
    <x v="17"/>
    <x v="1"/>
    <x v="2"/>
    <s v="byt"/>
    <x v="1"/>
    <n v="300"/>
    <x v="0"/>
    <x v="19"/>
    <n v="500"/>
    <s v="ne"/>
    <s v="ne"/>
    <x v="0"/>
    <x v="0"/>
    <s v="ne"/>
    <s v="ne"/>
    <x v="0"/>
    <x v="0"/>
    <m/>
  </r>
  <r>
    <x v="0"/>
    <x v="30"/>
    <x v="1"/>
    <x v="0"/>
    <x v="1"/>
    <x v="21"/>
    <n v="12000"/>
    <x v="6"/>
    <x v="2"/>
    <x v="6"/>
    <s v="nájem"/>
    <x v="26"/>
    <n v="300"/>
    <x v="0"/>
    <x v="0"/>
    <n v="2500"/>
    <n v="100000"/>
    <s v="ne"/>
    <x v="3"/>
    <x v="0"/>
    <s v="ne"/>
    <s v="ne"/>
    <x v="0"/>
    <x v="0"/>
    <m/>
  </r>
  <r>
    <x v="1"/>
    <x v="5"/>
    <x v="0"/>
    <x v="1"/>
    <x v="0"/>
    <x v="5"/>
    <n v="32000"/>
    <x v="55"/>
    <x v="1"/>
    <x v="6"/>
    <s v="dům"/>
    <x v="27"/>
    <n v="300"/>
    <x v="0"/>
    <x v="54"/>
    <n v="5000"/>
    <s v="ne"/>
    <s v="ne"/>
    <x v="0"/>
    <x v="9"/>
    <s v="ne"/>
    <s v="ne"/>
    <x v="27"/>
    <x v="0"/>
    <m/>
  </r>
  <r>
    <x v="0"/>
    <x v="11"/>
    <x v="0"/>
    <x v="1"/>
    <x v="0"/>
    <x v="27"/>
    <n v="32000"/>
    <x v="55"/>
    <x v="1"/>
    <x v="1"/>
    <s v="dům"/>
    <x v="27"/>
    <s v="ne"/>
    <x v="0"/>
    <x v="18"/>
    <s v="ne"/>
    <s v="ne"/>
    <s v="ne"/>
    <x v="0"/>
    <x v="9"/>
    <s v="ne"/>
    <s v="ne"/>
    <x v="0"/>
    <x v="0"/>
    <m/>
  </r>
  <r>
    <x v="0"/>
    <x v="4"/>
    <x v="1"/>
    <x v="2"/>
    <x v="1"/>
    <x v="2"/>
    <n v="14000"/>
    <x v="50"/>
    <x v="2"/>
    <x v="1"/>
    <s v="nájem"/>
    <x v="3"/>
    <s v="ne"/>
    <x v="0"/>
    <x v="33"/>
    <s v="ne"/>
    <s v="ne"/>
    <s v="ne"/>
    <x v="0"/>
    <x v="0"/>
    <s v="ne"/>
    <s v="ne"/>
    <x v="0"/>
    <x v="20"/>
    <m/>
  </r>
  <r>
    <x v="1"/>
    <x v="8"/>
    <x v="1"/>
    <x v="1"/>
    <x v="2"/>
    <x v="0"/>
    <n v="14000"/>
    <x v="4"/>
    <x v="1"/>
    <x v="1"/>
    <s v="nájem"/>
    <x v="3"/>
    <n v="300"/>
    <x v="0"/>
    <x v="0"/>
    <n v="100"/>
    <s v="ne"/>
    <s v="ne"/>
    <x v="0"/>
    <x v="0"/>
    <n v="240000"/>
    <s v="ne"/>
    <x v="0"/>
    <x v="0"/>
    <m/>
  </r>
  <r>
    <x v="0"/>
    <x v="13"/>
    <x v="1"/>
    <x v="2"/>
    <x v="1"/>
    <x v="20"/>
    <n v="17550"/>
    <x v="56"/>
    <x v="1"/>
    <x v="1"/>
    <s v="dům"/>
    <x v="13"/>
    <n v="350"/>
    <x v="0"/>
    <x v="55"/>
    <n v="1000"/>
    <s v="ne"/>
    <s v="ne"/>
    <x v="0"/>
    <x v="0"/>
    <s v="ne"/>
    <s v="ne"/>
    <x v="4"/>
    <x v="21"/>
    <m/>
  </r>
  <r>
    <x v="1"/>
    <x v="20"/>
    <x v="1"/>
    <x v="1"/>
    <x v="2"/>
    <x v="19"/>
    <n v="16000"/>
    <x v="50"/>
    <x v="1"/>
    <x v="1"/>
    <s v="nájem"/>
    <x v="3"/>
    <n v="350"/>
    <x v="0"/>
    <x v="45"/>
    <s v="ne"/>
    <s v="ne"/>
    <s v="ne"/>
    <x v="0"/>
    <x v="0"/>
    <s v="ne"/>
    <s v="ne"/>
    <x v="28"/>
    <x v="0"/>
    <m/>
  </r>
  <r>
    <x v="0"/>
    <x v="30"/>
    <x v="1"/>
    <x v="0"/>
    <x v="1"/>
    <x v="16"/>
    <n v="15000"/>
    <x v="23"/>
    <x v="1"/>
    <x v="6"/>
    <s v="u rodičů"/>
    <x v="2"/>
    <s v="ne"/>
    <x v="0"/>
    <x v="19"/>
    <n v="4000"/>
    <s v="ne"/>
    <s v="ne"/>
    <x v="0"/>
    <x v="0"/>
    <s v="ne"/>
    <s v="ne"/>
    <x v="0"/>
    <x v="0"/>
    <m/>
  </r>
  <r>
    <x v="0"/>
    <x v="13"/>
    <x v="1"/>
    <x v="2"/>
    <x v="1"/>
    <x v="10"/>
    <n v="15000"/>
    <x v="6"/>
    <x v="2"/>
    <x v="1"/>
    <s v="u rodičů"/>
    <x v="7"/>
    <n v="350"/>
    <x v="0"/>
    <x v="45"/>
    <s v="ne"/>
    <s v="ne"/>
    <s v="ne"/>
    <x v="10"/>
    <x v="0"/>
    <s v="ne"/>
    <s v="ne"/>
    <x v="29"/>
    <x v="16"/>
    <m/>
  </r>
  <r>
    <x v="0"/>
    <x v="31"/>
    <x v="0"/>
    <x v="2"/>
    <x v="0"/>
    <x v="42"/>
    <n v="28000"/>
    <x v="4"/>
    <x v="0"/>
    <x v="6"/>
    <s v="dům"/>
    <x v="28"/>
    <s v="ne"/>
    <x v="0"/>
    <x v="0"/>
    <s v="ne"/>
    <s v="ne"/>
    <n v="1500000"/>
    <x v="0"/>
    <x v="0"/>
    <n v="125000"/>
    <s v="ne"/>
    <x v="30"/>
    <x v="22"/>
    <m/>
  </r>
  <r>
    <x v="1"/>
    <x v="32"/>
    <x v="0"/>
    <x v="2"/>
    <x v="0"/>
    <x v="42"/>
    <n v="28000"/>
    <x v="4"/>
    <x v="1"/>
    <x v="6"/>
    <s v="dům"/>
    <x v="28"/>
    <n v="1500"/>
    <x v="0"/>
    <x v="0"/>
    <s v="ne"/>
    <s v="ne"/>
    <n v="1500000"/>
    <x v="0"/>
    <x v="0"/>
    <n v="125000"/>
    <s v="ne"/>
    <x v="0"/>
    <x v="0"/>
    <m/>
  </r>
  <r>
    <x v="0"/>
    <x v="8"/>
    <x v="0"/>
    <x v="1"/>
    <x v="2"/>
    <x v="20"/>
    <n v="16900"/>
    <x v="57"/>
    <x v="3"/>
    <x v="0"/>
    <s v="byt"/>
    <x v="15"/>
    <n v="300"/>
    <x v="0"/>
    <x v="56"/>
    <n v="500"/>
    <n v="20000"/>
    <n v="750000"/>
    <x v="0"/>
    <x v="0"/>
    <s v="ne"/>
    <s v="ne"/>
    <x v="31"/>
    <x v="23"/>
    <m/>
  </r>
  <r>
    <x v="1"/>
    <x v="8"/>
    <x v="0"/>
    <x v="1"/>
    <x v="2"/>
    <x v="7"/>
    <n v="7600"/>
    <x v="4"/>
    <x v="3"/>
    <x v="5"/>
    <s v="byt"/>
    <x v="15"/>
    <n v="300"/>
    <x v="0"/>
    <x v="39"/>
    <s v="ne"/>
    <s v="ne"/>
    <n v="750000"/>
    <x v="0"/>
    <x v="0"/>
    <s v="ne"/>
    <s v="ne"/>
    <x v="0"/>
    <x v="0"/>
    <m/>
  </r>
  <r>
    <x v="0"/>
    <x v="17"/>
    <x v="0"/>
    <x v="0"/>
    <x v="2"/>
    <x v="5"/>
    <n v="16000"/>
    <x v="55"/>
    <x v="3"/>
    <x v="6"/>
    <s v="byt"/>
    <x v="8"/>
    <n v="300"/>
    <x v="0"/>
    <x v="57"/>
    <s v="ne"/>
    <s v="ne"/>
    <n v="2000000"/>
    <x v="0"/>
    <x v="19"/>
    <n v="150000"/>
    <s v="ne"/>
    <x v="32"/>
    <x v="24"/>
    <m/>
  </r>
  <r>
    <x v="1"/>
    <x v="17"/>
    <x v="0"/>
    <x v="0"/>
    <x v="2"/>
    <x v="43"/>
    <n v="11000"/>
    <x v="4"/>
    <x v="3"/>
    <x v="5"/>
    <s v="byt"/>
    <x v="8"/>
    <s v="ne"/>
    <x v="0"/>
    <x v="29"/>
    <s v="ne"/>
    <s v="ne"/>
    <n v="2000000"/>
    <x v="0"/>
    <x v="19"/>
    <n v="150000"/>
    <s v="ne"/>
    <x v="0"/>
    <x v="0"/>
    <m/>
  </r>
  <r>
    <x v="0"/>
    <x v="8"/>
    <x v="1"/>
    <x v="2"/>
    <x v="1"/>
    <x v="27"/>
    <n v="15000"/>
    <x v="2"/>
    <x v="1"/>
    <x v="1"/>
    <s v="nájem"/>
    <x v="27"/>
    <s v="ne"/>
    <x v="0"/>
    <x v="54"/>
    <n v="1000"/>
    <s v="ne"/>
    <n v="1400000"/>
    <x v="0"/>
    <x v="0"/>
    <s v="ne"/>
    <s v="ne"/>
    <x v="33"/>
    <x v="0"/>
    <m/>
  </r>
  <r>
    <x v="0"/>
    <x v="26"/>
    <x v="1"/>
    <x v="0"/>
    <x v="1"/>
    <x v="12"/>
    <n v="23000"/>
    <x v="20"/>
    <x v="1"/>
    <x v="1"/>
    <s v="nájem"/>
    <x v="27"/>
    <n v="300"/>
    <x v="1"/>
    <x v="58"/>
    <n v="1700"/>
    <s v="ne"/>
    <n v="1400000"/>
    <x v="0"/>
    <x v="0"/>
    <n v="112000"/>
    <s v="ne"/>
    <x v="0"/>
    <x v="0"/>
    <m/>
  </r>
  <r>
    <x v="0"/>
    <x v="16"/>
    <x v="2"/>
    <x v="2"/>
    <x v="2"/>
    <x v="5"/>
    <n v="35000"/>
    <x v="4"/>
    <x v="1"/>
    <x v="1"/>
    <s v="nájem"/>
    <x v="29"/>
    <n v="300"/>
    <x v="1"/>
    <x v="29"/>
    <n v="1300"/>
    <s v="ne"/>
    <s v="ne"/>
    <x v="0"/>
    <x v="0"/>
    <s v="ne"/>
    <s v="ne"/>
    <x v="34"/>
    <x v="0"/>
    <m/>
  </r>
  <r>
    <x v="1"/>
    <x v="26"/>
    <x v="2"/>
    <x v="1"/>
    <x v="0"/>
    <x v="20"/>
    <n v="24000"/>
    <x v="4"/>
    <x v="1"/>
    <x v="2"/>
    <s v="nájem"/>
    <x v="15"/>
    <n v="800"/>
    <x v="1"/>
    <x v="59"/>
    <n v="500"/>
    <s v="ne"/>
    <s v="ne"/>
    <x v="0"/>
    <x v="0"/>
    <s v="ne"/>
    <s v="ne"/>
    <x v="0"/>
    <x v="25"/>
    <m/>
  </r>
  <r>
    <x v="0"/>
    <x v="16"/>
    <x v="2"/>
    <x v="2"/>
    <x v="2"/>
    <x v="5"/>
    <n v="32000"/>
    <x v="34"/>
    <x v="1"/>
    <x v="6"/>
    <s v="nájem"/>
    <x v="3"/>
    <n v="500"/>
    <x v="0"/>
    <x v="60"/>
    <n v="1000"/>
    <s v="ne"/>
    <s v="ne"/>
    <x v="0"/>
    <x v="0"/>
    <s v="ne"/>
    <s v="ne"/>
    <x v="35"/>
    <x v="0"/>
    <m/>
  </r>
  <r>
    <x v="0"/>
    <x v="17"/>
    <x v="1"/>
    <x v="1"/>
    <x v="1"/>
    <x v="12"/>
    <n v="25000"/>
    <x v="4"/>
    <x v="3"/>
    <x v="0"/>
    <s v="byt"/>
    <x v="4"/>
    <s v="ne"/>
    <x v="0"/>
    <x v="61"/>
    <s v="ne"/>
    <n v="50000"/>
    <s v="ne"/>
    <x v="0"/>
    <x v="20"/>
    <s v="ne"/>
    <s v="ne"/>
    <x v="36"/>
    <x v="26"/>
    <m/>
  </r>
  <r>
    <x v="0"/>
    <x v="4"/>
    <x v="1"/>
    <x v="1"/>
    <x v="1"/>
    <x v="19"/>
    <n v="17000"/>
    <x v="4"/>
    <x v="1"/>
    <x v="1"/>
    <s v="nájem"/>
    <x v="3"/>
    <s v="ne"/>
    <x v="1"/>
    <x v="62"/>
    <s v="ne"/>
    <s v="ne"/>
    <s v="ne"/>
    <x v="0"/>
    <x v="0"/>
    <n v="68000"/>
    <s v="ne"/>
    <x v="0"/>
    <x v="0"/>
    <m/>
  </r>
  <r>
    <x v="0"/>
    <x v="17"/>
    <x v="0"/>
    <x v="1"/>
    <x v="2"/>
    <x v="44"/>
    <n v="40000"/>
    <x v="19"/>
    <x v="1"/>
    <x v="4"/>
    <s v="dům"/>
    <x v="30"/>
    <n v="300"/>
    <x v="1"/>
    <x v="63"/>
    <n v="8400"/>
    <s v="ne"/>
    <s v="ne"/>
    <x v="0"/>
    <x v="21"/>
    <s v="ne"/>
    <s v="ne"/>
    <x v="37"/>
    <x v="27"/>
    <m/>
  </r>
  <r>
    <x v="1"/>
    <x v="4"/>
    <x v="0"/>
    <x v="1"/>
    <x v="2"/>
    <x v="2"/>
    <n v="15000"/>
    <x v="4"/>
    <x v="1"/>
    <x v="0"/>
    <s v="dům"/>
    <x v="30"/>
    <s v="ne"/>
    <x v="0"/>
    <x v="60"/>
    <s v="ne"/>
    <s v="ne"/>
    <s v="ne"/>
    <x v="0"/>
    <x v="21"/>
    <s v="ne"/>
    <s v="ne"/>
    <x v="0"/>
    <x v="0"/>
    <m/>
  </r>
  <r>
    <x v="1"/>
    <x v="1"/>
    <x v="1"/>
    <x v="0"/>
    <x v="2"/>
    <x v="2"/>
    <n v="15000"/>
    <x v="4"/>
    <x v="1"/>
    <x v="1"/>
    <s v="nájem"/>
    <x v="3"/>
    <s v="ne"/>
    <x v="0"/>
    <x v="64"/>
    <n v="700"/>
    <s v="ne"/>
    <s v="ne"/>
    <x v="0"/>
    <x v="0"/>
    <s v="ne"/>
    <s v="ne"/>
    <x v="0"/>
    <x v="28"/>
    <m/>
  </r>
  <r>
    <x v="0"/>
    <x v="33"/>
    <x v="0"/>
    <x v="2"/>
    <x v="0"/>
    <x v="9"/>
    <n v="30000"/>
    <x v="4"/>
    <x v="1"/>
    <x v="1"/>
    <s v="nájem"/>
    <x v="6"/>
    <n v="300"/>
    <x v="0"/>
    <x v="65"/>
    <s v="ne"/>
    <s v="ne"/>
    <s v="ne"/>
    <x v="0"/>
    <x v="0"/>
    <n v="125000"/>
    <s v="ne"/>
    <x v="0"/>
    <x v="0"/>
    <m/>
  </r>
  <r>
    <x v="1"/>
    <x v="16"/>
    <x v="0"/>
    <x v="2"/>
    <x v="0"/>
    <x v="0"/>
    <n v="14000"/>
    <x v="4"/>
    <x v="1"/>
    <x v="1"/>
    <s v="nájem"/>
    <x v="6"/>
    <n v="300"/>
    <x v="0"/>
    <x v="66"/>
    <s v="ne"/>
    <s v="ne"/>
    <s v="ne"/>
    <x v="0"/>
    <x v="0"/>
    <n v="125000"/>
    <s v="ne"/>
    <x v="0"/>
    <x v="0"/>
    <m/>
  </r>
  <r>
    <x v="0"/>
    <x v="8"/>
    <x v="1"/>
    <x v="1"/>
    <x v="1"/>
    <x v="45"/>
    <n v="10000"/>
    <x v="4"/>
    <x v="2"/>
    <x v="1"/>
    <s v="byt"/>
    <x v="7"/>
    <s v="ne"/>
    <x v="0"/>
    <x v="0"/>
    <n v="2500"/>
    <n v="1000000"/>
    <s v="ne"/>
    <x v="0"/>
    <x v="0"/>
    <n v="50000"/>
    <s v="ne"/>
    <x v="0"/>
    <x v="0"/>
    <m/>
  </r>
  <r>
    <x v="0"/>
    <x v="11"/>
    <x v="2"/>
    <x v="0"/>
    <x v="2"/>
    <x v="26"/>
    <n v="16000"/>
    <x v="4"/>
    <x v="0"/>
    <x v="1"/>
    <s v="byt"/>
    <x v="3"/>
    <n v="300"/>
    <x v="1"/>
    <x v="0"/>
    <s v="ne"/>
    <s v="ne"/>
    <s v="ne"/>
    <x v="0"/>
    <x v="0"/>
    <n v="212435"/>
    <s v="ne"/>
    <x v="0"/>
    <x v="0"/>
    <m/>
  </r>
  <r>
    <x v="0"/>
    <x v="34"/>
    <x v="0"/>
    <x v="1"/>
    <x v="2"/>
    <x v="3"/>
    <n v="13400"/>
    <x v="58"/>
    <x v="1"/>
    <x v="0"/>
    <s v="nájem"/>
    <x v="31"/>
    <n v="1500"/>
    <x v="0"/>
    <x v="34"/>
    <n v="2000"/>
    <s v="ne"/>
    <s v="ne"/>
    <x v="11"/>
    <x v="22"/>
    <s v="ne"/>
    <s v="ne"/>
    <x v="38"/>
    <x v="29"/>
    <m/>
  </r>
  <r>
    <x v="1"/>
    <x v="7"/>
    <x v="0"/>
    <x v="1"/>
    <x v="2"/>
    <x v="7"/>
    <n v="7600"/>
    <x v="4"/>
    <x v="3"/>
    <x v="5"/>
    <s v="nájem"/>
    <x v="31"/>
    <n v="300"/>
    <x v="0"/>
    <x v="67"/>
    <s v="ne"/>
    <s v="ne"/>
    <s v="ne"/>
    <x v="0"/>
    <x v="22"/>
    <s v="ne"/>
    <s v="ne"/>
    <x v="0"/>
    <x v="0"/>
    <m/>
  </r>
  <r>
    <x v="0"/>
    <x v="14"/>
    <x v="1"/>
    <x v="0"/>
    <x v="1"/>
    <x v="27"/>
    <n v="20000"/>
    <x v="4"/>
    <x v="0"/>
    <x v="1"/>
    <s v="byt"/>
    <x v="3"/>
    <s v="ne"/>
    <x v="0"/>
    <x v="0"/>
    <s v="ne"/>
    <s v="ne"/>
    <s v="ne"/>
    <x v="0"/>
    <x v="0"/>
    <n v="550000"/>
    <s v="ne"/>
    <x v="0"/>
    <x v="0"/>
    <m/>
  </r>
  <r>
    <x v="0"/>
    <x v="1"/>
    <x v="1"/>
    <x v="2"/>
    <x v="1"/>
    <x v="12"/>
    <n v="11000"/>
    <x v="59"/>
    <x v="1"/>
    <x v="0"/>
    <s v="nájem"/>
    <x v="25"/>
    <n v="300"/>
    <x v="0"/>
    <x v="33"/>
    <s v="ne"/>
    <s v="ne"/>
    <s v="ne"/>
    <x v="0"/>
    <x v="0"/>
    <s v="ne"/>
    <s v="ne"/>
    <x v="0"/>
    <x v="0"/>
    <m/>
  </r>
  <r>
    <x v="1"/>
    <x v="1"/>
    <x v="1"/>
    <x v="2"/>
    <x v="1"/>
    <x v="26"/>
    <n v="11000"/>
    <x v="2"/>
    <x v="1"/>
    <x v="0"/>
    <s v="nájem"/>
    <x v="25"/>
    <n v="500"/>
    <x v="0"/>
    <x v="0"/>
    <s v="ne"/>
    <s v="ne"/>
    <s v="ne"/>
    <x v="0"/>
    <x v="0"/>
    <s v="ne"/>
    <s v="ne"/>
    <x v="0"/>
    <x v="0"/>
    <m/>
  </r>
  <r>
    <x v="0"/>
    <x v="1"/>
    <x v="1"/>
    <x v="2"/>
    <x v="1"/>
    <x v="46"/>
    <n v="50000"/>
    <x v="4"/>
    <x v="1"/>
    <x v="6"/>
    <s v="nájem"/>
    <x v="2"/>
    <n v="300"/>
    <x v="1"/>
    <x v="55"/>
    <n v="1000"/>
    <s v="ne"/>
    <s v="ne"/>
    <x v="0"/>
    <x v="0"/>
    <s v="ne"/>
    <s v="ne"/>
    <x v="4"/>
    <x v="0"/>
    <m/>
  </r>
  <r>
    <x v="1"/>
    <x v="6"/>
    <x v="1"/>
    <x v="2"/>
    <x v="1"/>
    <x v="47"/>
    <n v="25550"/>
    <x v="60"/>
    <x v="3"/>
    <x v="0"/>
    <s v="dům"/>
    <x v="32"/>
    <s v="ne"/>
    <x v="0"/>
    <x v="68"/>
    <n v="2000"/>
    <s v="ne"/>
    <n v="2500000"/>
    <x v="0"/>
    <x v="23"/>
    <s v="ne"/>
    <s v="ne"/>
    <x v="39"/>
    <x v="0"/>
    <m/>
  </r>
  <r>
    <x v="0"/>
    <x v="11"/>
    <x v="0"/>
    <x v="1"/>
    <x v="0"/>
    <x v="48"/>
    <n v="52400"/>
    <x v="61"/>
    <x v="1"/>
    <x v="6"/>
    <s v="dům"/>
    <x v="3"/>
    <n v="1500"/>
    <x v="0"/>
    <x v="54"/>
    <s v="ne"/>
    <s v="ne"/>
    <s v="ne"/>
    <x v="0"/>
    <x v="24"/>
    <s v="ne"/>
    <s v="ne"/>
    <x v="40"/>
    <x v="0"/>
    <m/>
  </r>
  <r>
    <x v="1"/>
    <x v="28"/>
    <x v="0"/>
    <x v="1"/>
    <x v="0"/>
    <x v="49"/>
    <n v="15600"/>
    <x v="4"/>
    <x v="3"/>
    <x v="1"/>
    <s v="dům"/>
    <x v="3"/>
    <n v="500"/>
    <x v="0"/>
    <x v="0"/>
    <s v="ne"/>
    <s v="ne"/>
    <s v="ne"/>
    <x v="0"/>
    <x v="24"/>
    <s v="ne"/>
    <s v="ne"/>
    <x v="0"/>
    <x v="0"/>
    <m/>
  </r>
  <r>
    <x v="0"/>
    <x v="15"/>
    <x v="0"/>
    <x v="2"/>
    <x v="1"/>
    <x v="50"/>
    <n v="38000"/>
    <x v="62"/>
    <x v="1"/>
    <x v="6"/>
    <s v="byt"/>
    <x v="3"/>
    <s v="ne"/>
    <x v="0"/>
    <x v="0"/>
    <s v="ne"/>
    <s v="ne"/>
    <s v="ne"/>
    <x v="0"/>
    <x v="25"/>
    <s v="ne"/>
    <s v="ne"/>
    <x v="41"/>
    <x v="0"/>
    <m/>
  </r>
  <r>
    <x v="1"/>
    <x v="23"/>
    <x v="0"/>
    <x v="2"/>
    <x v="1"/>
    <x v="14"/>
    <n v="38000"/>
    <x v="20"/>
    <x v="3"/>
    <x v="4"/>
    <s v="byt"/>
    <x v="3"/>
    <s v="ne"/>
    <x v="0"/>
    <x v="69"/>
    <s v="ne"/>
    <s v="ne"/>
    <s v="ne"/>
    <x v="0"/>
    <x v="25"/>
    <s v="ne"/>
    <s v="ne"/>
    <x v="0"/>
    <x v="0"/>
    <m/>
  </r>
  <r>
    <x v="0"/>
    <x v="17"/>
    <x v="1"/>
    <x v="0"/>
    <x v="1"/>
    <x v="12"/>
    <n v="17300"/>
    <x v="63"/>
    <x v="1"/>
    <x v="4"/>
    <s v="byt"/>
    <x v="4"/>
    <s v="ne"/>
    <x v="0"/>
    <x v="55"/>
    <s v="ne"/>
    <s v="ne"/>
    <s v="ne"/>
    <x v="0"/>
    <x v="26"/>
    <n v="50000"/>
    <s v="ne"/>
    <x v="42"/>
    <x v="0"/>
    <m/>
  </r>
  <r>
    <x v="0"/>
    <x v="7"/>
    <x v="0"/>
    <x v="1"/>
    <x v="2"/>
    <x v="27"/>
    <n v="11000"/>
    <x v="45"/>
    <x v="0"/>
    <x v="1"/>
    <s v="byt"/>
    <x v="5"/>
    <n v="800"/>
    <x v="0"/>
    <x v="36"/>
    <s v="ne"/>
    <s v="ne"/>
    <s v="ne"/>
    <x v="0"/>
    <x v="27"/>
    <s v="ne"/>
    <s v="ne"/>
    <x v="43"/>
    <x v="0"/>
    <m/>
  </r>
  <r>
    <x v="1"/>
    <x v="13"/>
    <x v="0"/>
    <x v="1"/>
    <x v="2"/>
    <x v="51"/>
    <n v="11000"/>
    <x v="64"/>
    <x v="3"/>
    <x v="5"/>
    <s v="byt"/>
    <x v="5"/>
    <s v="ne"/>
    <x v="0"/>
    <x v="45"/>
    <s v="ne"/>
    <s v="ne"/>
    <s v="ne"/>
    <x v="0"/>
    <x v="27"/>
    <s v="ne"/>
    <s v="ne"/>
    <x v="0"/>
    <x v="0"/>
    <m/>
  </r>
  <r>
    <x v="0"/>
    <x v="21"/>
    <x v="0"/>
    <x v="2"/>
    <x v="3"/>
    <x v="46"/>
    <n v="36000"/>
    <x v="59"/>
    <x v="1"/>
    <x v="6"/>
    <s v="dům"/>
    <x v="3"/>
    <s v="ne"/>
    <x v="0"/>
    <x v="70"/>
    <s v="ne"/>
    <s v="ne"/>
    <s v="ne"/>
    <x v="0"/>
    <x v="28"/>
    <s v="ne"/>
    <n v="250000"/>
    <x v="0"/>
    <x v="0"/>
    <m/>
  </r>
  <r>
    <x v="1"/>
    <x v="20"/>
    <x v="0"/>
    <x v="2"/>
    <x v="3"/>
    <x v="4"/>
    <n v="0"/>
    <x v="4"/>
    <x v="1"/>
    <x v="3"/>
    <s v="dům"/>
    <x v="3"/>
    <n v="300"/>
    <x v="0"/>
    <x v="0"/>
    <s v="ne"/>
    <s v="ne"/>
    <s v="ne"/>
    <x v="0"/>
    <x v="28"/>
    <s v="ne"/>
    <s v="ne"/>
    <x v="0"/>
    <x v="0"/>
    <m/>
  </r>
  <r>
    <x v="0"/>
    <x v="4"/>
    <x v="1"/>
    <x v="1"/>
    <x v="1"/>
    <x v="2"/>
    <n v="16000"/>
    <x v="65"/>
    <x v="1"/>
    <x v="1"/>
    <s v="u rodičů"/>
    <x v="1"/>
    <s v="ne"/>
    <x v="0"/>
    <x v="71"/>
    <n v="1000"/>
    <s v="ne"/>
    <s v="ne"/>
    <x v="0"/>
    <x v="0"/>
    <s v="ne"/>
    <s v="ne"/>
    <x v="0"/>
    <x v="0"/>
    <m/>
  </r>
  <r>
    <x v="0"/>
    <x v="7"/>
    <x v="0"/>
    <x v="1"/>
    <x v="2"/>
    <x v="21"/>
    <n v="18000"/>
    <x v="4"/>
    <x v="1"/>
    <x v="2"/>
    <s v="dům"/>
    <x v="15"/>
    <s v="ne"/>
    <x v="0"/>
    <x v="30"/>
    <n v="1000"/>
    <s v="ne"/>
    <s v="ne"/>
    <x v="0"/>
    <x v="21"/>
    <s v="ne"/>
    <s v="ne"/>
    <x v="0"/>
    <x v="1"/>
    <m/>
  </r>
  <r>
    <x v="1"/>
    <x v="6"/>
    <x v="0"/>
    <x v="1"/>
    <x v="2"/>
    <x v="7"/>
    <n v="7600"/>
    <x v="4"/>
    <x v="1"/>
    <x v="5"/>
    <s v="dům"/>
    <x v="15"/>
    <n v="300"/>
    <x v="0"/>
    <x v="72"/>
    <s v="ne"/>
    <s v="ne"/>
    <s v="ne"/>
    <x v="0"/>
    <x v="21"/>
    <s v="ne"/>
    <s v="ne"/>
    <x v="0"/>
    <x v="0"/>
    <m/>
  </r>
  <r>
    <x v="1"/>
    <x v="14"/>
    <x v="1"/>
    <x v="0"/>
    <x v="1"/>
    <x v="6"/>
    <n v="19000"/>
    <x v="33"/>
    <x v="3"/>
    <x v="1"/>
    <s v="byt"/>
    <x v="15"/>
    <s v="ne"/>
    <x v="0"/>
    <x v="38"/>
    <s v="ne"/>
    <s v="ne"/>
    <n v="200000"/>
    <x v="0"/>
    <x v="0"/>
    <s v="ne"/>
    <s v="ne"/>
    <x v="38"/>
    <x v="30"/>
    <m/>
  </r>
  <r>
    <x v="1"/>
    <x v="35"/>
    <x v="1"/>
    <x v="1"/>
    <x v="1"/>
    <x v="2"/>
    <n v="6700"/>
    <x v="66"/>
    <x v="2"/>
    <x v="2"/>
    <s v="u rodičů"/>
    <x v="2"/>
    <n v="300"/>
    <x v="0"/>
    <x v="73"/>
    <n v="500"/>
    <s v="ne"/>
    <s v="ne"/>
    <x v="0"/>
    <x v="0"/>
    <s v="ne"/>
    <s v="ne"/>
    <x v="0"/>
    <x v="0"/>
    <m/>
  </r>
  <r>
    <x v="0"/>
    <x v="28"/>
    <x v="1"/>
    <x v="1"/>
    <x v="2"/>
    <x v="14"/>
    <n v="33280"/>
    <x v="67"/>
    <x v="2"/>
    <x v="6"/>
    <s v="byt"/>
    <x v="3"/>
    <n v="300"/>
    <x v="0"/>
    <x v="74"/>
    <n v="3000"/>
    <s v="ne"/>
    <s v="ne"/>
    <x v="0"/>
    <x v="0"/>
    <s v="ne"/>
    <s v="ne"/>
    <x v="44"/>
    <x v="0"/>
    <m/>
  </r>
  <r>
    <x v="1"/>
    <x v="6"/>
    <x v="1"/>
    <x v="1"/>
    <x v="2"/>
    <x v="52"/>
    <n v="10200"/>
    <x v="4"/>
    <x v="1"/>
    <x v="1"/>
    <s v="byt"/>
    <x v="3"/>
    <n v="300"/>
    <x v="0"/>
    <x v="75"/>
    <s v="ne"/>
    <s v="ne"/>
    <s v="ne"/>
    <x v="0"/>
    <x v="0"/>
    <s v="ne"/>
    <s v="ne"/>
    <x v="0"/>
    <x v="0"/>
    <m/>
  </r>
  <r>
    <x v="1"/>
    <x v="19"/>
    <x v="2"/>
    <x v="0"/>
    <x v="2"/>
    <x v="21"/>
    <n v="14000"/>
    <x v="68"/>
    <x v="1"/>
    <x v="2"/>
    <s v="byt"/>
    <x v="33"/>
    <s v="ne"/>
    <x v="0"/>
    <x v="76"/>
    <n v="2000"/>
    <s v="ne"/>
    <s v="ne"/>
    <x v="0"/>
    <x v="0"/>
    <s v="ne"/>
    <s v="ne"/>
    <x v="4"/>
    <x v="0"/>
    <m/>
  </r>
  <r>
    <x v="1"/>
    <x v="23"/>
    <x v="2"/>
    <x v="1"/>
    <x v="2"/>
    <x v="12"/>
    <n v="25000"/>
    <x v="4"/>
    <x v="3"/>
    <x v="2"/>
    <s v="dům"/>
    <x v="1"/>
    <n v="300"/>
    <x v="0"/>
    <x v="77"/>
    <n v="1500"/>
    <s v="ne"/>
    <s v="ne"/>
    <x v="0"/>
    <x v="0"/>
    <s v="ne"/>
    <s v="ne"/>
    <x v="45"/>
    <x v="0"/>
    <m/>
  </r>
  <r>
    <x v="1"/>
    <x v="23"/>
    <x v="0"/>
    <x v="2"/>
    <x v="0"/>
    <x v="27"/>
    <n v="17500"/>
    <x v="69"/>
    <x v="3"/>
    <x v="0"/>
    <s v="dům"/>
    <x v="34"/>
    <n v="300"/>
    <x v="0"/>
    <x v="78"/>
    <s v="ne"/>
    <s v="ne"/>
    <s v="ne"/>
    <x v="2"/>
    <x v="0"/>
    <s v="ne"/>
    <s v="ne"/>
    <x v="46"/>
    <x v="31"/>
    <m/>
  </r>
  <r>
    <x v="0"/>
    <x v="23"/>
    <x v="0"/>
    <x v="2"/>
    <x v="0"/>
    <x v="11"/>
    <n v="17500"/>
    <x v="70"/>
    <x v="1"/>
    <x v="2"/>
    <s v="dům"/>
    <x v="34"/>
    <n v="300"/>
    <x v="0"/>
    <x v="79"/>
    <s v="ne"/>
    <s v="ne"/>
    <s v="ne"/>
    <x v="2"/>
    <x v="0"/>
    <s v="ne"/>
    <s v="ne"/>
    <x v="0"/>
    <x v="0"/>
    <m/>
  </r>
  <r>
    <x v="1"/>
    <x v="28"/>
    <x v="0"/>
    <x v="1"/>
    <x v="2"/>
    <x v="41"/>
    <n v="19000"/>
    <x v="4"/>
    <x v="1"/>
    <x v="2"/>
    <s v="dům"/>
    <x v="3"/>
    <s v="ne"/>
    <x v="0"/>
    <x v="80"/>
    <s v="ne"/>
    <s v="ne"/>
    <s v="ne"/>
    <x v="0"/>
    <x v="29"/>
    <n v="130000"/>
    <s v="ne"/>
    <x v="0"/>
    <x v="0"/>
    <m/>
  </r>
  <r>
    <x v="0"/>
    <x v="11"/>
    <x v="0"/>
    <x v="1"/>
    <x v="2"/>
    <x v="53"/>
    <n v="30600"/>
    <x v="4"/>
    <x v="1"/>
    <x v="2"/>
    <s v="dům"/>
    <x v="3"/>
    <s v="ne"/>
    <x v="0"/>
    <x v="0"/>
    <s v="ne"/>
    <s v="ne"/>
    <s v="ne"/>
    <x v="0"/>
    <x v="29"/>
    <n v="130000"/>
    <s v="ne"/>
    <x v="0"/>
    <x v="0"/>
    <m/>
  </r>
  <r>
    <x v="1"/>
    <x v="5"/>
    <x v="0"/>
    <x v="1"/>
    <x v="2"/>
    <x v="54"/>
    <n v="15900"/>
    <x v="71"/>
    <x v="1"/>
    <x v="5"/>
    <s v="dům"/>
    <x v="29"/>
    <n v="100"/>
    <x v="0"/>
    <x v="81"/>
    <s v="ne"/>
    <s v="ne"/>
    <s v="ne"/>
    <x v="0"/>
    <x v="30"/>
    <s v="ne"/>
    <s v="ne"/>
    <x v="0"/>
    <x v="32"/>
    <m/>
  </r>
  <r>
    <x v="0"/>
    <x v="10"/>
    <x v="0"/>
    <x v="1"/>
    <x v="2"/>
    <x v="11"/>
    <n v="15900"/>
    <x v="57"/>
    <x v="1"/>
    <x v="1"/>
    <s v="dům"/>
    <x v="29"/>
    <n v="300"/>
    <x v="0"/>
    <x v="82"/>
    <s v="ne"/>
    <s v="ne"/>
    <s v="ne"/>
    <x v="0"/>
    <x v="30"/>
    <s v="ne"/>
    <s v="ne"/>
    <x v="0"/>
    <x v="33"/>
    <m/>
  </r>
  <r>
    <x v="1"/>
    <x v="11"/>
    <x v="0"/>
    <x v="2"/>
    <x v="3"/>
    <x v="7"/>
    <n v="7600"/>
    <x v="4"/>
    <x v="3"/>
    <x v="5"/>
    <s v="dům"/>
    <x v="15"/>
    <s v="ne"/>
    <x v="0"/>
    <x v="83"/>
    <s v="ne"/>
    <s v="ne"/>
    <s v="ne"/>
    <x v="0"/>
    <x v="31"/>
    <s v="ne"/>
    <s v="ne"/>
    <x v="47"/>
    <x v="34"/>
    <m/>
  </r>
  <r>
    <x v="0"/>
    <x v="15"/>
    <x v="0"/>
    <x v="2"/>
    <x v="3"/>
    <x v="55"/>
    <n v="32400"/>
    <x v="72"/>
    <x v="3"/>
    <x v="6"/>
    <s v="dům"/>
    <x v="15"/>
    <s v="ne"/>
    <x v="0"/>
    <x v="0"/>
    <s v="ne"/>
    <s v="ne"/>
    <s v="ne"/>
    <x v="0"/>
    <x v="31"/>
    <s v="ne"/>
    <s v="ne"/>
    <x v="0"/>
    <x v="0"/>
    <m/>
  </r>
  <r>
    <x v="0"/>
    <x v="14"/>
    <x v="1"/>
    <x v="1"/>
    <x v="0"/>
    <x v="25"/>
    <n v="18000"/>
    <x v="5"/>
    <x v="4"/>
    <x v="4"/>
    <s v="dům"/>
    <x v="27"/>
    <n v="100"/>
    <x v="0"/>
    <x v="36"/>
    <s v="ne"/>
    <s v="ne"/>
    <s v="ne"/>
    <x v="0"/>
    <x v="0"/>
    <n v="300000"/>
    <s v="ne"/>
    <x v="0"/>
    <x v="10"/>
    <m/>
  </r>
  <r>
    <x v="1"/>
    <x v="11"/>
    <x v="1"/>
    <x v="1"/>
    <x v="0"/>
    <x v="0"/>
    <n v="14000"/>
    <x v="4"/>
    <x v="1"/>
    <x v="0"/>
    <s v="dům"/>
    <x v="27"/>
    <n v="100"/>
    <x v="0"/>
    <x v="36"/>
    <s v="ne"/>
    <s v="ne"/>
    <s v="ne"/>
    <x v="0"/>
    <x v="0"/>
    <n v="200000"/>
    <s v="ne"/>
    <x v="0"/>
    <x v="0"/>
    <m/>
  </r>
  <r>
    <x v="1"/>
    <x v="11"/>
    <x v="0"/>
    <x v="1"/>
    <x v="0"/>
    <x v="46"/>
    <n v="27500"/>
    <x v="73"/>
    <x v="1"/>
    <x v="6"/>
    <s v="dům"/>
    <x v="9"/>
    <n v="500"/>
    <x v="0"/>
    <x v="21"/>
    <n v="5000"/>
    <s v="ne"/>
    <s v="ne"/>
    <x v="2"/>
    <x v="2"/>
    <s v="ne"/>
    <n v="350000"/>
    <x v="48"/>
    <x v="11"/>
    <m/>
  </r>
  <r>
    <x v="0"/>
    <x v="18"/>
    <x v="0"/>
    <x v="2"/>
    <x v="0"/>
    <x v="14"/>
    <n v="27500"/>
    <x v="74"/>
    <x v="3"/>
    <x v="2"/>
    <s v="dům"/>
    <x v="3"/>
    <n v="500"/>
    <x v="0"/>
    <x v="84"/>
    <s v="ne"/>
    <s v="ne"/>
    <s v="ne"/>
    <x v="2"/>
    <x v="0"/>
    <s v="ne"/>
    <s v="ne"/>
    <x v="0"/>
    <x v="0"/>
    <m/>
  </r>
  <r>
    <x v="1"/>
    <x v="28"/>
    <x v="0"/>
    <x v="0"/>
    <x v="0"/>
    <x v="41"/>
    <n v="19000"/>
    <x v="4"/>
    <x v="1"/>
    <x v="2"/>
    <s v="byt"/>
    <x v="3"/>
    <s v="ne"/>
    <x v="0"/>
    <x v="0"/>
    <s v="ne"/>
    <s v="ne"/>
    <s v="ne"/>
    <x v="1"/>
    <x v="0"/>
    <n v="125000"/>
    <s v="ne"/>
    <x v="21"/>
    <x v="33"/>
    <m/>
  </r>
  <r>
    <x v="0"/>
    <x v="11"/>
    <x v="0"/>
    <x v="0"/>
    <x v="0"/>
    <x v="36"/>
    <n v="27000"/>
    <x v="4"/>
    <x v="1"/>
    <x v="2"/>
    <s v="byt"/>
    <x v="3"/>
    <s v="ne"/>
    <x v="0"/>
    <x v="0"/>
    <s v="ne"/>
    <s v="ne"/>
    <s v="ne"/>
    <x v="1"/>
    <x v="0"/>
    <n v="125000"/>
    <s v="ne"/>
    <x v="0"/>
    <x v="0"/>
    <m/>
  </r>
  <r>
    <x v="1"/>
    <x v="24"/>
    <x v="0"/>
    <x v="0"/>
    <x v="0"/>
    <x v="34"/>
    <n v="11450"/>
    <x v="75"/>
    <x v="0"/>
    <x v="1"/>
    <s v="dům"/>
    <x v="5"/>
    <s v="ne"/>
    <x v="0"/>
    <x v="26"/>
    <n v="1000"/>
    <s v="ne"/>
    <s v="ne"/>
    <x v="0"/>
    <x v="30"/>
    <s v="ne"/>
    <s v="ne"/>
    <x v="0"/>
    <x v="0"/>
    <m/>
  </r>
  <r>
    <x v="0"/>
    <x v="24"/>
    <x v="0"/>
    <x v="0"/>
    <x v="0"/>
    <x v="10"/>
    <n v="11450"/>
    <x v="76"/>
    <x v="0"/>
    <x v="1"/>
    <s v="dům"/>
    <x v="5"/>
    <s v="ne"/>
    <x v="0"/>
    <x v="85"/>
    <n v="500"/>
    <s v="ne"/>
    <s v="ne"/>
    <x v="0"/>
    <x v="30"/>
    <s v="ne"/>
    <s v="ne"/>
    <x v="49"/>
    <x v="35"/>
    <m/>
  </r>
  <r>
    <x v="1"/>
    <x v="18"/>
    <x v="0"/>
    <x v="1"/>
    <x v="0"/>
    <x v="56"/>
    <n v="21400"/>
    <x v="4"/>
    <x v="2"/>
    <x v="2"/>
    <s v="dům"/>
    <x v="35"/>
    <s v="ne"/>
    <x v="0"/>
    <x v="86"/>
    <s v="ne"/>
    <s v="ne"/>
    <n v="500000"/>
    <x v="1"/>
    <x v="0"/>
    <s v="ne"/>
    <s v="ne"/>
    <x v="0"/>
    <x v="36"/>
    <m/>
  </r>
  <r>
    <x v="0"/>
    <x v="27"/>
    <x v="0"/>
    <x v="1"/>
    <x v="0"/>
    <x v="57"/>
    <n v="34600"/>
    <x v="77"/>
    <x v="3"/>
    <x v="2"/>
    <s v="dům"/>
    <x v="35"/>
    <s v="ne"/>
    <x v="0"/>
    <x v="87"/>
    <s v="ne"/>
    <s v="ne"/>
    <n v="500000"/>
    <x v="1"/>
    <x v="0"/>
    <s v="ne"/>
    <s v="ne"/>
    <x v="50"/>
    <x v="37"/>
    <m/>
  </r>
  <r>
    <x v="1"/>
    <x v="7"/>
    <x v="0"/>
    <x v="1"/>
    <x v="0"/>
    <x v="58"/>
    <n v="10100"/>
    <x v="4"/>
    <x v="1"/>
    <x v="5"/>
    <s v="dům"/>
    <x v="3"/>
    <n v="300"/>
    <x v="0"/>
    <x v="88"/>
    <s v="ne"/>
    <s v="ne"/>
    <s v="ne"/>
    <x v="0"/>
    <x v="21"/>
    <n v="150000"/>
    <s v="ne"/>
    <x v="30"/>
    <x v="38"/>
    <m/>
  </r>
  <r>
    <x v="0"/>
    <x v="23"/>
    <x v="0"/>
    <x v="1"/>
    <x v="0"/>
    <x v="16"/>
    <n v="22000"/>
    <x v="4"/>
    <x v="1"/>
    <x v="0"/>
    <s v="dům"/>
    <x v="3"/>
    <n v="300"/>
    <x v="0"/>
    <x v="0"/>
    <s v="ne"/>
    <s v="ne"/>
    <s v="ne"/>
    <x v="0"/>
    <x v="21"/>
    <n v="150000"/>
    <s v="ne"/>
    <x v="0"/>
    <x v="0"/>
    <m/>
  </r>
  <r>
    <x v="1"/>
    <x v="25"/>
    <x v="2"/>
    <x v="1"/>
    <x v="2"/>
    <x v="9"/>
    <n v="25000"/>
    <x v="2"/>
    <x v="1"/>
    <x v="0"/>
    <s v="nájem"/>
    <x v="7"/>
    <n v="500"/>
    <x v="0"/>
    <x v="41"/>
    <s v="ne"/>
    <s v="ne"/>
    <s v="ne"/>
    <x v="0"/>
    <x v="0"/>
    <s v="ne"/>
    <s v="ne"/>
    <x v="51"/>
    <x v="39"/>
    <m/>
  </r>
  <r>
    <x v="1"/>
    <x v="28"/>
    <x v="0"/>
    <x v="1"/>
    <x v="0"/>
    <x v="2"/>
    <n v="15000"/>
    <x v="4"/>
    <x v="3"/>
    <x v="1"/>
    <s v="dům"/>
    <x v="25"/>
    <n v="1000"/>
    <x v="0"/>
    <x v="89"/>
    <n v="1500"/>
    <s v="ne"/>
    <n v="1500000"/>
    <x v="0"/>
    <x v="32"/>
    <s v="ne"/>
    <s v="ne"/>
    <x v="52"/>
    <x v="14"/>
    <m/>
  </r>
  <r>
    <x v="0"/>
    <x v="11"/>
    <x v="0"/>
    <x v="1"/>
    <x v="0"/>
    <x v="47"/>
    <n v="22000"/>
    <x v="59"/>
    <x v="1"/>
    <x v="2"/>
    <s v="dům"/>
    <x v="25"/>
    <n v="1000"/>
    <x v="0"/>
    <x v="24"/>
    <s v="ne"/>
    <s v="ne"/>
    <n v="1500000"/>
    <x v="0"/>
    <x v="32"/>
    <s v="ne"/>
    <s v="ne"/>
    <x v="43"/>
    <x v="0"/>
    <m/>
  </r>
  <r>
    <x v="0"/>
    <x v="8"/>
    <x v="1"/>
    <x v="1"/>
    <x v="1"/>
    <x v="11"/>
    <n v="17000"/>
    <x v="6"/>
    <x v="1"/>
    <x v="1"/>
    <s v="u rodičů"/>
    <x v="3"/>
    <n v="300"/>
    <x v="0"/>
    <x v="90"/>
    <s v="ne"/>
    <s v="ne"/>
    <s v="ne"/>
    <x v="0"/>
    <x v="0"/>
    <s v="ne"/>
    <s v="ne"/>
    <x v="0"/>
    <x v="0"/>
    <m/>
  </r>
  <r>
    <x v="1"/>
    <x v="2"/>
    <x v="2"/>
    <x v="1"/>
    <x v="2"/>
    <x v="26"/>
    <n v="16000"/>
    <x v="4"/>
    <x v="0"/>
    <x v="1"/>
    <s v="dům"/>
    <x v="3"/>
    <n v="1000"/>
    <x v="0"/>
    <x v="19"/>
    <s v="ne"/>
    <s v="ne"/>
    <s v="ne"/>
    <x v="0"/>
    <x v="0"/>
    <s v="ne"/>
    <s v="ne"/>
    <x v="0"/>
    <x v="0"/>
    <m/>
  </r>
  <r>
    <x v="1"/>
    <x v="8"/>
    <x v="0"/>
    <x v="1"/>
    <x v="2"/>
    <x v="45"/>
    <n v="10000"/>
    <x v="4"/>
    <x v="3"/>
    <x v="2"/>
    <s v="byt"/>
    <x v="3"/>
    <n v="300"/>
    <x v="0"/>
    <x v="45"/>
    <n v="500"/>
    <s v="ne"/>
    <s v="ne"/>
    <x v="0"/>
    <x v="30"/>
    <s v="ne"/>
    <s v="ne"/>
    <x v="53"/>
    <x v="40"/>
    <m/>
  </r>
  <r>
    <x v="0"/>
    <x v="34"/>
    <x v="0"/>
    <x v="1"/>
    <x v="2"/>
    <x v="27"/>
    <n v="17700"/>
    <x v="78"/>
    <x v="1"/>
    <x v="1"/>
    <s v="byt"/>
    <x v="3"/>
    <n v="300"/>
    <x v="0"/>
    <x v="91"/>
    <s v="ne"/>
    <s v="ne"/>
    <s v="ne"/>
    <x v="0"/>
    <x v="30"/>
    <s v="ne"/>
    <s v="ne"/>
    <x v="0"/>
    <x v="0"/>
    <m/>
  </r>
  <r>
    <x v="1"/>
    <x v="11"/>
    <x v="2"/>
    <x v="1"/>
    <x v="3"/>
    <x v="20"/>
    <n v="14000"/>
    <x v="17"/>
    <x v="1"/>
    <x v="4"/>
    <s v="byt"/>
    <x v="29"/>
    <n v="500"/>
    <x v="1"/>
    <x v="92"/>
    <s v="ne"/>
    <s v="ne"/>
    <s v="ne"/>
    <x v="0"/>
    <x v="0"/>
    <n v="100000"/>
    <s v="ne"/>
    <x v="0"/>
    <x v="0"/>
    <m/>
  </r>
  <r>
    <x v="0"/>
    <x v="24"/>
    <x v="1"/>
    <x v="2"/>
    <x v="1"/>
    <x v="36"/>
    <n v="20000"/>
    <x v="23"/>
    <x v="1"/>
    <x v="2"/>
    <s v="byt"/>
    <x v="7"/>
    <n v="500"/>
    <x v="0"/>
    <x v="93"/>
    <n v="500"/>
    <s v="ne"/>
    <s v="ne"/>
    <x v="0"/>
    <x v="0"/>
    <s v="ne"/>
    <s v="ne"/>
    <x v="32"/>
    <x v="0"/>
    <m/>
  </r>
  <r>
    <x v="1"/>
    <x v="24"/>
    <x v="0"/>
    <x v="1"/>
    <x v="3"/>
    <x v="9"/>
    <n v="22500"/>
    <x v="32"/>
    <x v="1"/>
    <x v="6"/>
    <s v="dům"/>
    <x v="6"/>
    <n v="500"/>
    <x v="0"/>
    <x v="94"/>
    <n v="1000"/>
    <s v="ne"/>
    <n v="1600000"/>
    <x v="1"/>
    <x v="33"/>
    <n v="50000"/>
    <s v="ne"/>
    <x v="54"/>
    <x v="41"/>
    <m/>
  </r>
  <r>
    <x v="0"/>
    <x v="18"/>
    <x v="0"/>
    <x v="1"/>
    <x v="3"/>
    <x v="15"/>
    <n v="22500"/>
    <x v="4"/>
    <x v="0"/>
    <x v="1"/>
    <s v="dům"/>
    <x v="6"/>
    <n v="600"/>
    <x v="1"/>
    <x v="95"/>
    <n v="1500"/>
    <s v="ne"/>
    <n v="1000000"/>
    <x v="9"/>
    <x v="33"/>
    <n v="50000"/>
    <s v="ne"/>
    <x v="55"/>
    <x v="42"/>
    <m/>
  </r>
  <r>
    <x v="1"/>
    <x v="28"/>
    <x v="0"/>
    <x v="1"/>
    <x v="0"/>
    <x v="5"/>
    <n v="35000"/>
    <x v="4"/>
    <x v="3"/>
    <x v="6"/>
    <s v="dům"/>
    <x v="36"/>
    <n v="1500"/>
    <x v="0"/>
    <x v="30"/>
    <s v="ne"/>
    <n v="200000"/>
    <n v="1750000"/>
    <x v="0"/>
    <x v="0"/>
    <s v="ne"/>
    <s v="ne"/>
    <x v="56"/>
    <x v="43"/>
    <m/>
  </r>
  <r>
    <x v="0"/>
    <x v="27"/>
    <x v="0"/>
    <x v="1"/>
    <x v="0"/>
    <x v="59"/>
    <n v="35000"/>
    <x v="79"/>
    <x v="3"/>
    <x v="4"/>
    <s v="dům"/>
    <x v="36"/>
    <n v="1500"/>
    <x v="0"/>
    <x v="30"/>
    <s v="ne"/>
    <s v="ne"/>
    <n v="1750000"/>
    <x v="0"/>
    <x v="0"/>
    <s v="ne"/>
    <s v="ne"/>
    <x v="0"/>
    <x v="4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5">
  <r>
    <n v="53"/>
    <s v="ženatý/vdaná"/>
    <s v="Středočeský kraj - Kladno"/>
    <n v="2"/>
    <n v="14000"/>
    <n v="18700"/>
    <n v="-4700"/>
    <x v="0"/>
    <s v="pracovník/ce v administrativě"/>
    <x v="0"/>
    <n v="1500000"/>
    <n v="1000"/>
    <s v="ne"/>
    <s v="ne"/>
    <n v="1380"/>
    <n v="550000"/>
    <s v="ne"/>
    <s v="ne"/>
    <s v="ne"/>
    <s v="ne"/>
    <s v="ne"/>
    <s v="ne"/>
    <s v="ne"/>
    <m/>
  </r>
  <r>
    <n v="23"/>
    <s v="svobodný/á"/>
    <s v="Středočeský kraj - Kladno"/>
    <n v="0"/>
    <n v="10500"/>
    <n v="7200"/>
    <n v="3300"/>
    <x v="1"/>
    <s v="manuální pracovník/ce"/>
    <x v="1"/>
    <n v="20000"/>
    <n v="300"/>
    <s v="ne"/>
    <s v="ne"/>
    <s v="ne"/>
    <s v="ne"/>
    <s v="ne"/>
    <n v="1700"/>
    <s v="ne"/>
    <s v="ne"/>
    <s v="ne"/>
    <s v="ne"/>
    <s v="ne"/>
    <m/>
  </r>
  <r>
    <n v="51"/>
    <s v="ženatý/vdaná"/>
    <s v="Středočeský kraj - Kladno"/>
    <n v="2"/>
    <n v="15000"/>
    <n v="10000"/>
    <n v="5000"/>
    <x v="1"/>
    <s v="státní zaměstnanec/kyně"/>
    <x v="1"/>
    <n v="30000"/>
    <n v="500"/>
    <s v="ne"/>
    <n v="350"/>
    <n v="1300"/>
    <s v="ne"/>
    <s v="ne"/>
    <n v="1500"/>
    <s v="ne"/>
    <s v="ne"/>
    <s v="ne"/>
    <s v="ne"/>
    <s v="ne"/>
    <m/>
  </r>
  <r>
    <n v="62"/>
    <s v="ženatý/vdaná"/>
    <s v="Středočeský kraj - obec"/>
    <n v="1"/>
    <n v="33000"/>
    <n v="15000"/>
    <n v="18000"/>
    <x v="1"/>
    <s v="pracovník/ce v administrativě"/>
    <x v="0"/>
    <n v="0"/>
    <n v="500"/>
    <s v="ne"/>
    <s v="ne"/>
    <s v="ne"/>
    <s v="ne"/>
    <s v="ne"/>
    <s v="ne"/>
    <s v="ne"/>
    <s v="ne"/>
    <s v="ne"/>
    <n v="372"/>
    <s v="ne"/>
    <m/>
  </r>
  <r>
    <n v="28"/>
    <s v="svobodný/á"/>
    <s v="Středočeský kraj - obec"/>
    <n v="0"/>
    <n v="0"/>
    <n v="0"/>
    <n v="0"/>
    <x v="2"/>
    <s v="nezaměstnaný/á"/>
    <x v="2"/>
    <n v="0"/>
    <n v="300"/>
    <s v="ne"/>
    <s v="ne"/>
    <s v="ne"/>
    <s v="ne"/>
    <s v="ne"/>
    <s v="ne"/>
    <s v="ne"/>
    <s v="ne"/>
    <s v="ne"/>
    <s v="ne"/>
    <s v="ne"/>
    <m/>
  </r>
  <r>
    <n v="29"/>
    <s v="svobodný/á"/>
    <s v="Středočeský kraj - Kladno"/>
    <n v="0"/>
    <n v="35000"/>
    <n v="24000"/>
    <n v="11000"/>
    <x v="3"/>
    <s v="manažer/ka, ředitel/ka"/>
    <x v="1"/>
    <n v="30000"/>
    <n v="1000"/>
    <s v="ne"/>
    <n v="350"/>
    <s v="ne"/>
    <s v="ne"/>
    <s v="ne"/>
    <s v="ne"/>
    <s v="ne"/>
    <n v="150000"/>
    <s v="ne"/>
    <s v="ne"/>
    <s v="ne"/>
    <m/>
  </r>
  <r>
    <n v="31"/>
    <s v="ženatý/vdaná"/>
    <s v="Středočeský kraj - obec"/>
    <n v="1"/>
    <n v="34000"/>
    <n v="28000"/>
    <n v="6000"/>
    <x v="3"/>
    <s v="pracovník/ce v administrativě"/>
    <x v="0"/>
    <n v="150000"/>
    <n v="1000"/>
    <s v="ne"/>
    <s v="ne"/>
    <s v="ne"/>
    <s v="ne"/>
    <s v="ne"/>
    <s v="ne"/>
    <n v="1750000"/>
    <s v="ne"/>
    <s v="ne"/>
    <n v="250"/>
    <n v="300"/>
    <m/>
  </r>
  <r>
    <n v="30"/>
    <s v="ženatý/vdaná"/>
    <s v="Středočeský kraj - obec"/>
    <n v="1"/>
    <n v="34000"/>
    <n v="28000"/>
    <n v="6000"/>
    <x v="3"/>
    <s v="pracovník/ce v administrativě"/>
    <x v="0"/>
    <n v="150000"/>
    <n v="300"/>
    <s v="ne"/>
    <s v="ne"/>
    <s v="ne"/>
    <s v="ne"/>
    <s v="ne"/>
    <s v="ne"/>
    <n v="1750000"/>
    <s v="ne"/>
    <s v="ne"/>
    <s v="ne"/>
    <s v="ne"/>
    <m/>
  </r>
  <r>
    <n v="27"/>
    <s v="svobodný/á"/>
    <s v="Středočeský kraj - obec"/>
    <n v="1"/>
    <n v="7600"/>
    <n v="7600"/>
    <n v="0"/>
    <x v="1"/>
    <s v="mateřská dovolená"/>
    <x v="0"/>
    <n v="0"/>
    <n v="300"/>
    <s v="ne"/>
    <n v="742"/>
    <s v="ne"/>
    <s v="ne"/>
    <s v="ne"/>
    <s v="ne"/>
    <s v="ne"/>
    <s v="ne"/>
    <s v="ne"/>
    <s v="ne"/>
    <s v="ne"/>
    <m/>
  </r>
  <r>
    <n v="28"/>
    <s v="svobodný/á"/>
    <s v="Středočeský kraj - Kladno"/>
    <n v="0"/>
    <n v="13200"/>
    <n v="9600"/>
    <n v="3600"/>
    <x v="2"/>
    <s v="manuální pracovník/ce"/>
    <x v="2"/>
    <n v="10000"/>
    <n v="300"/>
    <s v="ne"/>
    <n v="666"/>
    <n v="500"/>
    <s v="ne"/>
    <s v="ne"/>
    <s v="ne"/>
    <s v="ne"/>
    <s v="ne"/>
    <s v="ne"/>
    <s v="ne"/>
    <s v="ne"/>
    <m/>
  </r>
  <r>
    <n v="47"/>
    <s v="svobodný/á"/>
    <s v="Středočeský kraj - obec"/>
    <n v="2"/>
    <n v="30000"/>
    <n v="36000"/>
    <n v="-6000"/>
    <x v="4"/>
    <s v="manuální pracovník/ce"/>
    <x v="0"/>
    <n v="0"/>
    <n v="500"/>
    <s v="ne"/>
    <n v="1295"/>
    <s v="ne"/>
    <s v="ne"/>
    <s v="ne"/>
    <s v="ne"/>
    <s v="ne"/>
    <s v="ne"/>
    <s v="ne"/>
    <n v="300"/>
    <n v="300"/>
    <m/>
  </r>
  <r>
    <n v="32"/>
    <s v="ženatý/vdaná"/>
    <s v="Středočeský kraj - obec"/>
    <n v="1"/>
    <n v="30000"/>
    <n v="32400"/>
    <n v="-2400"/>
    <x v="3"/>
    <s v="pracovník/ce v administrativě"/>
    <x v="1"/>
    <n v="25000"/>
    <s v="ne"/>
    <s v="ne"/>
    <n v="1791"/>
    <s v="ne"/>
    <s v="ne"/>
    <s v="ne"/>
    <s v="ne"/>
    <s v="ne"/>
    <s v="ne"/>
    <s v="ne"/>
    <s v="ne"/>
    <s v="ne"/>
    <m/>
  </r>
  <r>
    <n v="28"/>
    <s v="ženatý/vdaná"/>
    <s v="Středočeský kraj - obec"/>
    <n v="1"/>
    <n v="7600"/>
    <n v="7600"/>
    <n v="0"/>
    <x v="3"/>
    <s v="mateřská dovolená"/>
    <x v="1"/>
    <n v="25000"/>
    <s v="ne"/>
    <s v="ne"/>
    <s v="ne"/>
    <s v="ne"/>
    <s v="ne"/>
    <s v="ne"/>
    <s v="ne"/>
    <s v="ne"/>
    <s v="ne"/>
    <s v="ne"/>
    <s v="ne"/>
    <s v="ne"/>
    <m/>
  </r>
  <r>
    <n v="28"/>
    <s v="svobodný/á"/>
    <s v="Středočeský kraj - Kladno"/>
    <n v="0"/>
    <n v="21000"/>
    <n v="10000"/>
    <n v="11000"/>
    <x v="3"/>
    <s v="pracovník/ce v administrativě"/>
    <x v="3"/>
    <n v="10000"/>
    <n v="600"/>
    <s v="ne"/>
    <n v="782"/>
    <n v="2000"/>
    <s v="ne"/>
    <s v="ne"/>
    <n v="500"/>
    <n v="1100000"/>
    <s v="ne"/>
    <s v="ne"/>
    <n v="100"/>
    <s v="ne"/>
    <m/>
  </r>
  <r>
    <n v="27"/>
    <s v="svobodný/á"/>
    <s v="Středočeský kraj - obec"/>
    <n v="0"/>
    <n v="23000"/>
    <n v="15000"/>
    <n v="8000"/>
    <x v="3"/>
    <s v="pracovník/ce v administrativě"/>
    <x v="0"/>
    <n v="100000"/>
    <s v="ne"/>
    <s v="ne"/>
    <n v="660"/>
    <n v="500"/>
    <s v="ne"/>
    <s v="ne"/>
    <s v="ne"/>
    <s v="ne"/>
    <s v="ne"/>
    <s v="ne"/>
    <s v="ne"/>
    <n v="250"/>
    <m/>
  </r>
  <r>
    <n v="40"/>
    <s v="svobodný/á"/>
    <s v="Středočeský kraj - obec"/>
    <n v="2"/>
    <n v="25000"/>
    <n v="20000"/>
    <n v="5000"/>
    <x v="1"/>
    <s v="podnikatel/ka"/>
    <x v="0"/>
    <n v="0"/>
    <n v="500"/>
    <s v="ne"/>
    <n v="319"/>
    <s v="ne"/>
    <s v="ne"/>
    <s v="ne"/>
    <s v="ne"/>
    <n v="1000000"/>
    <s v="ne"/>
    <s v="ne"/>
    <s v="ne"/>
    <s v="ne"/>
    <m/>
  </r>
  <r>
    <n v="40"/>
    <s v="rozvedený/á"/>
    <s v="Středočeský kraj - obec"/>
    <n v="2"/>
    <n v="23800"/>
    <n v="20000"/>
    <n v="3800"/>
    <x v="0"/>
    <s v="podnikatel/ka"/>
    <x v="0"/>
    <n v="0"/>
    <s v="ne"/>
    <s v="ne"/>
    <n v="500"/>
    <s v="ne"/>
    <s v="ne"/>
    <s v="ne"/>
    <s v="ne"/>
    <n v="1000000"/>
    <s v="ne"/>
    <s v="ne"/>
    <n v="65"/>
    <s v="ne"/>
    <m/>
  </r>
  <r>
    <n v="48"/>
    <s v="svobodný/á"/>
    <s v="Praha"/>
    <n v="0"/>
    <n v="21000"/>
    <n v="19270"/>
    <n v="1730"/>
    <x v="3"/>
    <s v="pracovník/ce v administrativě"/>
    <x v="1"/>
    <n v="0"/>
    <n v="300"/>
    <s v="ne"/>
    <n v="1537"/>
    <s v="ne"/>
    <s v="ne"/>
    <s v="ne"/>
    <s v="ne"/>
    <s v="ne"/>
    <s v="ne"/>
    <s v="ne"/>
    <s v="ne"/>
    <s v="ne"/>
    <m/>
  </r>
  <r>
    <n v="26"/>
    <s v="svobodný/á"/>
    <s v="Praha"/>
    <n v="0"/>
    <n v="40000"/>
    <n v="28000"/>
    <n v="12000"/>
    <x v="1"/>
    <s v="podnikatel/ka"/>
    <x v="3"/>
    <n v="0"/>
    <s v="ne"/>
    <s v="ne"/>
    <s v="ne"/>
    <s v="ne"/>
    <s v="ne"/>
    <s v="ne"/>
    <s v="ne"/>
    <s v="ne"/>
    <s v="ne"/>
    <s v="ne"/>
    <s v="ne"/>
    <s v="ne"/>
    <m/>
  </r>
  <r>
    <n v="31"/>
    <s v="ženatý/vdaná"/>
    <s v="Středočeský kraj - Kladno"/>
    <n v="1"/>
    <n v="7600"/>
    <n v="7600"/>
    <n v="0"/>
    <x v="3"/>
    <s v="mateřská dovolená"/>
    <x v="1"/>
    <n v="20000"/>
    <n v="100"/>
    <s v="ne"/>
    <n v="690"/>
    <s v="ne"/>
    <s v="ne"/>
    <s v="ne"/>
    <s v="ne"/>
    <n v="525000"/>
    <s v="ne"/>
    <s v="ne"/>
    <s v="ne"/>
    <s v="ne"/>
    <m/>
  </r>
  <r>
    <n v="32"/>
    <s v="ženatý/vdaná"/>
    <s v="Středočeský kraj - Kladno"/>
    <n v="1"/>
    <n v="23000"/>
    <n v="32400"/>
    <n v="-9400"/>
    <x v="1"/>
    <s v="manuální pracovník/ce"/>
    <x v="1"/>
    <n v="20000"/>
    <n v="500"/>
    <s v="ne"/>
    <n v="695"/>
    <s v="ne"/>
    <s v="ne"/>
    <s v="ne"/>
    <n v="500"/>
    <n v="525000"/>
    <s v="ne"/>
    <s v="ne"/>
    <n v="95"/>
    <n v="380"/>
    <m/>
  </r>
  <r>
    <n v="27"/>
    <s v="svobodný/á"/>
    <s v="Středočeský kraj - obec"/>
    <n v="0"/>
    <n v="34000"/>
    <n v="10300"/>
    <n v="23700"/>
    <x v="1"/>
    <s v="manažer/ka, ředitel/ka"/>
    <x v="1"/>
    <n v="75000"/>
    <n v="100"/>
    <s v="ano"/>
    <n v="1295"/>
    <n v="500"/>
    <s v="ne"/>
    <s v="ne"/>
    <n v="1500"/>
    <s v="ne"/>
    <n v="15000"/>
    <s v="ne"/>
    <s v="ne"/>
    <s v="ne"/>
    <m/>
  </r>
  <r>
    <n v="28"/>
    <s v="svobodný/á"/>
    <s v="Středočeský kraj - obec"/>
    <n v="0"/>
    <n v="22500"/>
    <n v="10300"/>
    <n v="12200"/>
    <x v="3"/>
    <s v="pracovník/ce v administrativě"/>
    <x v="1"/>
    <n v="75000"/>
    <n v="300"/>
    <s v="ano"/>
    <n v="780"/>
    <n v="500"/>
    <s v="ne"/>
    <s v="ne"/>
    <n v="2400"/>
    <s v="ne"/>
    <n v="15000"/>
    <s v="ne"/>
    <s v="ne"/>
    <s v="ne"/>
    <m/>
  </r>
  <r>
    <n v="26"/>
    <s v="svobodný/á"/>
    <s v="Praha"/>
    <n v="0"/>
    <n v="21000"/>
    <n v="15000"/>
    <n v="6000"/>
    <x v="1"/>
    <s v="pracovník/ce v administrativě"/>
    <x v="3"/>
    <n v="0"/>
    <n v="200"/>
    <s v="ne"/>
    <n v="400"/>
    <s v="ne"/>
    <s v="ne"/>
    <s v="ne"/>
    <s v="ne"/>
    <s v="ne"/>
    <s v="ne"/>
    <s v="ne"/>
    <s v="ne"/>
    <s v="ne"/>
    <m/>
  </r>
  <r>
    <n v="32"/>
    <s v="svobodný/á"/>
    <s v="Praha"/>
    <n v="0"/>
    <n v="22000"/>
    <n v="12000"/>
    <n v="10000"/>
    <x v="3"/>
    <s v="státní zaměstnanec/kyně"/>
    <x v="1"/>
    <n v="0"/>
    <n v="350"/>
    <s v="ne"/>
    <n v="974"/>
    <s v="ne"/>
    <s v="ne"/>
    <s v="ne"/>
    <s v="ne"/>
    <n v="1000000"/>
    <s v="ne"/>
    <s v="ne"/>
    <n v="172"/>
    <n v="198"/>
    <m/>
  </r>
  <r>
    <n v="39"/>
    <s v="ženatý/vdaná"/>
    <s v="Středočeský kraj - obec"/>
    <n v="2"/>
    <n v="67000"/>
    <n v="41000"/>
    <n v="26000"/>
    <x v="3"/>
    <s v="pracovník/ce v administrativě"/>
    <x v="0"/>
    <n v="300000"/>
    <n v="1500"/>
    <s v="ne"/>
    <n v="1809"/>
    <n v="6100"/>
    <s v="ne"/>
    <s v="ne"/>
    <s v="ne"/>
    <s v="ne"/>
    <s v="ne"/>
    <s v="ne"/>
    <n v="150"/>
    <n v="375"/>
    <m/>
  </r>
  <r>
    <n v="43"/>
    <s v="ženatý/vdaná"/>
    <s v="Středočeský kraj - Kladno"/>
    <n v="2"/>
    <n v="30000"/>
    <n v="10000"/>
    <n v="20000"/>
    <x v="1"/>
    <s v="státní zaměstnanec/kyně"/>
    <x v="1"/>
    <n v="125000"/>
    <n v="1000"/>
    <s v="ne"/>
    <s v="ne"/>
    <s v="ne"/>
    <s v="ne"/>
    <s v="ne"/>
    <n v="1700"/>
    <s v="ne"/>
    <s v="ne"/>
    <s v="ne"/>
    <n v="350"/>
    <n v="355"/>
    <m/>
  </r>
  <r>
    <n v="44"/>
    <s v="ženatý/vdaná"/>
    <s v="Středočeský kraj - Kladno"/>
    <n v="2"/>
    <n v="12000"/>
    <n v="10000"/>
    <n v="2000"/>
    <x v="1"/>
    <s v="pracovník/ce v administrativě"/>
    <x v="1"/>
    <n v="125000"/>
    <n v="1000"/>
    <s v="ne"/>
    <s v="ne"/>
    <s v="ne"/>
    <s v="ne"/>
    <s v="ne"/>
    <n v="1700"/>
    <s v="ne"/>
    <s v="ne"/>
    <s v="ne"/>
    <s v="ne"/>
    <s v="ne"/>
    <m/>
  </r>
  <r>
    <n v="32"/>
    <s v="svobodný/á"/>
    <s v="Středočeský kraj - Kladno"/>
    <n v="1"/>
    <n v="35000"/>
    <n v="17800"/>
    <n v="17200"/>
    <x v="3"/>
    <s v="pracovník/ce v administrativě"/>
    <x v="0"/>
    <n v="35000"/>
    <n v="300"/>
    <s v="ne"/>
    <n v="950"/>
    <n v="2500"/>
    <s v="ne"/>
    <s v="ne"/>
    <s v="ne"/>
    <n v="1150000"/>
    <s v="ne"/>
    <s v="ne"/>
    <n v="213"/>
    <n v="380"/>
    <m/>
  </r>
  <r>
    <n v="32"/>
    <s v="svobodný/á"/>
    <s v="Středočeský kraj - Kladno"/>
    <n v="1"/>
    <n v="7600"/>
    <n v="7600"/>
    <n v="0"/>
    <x v="3"/>
    <s v="mateřská dovolená"/>
    <x v="0"/>
    <n v="35000"/>
    <n v="300"/>
    <s v="ne"/>
    <n v="895"/>
    <s v="ne"/>
    <s v="ne"/>
    <s v="ne"/>
    <s v="ne"/>
    <n v="1150000"/>
    <s v="ne"/>
    <s v="ne"/>
    <s v="ne"/>
    <s v="ne"/>
    <m/>
  </r>
  <r>
    <n v="28"/>
    <s v="svobodný/á"/>
    <s v="Praha"/>
    <n v="0"/>
    <n v="23000"/>
    <n v="17950"/>
    <n v="5050"/>
    <x v="3"/>
    <s v="pracovník/ce v administrativě"/>
    <x v="3"/>
    <n v="5000"/>
    <n v="300"/>
    <s v="ne"/>
    <n v="700"/>
    <n v="1000"/>
    <s v="ne"/>
    <s v="ne"/>
    <s v="ne"/>
    <s v="ne"/>
    <n v="52000"/>
    <s v="ne"/>
    <s v="ne"/>
    <s v="ne"/>
    <m/>
  </r>
  <r>
    <n v="39"/>
    <s v="rozvedený/á"/>
    <s v="Středočeský kraj - Kladno"/>
    <n v="1"/>
    <n v="17000"/>
    <n v="9000"/>
    <n v="8000"/>
    <x v="1"/>
    <s v="státní zaměstnanec/kyně"/>
    <x v="1"/>
    <n v="30000"/>
    <n v="300"/>
    <s v="ne"/>
    <n v="1728"/>
    <n v="600"/>
    <s v="ne"/>
    <s v="ne"/>
    <n v="400"/>
    <s v="ne"/>
    <s v="ne"/>
    <s v="ne"/>
    <n v="64"/>
    <s v="ne"/>
    <m/>
  </r>
  <r>
    <n v="28"/>
    <s v="svobodný/á"/>
    <s v="Praha"/>
    <n v="0"/>
    <n v="25000"/>
    <n v="15000"/>
    <n v="10000"/>
    <x v="3"/>
    <s v="pracovník/ce v administrativě"/>
    <x v="3"/>
    <n v="80000"/>
    <s v="ne"/>
    <s v="ne"/>
    <n v="900"/>
    <n v="500"/>
    <s v="ne"/>
    <s v="ne"/>
    <s v="ne"/>
    <s v="ne"/>
    <s v="ne"/>
    <s v="ne"/>
    <s v="ne"/>
    <s v="ne"/>
    <m/>
  </r>
  <r>
    <n v="39"/>
    <s v="svobodný/á"/>
    <s v="Středočeský kraj - obec"/>
    <n v="0"/>
    <n v="24000"/>
    <n v="17000"/>
    <n v="7000"/>
    <x v="0"/>
    <s v="manuální pracovník/ce"/>
    <x v="1"/>
    <n v="20000"/>
    <n v="300"/>
    <s v="ne"/>
    <n v="542"/>
    <s v="ne"/>
    <s v="ne"/>
    <s v="ne"/>
    <s v="ne"/>
    <n v="630000"/>
    <s v="ne"/>
    <s v="ne"/>
    <n v="141"/>
    <n v="372"/>
    <m/>
  </r>
  <r>
    <n v="34"/>
    <s v="ženatý/vdaná"/>
    <s v="Středočeský kraj - obec"/>
    <n v="1"/>
    <n v="18000"/>
    <n v="15770"/>
    <n v="2230"/>
    <x v="1"/>
    <s v="manuální pracovník/ce"/>
    <x v="1"/>
    <n v="20000"/>
    <s v="ne"/>
    <s v="ne"/>
    <n v="250"/>
    <n v="500"/>
    <s v="ne"/>
    <s v="ne"/>
    <s v="ne"/>
    <n v="404500"/>
    <s v="ne"/>
    <s v="ne"/>
    <n v="221"/>
    <n v="280"/>
    <m/>
  </r>
  <r>
    <n v="32"/>
    <s v="ženatý/vdaná"/>
    <s v="Středočeský kraj - obec"/>
    <n v="1"/>
    <n v="7600"/>
    <n v="7600"/>
    <n v="0"/>
    <x v="1"/>
    <s v="mateřská dovolená"/>
    <x v="1"/>
    <n v="20000"/>
    <s v="ne"/>
    <s v="ne"/>
    <s v="ne"/>
    <s v="ne"/>
    <s v="ne"/>
    <s v="ne"/>
    <s v="ne"/>
    <n v="404500"/>
    <s v="ne"/>
    <s v="ne"/>
    <s v="ne"/>
    <s v="ne"/>
    <m/>
  </r>
  <r>
    <n v="41"/>
    <s v="svobodný/á"/>
    <s v="Středočeský kraj - Kladno"/>
    <n v="0"/>
    <n v="15000"/>
    <n v="8000"/>
    <n v="7000"/>
    <x v="0"/>
    <s v="manuální pracovník/ce"/>
    <x v="1"/>
    <n v="0"/>
    <n v="100"/>
    <s v="ne"/>
    <n v="650"/>
    <s v="ne"/>
    <s v="ne"/>
    <s v="ne"/>
    <s v="ne"/>
    <n v="49000"/>
    <n v="294055"/>
    <s v="ne"/>
    <s v="ne"/>
    <s v="ne"/>
    <m/>
  </r>
  <r>
    <n v="23"/>
    <s v="svobodný/á"/>
    <s v="Středočeský kraj - obec"/>
    <n v="0"/>
    <n v="17200"/>
    <n v="9350"/>
    <n v="7850"/>
    <x v="1"/>
    <s v="státní zaměstnanec/kyně"/>
    <x v="2"/>
    <n v="0"/>
    <s v="ne"/>
    <s v="ne"/>
    <n v="430"/>
    <s v="ne"/>
    <s v="ne"/>
    <s v="ne"/>
    <s v="ne"/>
    <s v="ne"/>
    <s v="ne"/>
    <s v="ne"/>
    <s v="ne"/>
    <s v="ne"/>
    <m/>
  </r>
  <r>
    <n v="34"/>
    <s v="svobodný/á"/>
    <s v="Středočeský kraj - obec"/>
    <n v="0"/>
    <n v="26500"/>
    <n v="20550"/>
    <n v="5950"/>
    <x v="0"/>
    <s v="manuální pracovník/ce"/>
    <x v="2"/>
    <n v="0"/>
    <n v="300"/>
    <s v="ne"/>
    <n v="890"/>
    <n v="500"/>
    <s v="ne"/>
    <s v="ne"/>
    <s v="ne"/>
    <s v="ne"/>
    <s v="ne"/>
    <s v="ne"/>
    <s v="ne"/>
    <n v="222"/>
    <m/>
  </r>
  <r>
    <n v="44"/>
    <s v="ženatý/vdaná"/>
    <s v="Středočeský kraj - Kladno"/>
    <n v="2"/>
    <n v="30000"/>
    <n v="15600"/>
    <n v="14400"/>
    <x v="1"/>
    <s v="manuální pracovník/ce"/>
    <x v="0"/>
    <n v="20000"/>
    <n v="500"/>
    <s v="ne"/>
    <s v="ne"/>
    <s v="ne"/>
    <n v="500000"/>
    <n v="600000"/>
    <n v="1700"/>
    <n v="572500"/>
    <s v="ne"/>
    <s v="ne"/>
    <n v="370"/>
    <n v="210"/>
    <m/>
  </r>
  <r>
    <n v="47"/>
    <s v="ženatý/vdaná"/>
    <s v="Středočeský kraj - Kladno"/>
    <n v="2"/>
    <n v="17000"/>
    <n v="15600"/>
    <n v="1400"/>
    <x v="1"/>
    <s v="státní zaměstnanec/kyně"/>
    <x v="0"/>
    <n v="20000"/>
    <n v="100"/>
    <s v="ne"/>
    <s v="ne"/>
    <s v="ne"/>
    <s v="ne"/>
    <n v="600000"/>
    <s v="ne"/>
    <n v="572500"/>
    <s v="ne"/>
    <s v="ne"/>
    <s v="ne"/>
    <s v="ne"/>
    <m/>
  </r>
  <r>
    <n v="63"/>
    <s v="ženatý/vdaná"/>
    <s v="Praha"/>
    <n v="2"/>
    <n v="40398"/>
    <n v="13000"/>
    <n v="27398"/>
    <x v="3"/>
    <s v="státní zaměstnanec/kyně"/>
    <x v="1"/>
    <n v="400000"/>
    <n v="1000"/>
    <s v="ne"/>
    <n v="324"/>
    <s v="ne"/>
    <n v="100000"/>
    <n v="2000000"/>
    <s v="ne"/>
    <s v="ne"/>
    <s v="ne"/>
    <s v="ne"/>
    <n v="610"/>
    <s v="ne"/>
    <m/>
  </r>
  <r>
    <n v="36"/>
    <s v="svobodný/á"/>
    <s v="Praha"/>
    <n v="0"/>
    <n v="40000"/>
    <n v="20000"/>
    <n v="20000"/>
    <x v="3"/>
    <s v="podnikatel/ka"/>
    <x v="1"/>
    <n v="200000"/>
    <n v="500"/>
    <s v="ne"/>
    <n v="710"/>
    <s v="ne"/>
    <s v="ne"/>
    <n v="2000000"/>
    <s v="ne"/>
    <s v="ne"/>
    <s v="ne"/>
    <s v="ne"/>
    <n v="394"/>
    <s v="ne"/>
    <m/>
  </r>
  <r>
    <n v="48"/>
    <s v="rozvedený/á"/>
    <s v="Praha"/>
    <n v="1"/>
    <n v="29000"/>
    <n v="19070"/>
    <n v="9930"/>
    <x v="1"/>
    <s v="manažer/ka, ředitel/ka"/>
    <x v="1"/>
    <n v="35000"/>
    <n v="300"/>
    <s v="ano"/>
    <n v="650"/>
    <s v="ne"/>
    <s v="ne"/>
    <s v="ne"/>
    <n v="300"/>
    <s v="ne"/>
    <n v="550000"/>
    <s v="ne"/>
    <n v="314"/>
    <n v="208"/>
    <m/>
  </r>
  <r>
    <n v="30"/>
    <s v="svobodný/á"/>
    <s v="Středočeský kraj - Kladno"/>
    <n v="0"/>
    <n v="16000"/>
    <n v="11000"/>
    <n v="5000"/>
    <x v="3"/>
    <s v="manuální pracovník/ce"/>
    <x v="1"/>
    <n v="0"/>
    <n v="300"/>
    <s v="ne"/>
    <s v="ne"/>
    <n v="700"/>
    <s v="ne"/>
    <s v="ne"/>
    <s v="ne"/>
    <s v="ne"/>
    <s v="ne"/>
    <s v="ne"/>
    <s v="ne"/>
    <s v="ne"/>
    <m/>
  </r>
  <r>
    <n v="50"/>
    <s v="ženatý/vdaná"/>
    <s v="Středočeský kraj - obec"/>
    <n v="1"/>
    <n v="35000"/>
    <n v="7500"/>
    <n v="27500"/>
    <x v="0"/>
    <s v="manuální pracovník/ce"/>
    <x v="0"/>
    <n v="55000"/>
    <n v="300"/>
    <s v="ne"/>
    <n v="300"/>
    <s v="ne"/>
    <n v="100000"/>
    <s v="ne"/>
    <s v="ne"/>
    <s v="ne"/>
    <s v="ne"/>
    <s v="ne"/>
    <n v="300"/>
    <n v="600"/>
    <m/>
  </r>
  <r>
    <n v="48"/>
    <s v="ženatý/vdaná"/>
    <s v="Středočeský kraj - obec"/>
    <n v="1"/>
    <n v="15000"/>
    <n v="7500"/>
    <n v="7500"/>
    <x v="1"/>
    <s v="pracovník/ce v administrativě"/>
    <x v="0"/>
    <n v="55000"/>
    <n v="300"/>
    <s v="ano"/>
    <s v="ne"/>
    <n v="500"/>
    <s v="ne"/>
    <s v="ne"/>
    <s v="ne"/>
    <s v="ne"/>
    <s v="ne"/>
    <s v="ne"/>
    <s v="ne"/>
    <s v="ne"/>
    <m/>
  </r>
  <r>
    <n v="28"/>
    <s v="svobodný/á"/>
    <s v="Středočeský kraj - Kladno"/>
    <n v="0"/>
    <n v="25000"/>
    <n v="10000"/>
    <n v="15000"/>
    <x v="3"/>
    <s v="pracovník/ce v administrativě"/>
    <x v="3"/>
    <n v="30000"/>
    <n v="300"/>
    <s v="ne"/>
    <n v="1000"/>
    <n v="1500"/>
    <s v="ne"/>
    <s v="ne"/>
    <n v="1700"/>
    <s v="ne"/>
    <s v="ne"/>
    <s v="ne"/>
    <s v="ne"/>
    <n v="250"/>
    <m/>
  </r>
  <r>
    <n v="29"/>
    <s v="svobodný/á"/>
    <s v="Středočeský kraj - obec"/>
    <n v="0"/>
    <n v="20000"/>
    <n v="17000"/>
    <n v="3000"/>
    <x v="2"/>
    <s v="pracovník/ce v administrativě"/>
    <x v="1"/>
    <n v="30000"/>
    <n v="100"/>
    <s v="ne"/>
    <s v="ne"/>
    <s v="ne"/>
    <s v="ne"/>
    <s v="ne"/>
    <n v="100"/>
    <n v="1215000"/>
    <s v="ne"/>
    <s v="ne"/>
    <n v="120"/>
    <n v="200"/>
    <m/>
  </r>
  <r>
    <n v="65"/>
    <s v="ženatý/vdaná"/>
    <s v="Středočeský kraj - Kladno"/>
    <n v="1"/>
    <n v="32000"/>
    <n v="18200"/>
    <n v="13800"/>
    <x v="0"/>
    <s v="manuální pracovník/ce"/>
    <x v="1"/>
    <n v="10000"/>
    <s v="ne"/>
    <s v="ne"/>
    <s v="ne"/>
    <s v="ne"/>
    <s v="ne"/>
    <s v="ne"/>
    <s v="ne"/>
    <s v="ne"/>
    <s v="ne"/>
    <s v="ne"/>
    <s v="ne"/>
    <s v="ne"/>
    <m/>
  </r>
  <r>
    <n v="32"/>
    <s v="ženatý/vdaná"/>
    <s v="Středočeský kraj - Kladno"/>
    <n v="1"/>
    <n v="6800"/>
    <n v="6800"/>
    <n v="0"/>
    <x v="1"/>
    <s v="mateřská dovolená"/>
    <x v="1"/>
    <n v="10000"/>
    <n v="300"/>
    <s v="ne"/>
    <n v="595"/>
    <n v="1100"/>
    <s v="ne"/>
    <s v="ne"/>
    <s v="ne"/>
    <s v="ne"/>
    <s v="ne"/>
    <s v="ne"/>
    <s v="ne"/>
    <s v="ne"/>
    <m/>
  </r>
  <r>
    <n v="30"/>
    <s v="svobodný/á"/>
    <s v="Středočeský kraj - Kladno"/>
    <n v="0"/>
    <n v="23000"/>
    <n v="15000"/>
    <n v="8000"/>
    <x v="1"/>
    <s v="manuální pracovník/ce"/>
    <x v="3"/>
    <n v="0"/>
    <s v="ne"/>
    <s v="ne"/>
    <n v="840"/>
    <s v="ne"/>
    <s v="ne"/>
    <s v="ne"/>
    <s v="ne"/>
    <s v="ne"/>
    <n v="230000"/>
    <s v="ne"/>
    <s v="ne"/>
    <s v="ne"/>
    <m/>
  </r>
  <r>
    <n v="28"/>
    <s v="svobodný/á"/>
    <s v="Středočeský kraj - obec"/>
    <n v="0"/>
    <n v="20000"/>
    <n v="13200"/>
    <n v="6800"/>
    <x v="0"/>
    <s v="manuální pracovník/ce"/>
    <x v="2"/>
    <n v="0"/>
    <s v="ne"/>
    <s v="ne"/>
    <s v="ne"/>
    <s v="ne"/>
    <s v="ne"/>
    <s v="ne"/>
    <s v="ne"/>
    <s v="ne"/>
    <s v="ne"/>
    <s v="ne"/>
    <s v="ne"/>
    <s v="ne"/>
    <m/>
  </r>
  <r>
    <n v="35"/>
    <s v="ženatý/vdaná"/>
    <s v="Praha"/>
    <n v="1"/>
    <n v="8500"/>
    <n v="8500"/>
    <n v="0"/>
    <x v="1"/>
    <s v="mateřská dovolená"/>
    <x v="1"/>
    <n v="135000"/>
    <n v="500"/>
    <s v="ano"/>
    <n v="850"/>
    <s v="ne"/>
    <s v="ne"/>
    <s v="ne"/>
    <s v="ne"/>
    <s v="ne"/>
    <s v="ne"/>
    <s v="ne"/>
    <s v="ne"/>
    <s v="ne"/>
    <m/>
  </r>
  <r>
    <n v="37"/>
    <s v="ženatý/vdaná"/>
    <s v="Praha"/>
    <n v="1"/>
    <n v="30000"/>
    <n v="11500"/>
    <n v="18500"/>
    <x v="1"/>
    <s v="pracovník/ce v administrativě"/>
    <x v="1"/>
    <n v="135000"/>
    <n v="500"/>
    <s v="ano"/>
    <n v="1200"/>
    <n v="1500"/>
    <s v="ne"/>
    <s v="ne"/>
    <s v="ne"/>
    <s v="ne"/>
    <s v="ne"/>
    <s v="ne"/>
    <s v="ne"/>
    <n v="350"/>
    <m/>
  </r>
  <r>
    <n v="23"/>
    <s v="svobodný/á"/>
    <s v="Praha"/>
    <n v="0"/>
    <n v="16000"/>
    <n v="8000"/>
    <n v="8000"/>
    <x v="0"/>
    <s v="manuální pracovník/ce"/>
    <x v="2"/>
    <n v="0"/>
    <n v="500"/>
    <s v="ne"/>
    <n v="1790"/>
    <s v="ne"/>
    <s v="ne"/>
    <s v="ne"/>
    <s v="ne"/>
    <s v="ne"/>
    <s v="ne"/>
    <s v="ne"/>
    <n v="124"/>
    <s v="ne"/>
    <m/>
  </r>
  <r>
    <n v="29"/>
    <s v="svobodný/á"/>
    <s v="Praha"/>
    <n v="0"/>
    <n v="25000"/>
    <n v="23000"/>
    <n v="2000"/>
    <x v="2"/>
    <s v="manuální pracovník/ce"/>
    <x v="3"/>
    <n v="300000"/>
    <n v="500"/>
    <s v="ne"/>
    <n v="600"/>
    <s v="ne"/>
    <s v="ne"/>
    <s v="ne"/>
    <s v="ne"/>
    <s v="ne"/>
    <s v="ne"/>
    <s v="ne"/>
    <s v="ne"/>
    <s v="ne"/>
    <m/>
  </r>
  <r>
    <n v="42"/>
    <s v="ženatý/vdaná"/>
    <s v="Středočeský kraj - obec"/>
    <n v="2"/>
    <n v="15400"/>
    <n v="15000"/>
    <n v="400"/>
    <x v="1"/>
    <s v="pracovník/ce v administrativě"/>
    <x v="1"/>
    <n v="5000"/>
    <n v="200"/>
    <s v="ne"/>
    <s v="ne"/>
    <s v="ne"/>
    <s v="ne"/>
    <s v="ne"/>
    <s v="ne"/>
    <s v="ne"/>
    <s v="ne"/>
    <s v="ne"/>
    <s v="ne"/>
    <s v="ne"/>
    <m/>
  </r>
  <r>
    <n v="46"/>
    <s v="ženatý/vdaná"/>
    <s v="Středočeský kraj - obec"/>
    <n v="2"/>
    <n v="22000"/>
    <n v="15000"/>
    <n v="7000"/>
    <x v="1"/>
    <s v="manuální pracovník/ce"/>
    <x v="1"/>
    <n v="5000"/>
    <n v="100"/>
    <s v="ne"/>
    <s v="ne"/>
    <s v="ne"/>
    <s v="ne"/>
    <s v="ne"/>
    <n v="1500"/>
    <s v="ne"/>
    <s v="ne"/>
    <s v="ne"/>
    <s v="ne"/>
    <n v="358"/>
    <m/>
  </r>
  <r>
    <n v="36"/>
    <s v="svobodný/á"/>
    <s v="Praha"/>
    <n v="1"/>
    <n v="21000"/>
    <n v="21000"/>
    <n v="0"/>
    <x v="1"/>
    <s v="manuální pracovník/ce"/>
    <x v="3"/>
    <n v="0"/>
    <n v="100"/>
    <s v="ne"/>
    <n v="1600"/>
    <n v="500"/>
    <s v="ne"/>
    <s v="ne"/>
    <n v="200"/>
    <s v="ne"/>
    <s v="ne"/>
    <s v="ne"/>
    <s v="ne"/>
    <s v="ne"/>
    <m/>
  </r>
  <r>
    <n v="31"/>
    <s v="svobodný/á"/>
    <s v="Středočeský kraj - obec"/>
    <n v="0"/>
    <n v="18000"/>
    <n v="11000"/>
    <n v="7000"/>
    <x v="1"/>
    <s v="státní zaměstnanec/kyně"/>
    <x v="0"/>
    <n v="0"/>
    <n v="100"/>
    <s v="ne"/>
    <n v="1200"/>
    <s v="ne"/>
    <s v="ne"/>
    <s v="ne"/>
    <s v="ne"/>
    <s v="ne"/>
    <n v="150000"/>
    <s v="ne"/>
    <n v="130"/>
    <n v="390"/>
    <m/>
  </r>
  <r>
    <n v="30"/>
    <s v="ženatý/vdaná"/>
    <s v="Středočeský kraj - obec"/>
    <n v="2"/>
    <n v="15000"/>
    <n v="13100"/>
    <n v="1900"/>
    <x v="1"/>
    <s v="mateřská dovolená"/>
    <x v="0"/>
    <n v="15000"/>
    <n v="100"/>
    <s v="ne"/>
    <n v="1300"/>
    <s v="ne"/>
    <s v="ne"/>
    <s v="ne"/>
    <s v="ne"/>
    <n v="600000"/>
    <s v="ne"/>
    <s v="ne"/>
    <s v="ne"/>
    <s v="ne"/>
    <m/>
  </r>
  <r>
    <n v="35"/>
    <s v="ženatý/vdaná"/>
    <s v="Středočeský kraj - obec"/>
    <n v="2"/>
    <n v="21000"/>
    <n v="13100"/>
    <n v="7900"/>
    <x v="2"/>
    <s v="státní zaměstnanec/kyně"/>
    <x v="0"/>
    <n v="15000"/>
    <s v="ne"/>
    <s v="ne"/>
    <n v="1500"/>
    <s v="ne"/>
    <s v="ne"/>
    <s v="ne"/>
    <s v="ne"/>
    <n v="600000"/>
    <s v="ne"/>
    <s v="ne"/>
    <n v="190"/>
    <n v="288"/>
    <m/>
  </r>
  <r>
    <n v="45"/>
    <s v="svobodný/á"/>
    <s v="Středočeský kraj - obec"/>
    <n v="1"/>
    <n v="68000"/>
    <n v="19675"/>
    <n v="48325"/>
    <x v="1"/>
    <s v="podnikatel/ka"/>
    <x v="0"/>
    <n v="45000"/>
    <n v="300"/>
    <s v="ne"/>
    <n v="1180"/>
    <s v="ne"/>
    <s v="ne"/>
    <s v="ne"/>
    <s v="ne"/>
    <n v="2100000"/>
    <s v="ne"/>
    <s v="ne"/>
    <n v="550"/>
    <n v="1200"/>
    <m/>
  </r>
  <r>
    <n v="38"/>
    <s v="svobodný/á"/>
    <s v="Středočeský kraj - obec"/>
    <n v="1"/>
    <n v="25500"/>
    <n v="19675"/>
    <n v="5825"/>
    <x v="1"/>
    <s v="mateřská dovolená"/>
    <x v="0"/>
    <n v="45000"/>
    <n v="200"/>
    <s v="ne"/>
    <n v="680"/>
    <s v="ne"/>
    <s v="ne"/>
    <s v="ne"/>
    <s v="ne"/>
    <n v="263000"/>
    <s v="ne"/>
    <s v="ne"/>
    <s v="ne"/>
    <s v="ne"/>
    <m/>
  </r>
  <r>
    <n v="28"/>
    <s v="svobodný/á"/>
    <s v="Středočeský kraj - Kladno"/>
    <n v="0"/>
    <n v="17200"/>
    <n v="9300"/>
    <n v="7900"/>
    <x v="3"/>
    <s v="pracovník/ce v administrativě"/>
    <x v="3"/>
    <n v="170000"/>
    <n v="300"/>
    <s v="ne"/>
    <n v="675"/>
    <s v="ne"/>
    <s v="ne"/>
    <s v="ne"/>
    <n v="1500"/>
    <s v="ne"/>
    <s v="ne"/>
    <s v="ne"/>
    <n v="199"/>
    <s v="ne"/>
    <m/>
  </r>
  <r>
    <n v="48"/>
    <s v="ženatý/vdaná"/>
    <s v="Středočeský kraj - obec"/>
    <n v="2"/>
    <n v="30000"/>
    <n v="27620"/>
    <n v="2380"/>
    <x v="4"/>
    <s v="manuální pracovník/ce"/>
    <x v="0"/>
    <n v="7500"/>
    <n v="500"/>
    <s v="ne"/>
    <n v="1295"/>
    <s v="ne"/>
    <s v="ne"/>
    <s v="ne"/>
    <s v="ne"/>
    <s v="ne"/>
    <s v="ne"/>
    <s v="ne"/>
    <s v="ne"/>
    <s v="ne"/>
    <m/>
  </r>
  <r>
    <n v="35"/>
    <s v="ženatý/vdaná"/>
    <s v="Středočeský kraj - obec"/>
    <n v="2"/>
    <n v="8500"/>
    <n v="8500"/>
    <n v="0"/>
    <x v="2"/>
    <s v="mateřská dovolená"/>
    <x v="0"/>
    <n v="7500"/>
    <n v="100"/>
    <s v="ne"/>
    <n v="890"/>
    <s v="ne"/>
    <s v="ne"/>
    <s v="ne"/>
    <n v="1000"/>
    <s v="ne"/>
    <s v="ne"/>
    <s v="ne"/>
    <s v="ne"/>
    <s v="ne"/>
    <m/>
  </r>
  <r>
    <n v="29"/>
    <s v="svobodný/á"/>
    <s v="Středočeský kraj - Kladno"/>
    <n v="0"/>
    <n v="13000"/>
    <n v="5600"/>
    <n v="7400"/>
    <x v="3"/>
    <s v="pracovník/ce v administrativě"/>
    <x v="2"/>
    <n v="0"/>
    <n v="500"/>
    <s v="ne"/>
    <n v="780"/>
    <s v="ne"/>
    <s v="ne"/>
    <s v="ne"/>
    <s v="ne"/>
    <s v="ne"/>
    <s v="ne"/>
    <s v="ne"/>
    <s v="ne"/>
    <s v="ne"/>
    <m/>
  </r>
  <r>
    <n v="50"/>
    <s v="rozvedený/á"/>
    <s v="Středočeský kraj - obec"/>
    <n v="1"/>
    <n v="26000"/>
    <n v="17000"/>
    <n v="9000"/>
    <x v="1"/>
    <s v="státní zaměstnanec/kyně"/>
    <x v="0"/>
    <n v="500000"/>
    <n v="1000"/>
    <s v="ano"/>
    <n v="950"/>
    <n v="1500"/>
    <s v="ne"/>
    <s v="ne"/>
    <n v="100"/>
    <s v="ne"/>
    <s v="ne"/>
    <s v="ne"/>
    <s v="ne"/>
    <s v="ne"/>
    <m/>
  </r>
  <r>
    <n v="28"/>
    <s v="svobodný/á"/>
    <s v="Středočeský kraj - obec"/>
    <n v="0"/>
    <n v="27000"/>
    <n v="13700"/>
    <n v="13300"/>
    <x v="1"/>
    <s v="manuální pracovník/ce"/>
    <x v="2"/>
    <n v="0"/>
    <s v="ne"/>
    <s v="ne"/>
    <n v="558"/>
    <s v="ne"/>
    <s v="ne"/>
    <s v="ne"/>
    <s v="ne"/>
    <s v="ne"/>
    <n v="470000"/>
    <s v="ne"/>
    <s v="ne"/>
    <n v="330"/>
    <m/>
  </r>
  <r>
    <n v="35"/>
    <s v="rozvedený/á"/>
    <s v="Středočeský kraj - Kladno"/>
    <n v="2"/>
    <n v="21000"/>
    <n v="17850"/>
    <n v="3150"/>
    <x v="1"/>
    <s v="státní zaměstnanec/kyně"/>
    <x v="3"/>
    <n v="0"/>
    <s v="ne"/>
    <s v="ne"/>
    <s v="ne"/>
    <s v="ne"/>
    <s v="ne"/>
    <s v="ne"/>
    <s v="ne"/>
    <s v="ne"/>
    <n v="150000"/>
    <s v="ne"/>
    <s v="ne"/>
    <s v="ne"/>
    <m/>
  </r>
  <r>
    <n v="47"/>
    <s v="rozvedený/á"/>
    <s v="Středočeský kraj - Kladno"/>
    <n v="2"/>
    <n v="35000"/>
    <n v="32000"/>
    <n v="3000"/>
    <x v="1"/>
    <s v="státní zaměstnanec/kyně"/>
    <x v="0"/>
    <n v="110000"/>
    <n v="500"/>
    <s v="ano"/>
    <n v="500"/>
    <n v="1000"/>
    <s v="ne"/>
    <s v="ne"/>
    <s v="ne"/>
    <s v="ne"/>
    <s v="ne"/>
    <s v="ne"/>
    <n v="366"/>
    <s v="ne"/>
    <m/>
  </r>
  <r>
    <n v="38"/>
    <s v="ženatý/vdaná"/>
    <s v="Středočeský kraj - obec"/>
    <n v="2"/>
    <n v="25000"/>
    <n v="25000"/>
    <n v="0"/>
    <x v="0"/>
    <s v="manuální pracovník/ce"/>
    <x v="0"/>
    <n v="0"/>
    <n v="200"/>
    <s v="ne"/>
    <n v="1170"/>
    <n v="800"/>
    <s v="ne"/>
    <s v="ne"/>
    <s v="ne"/>
    <n v="700000"/>
    <s v="ne"/>
    <s v="ne"/>
    <s v="ne"/>
    <s v="ne"/>
    <m/>
  </r>
  <r>
    <n v="29"/>
    <s v="ženatý/vdaná"/>
    <s v="Středočeský kraj - obec"/>
    <n v="1"/>
    <n v="23000"/>
    <n v="10000"/>
    <n v="13000"/>
    <x v="2"/>
    <s v="manuální pracovník/ce"/>
    <x v="0"/>
    <n v="30000"/>
    <n v="300"/>
    <s v="ne"/>
    <n v="1000"/>
    <s v="ne"/>
    <s v="ne"/>
    <s v="ne"/>
    <s v="ne"/>
    <s v="ne"/>
    <s v="ne"/>
    <s v="ne"/>
    <n v="350"/>
    <n v="300"/>
    <m/>
  </r>
  <r>
    <n v="32"/>
    <s v="ženatý/vdaná"/>
    <s v="Středočeský kraj - obec"/>
    <n v="1"/>
    <n v="13000"/>
    <n v="10000"/>
    <n v="3000"/>
    <x v="3"/>
    <s v="manuální pracovník/ce"/>
    <x v="0"/>
    <n v="30000"/>
    <n v="300"/>
    <s v="ne"/>
    <n v="800"/>
    <s v="ne"/>
    <s v="ne"/>
    <s v="ne"/>
    <n v="1700"/>
    <s v="ne"/>
    <s v="ne"/>
    <s v="ne"/>
    <s v="ne"/>
    <s v="ne"/>
    <m/>
  </r>
  <r>
    <n v="40"/>
    <s v="svobodný/á"/>
    <s v="Středočeský kraj - obec"/>
    <n v="0"/>
    <n v="22000"/>
    <n v="11000"/>
    <n v="11000"/>
    <x v="3"/>
    <s v="podnikatel/ka"/>
    <x v="2"/>
    <n v="220000"/>
    <n v="500"/>
    <s v="ne"/>
    <n v="620"/>
    <n v="2000"/>
    <s v="ne"/>
    <s v="ne"/>
    <s v="ne"/>
    <s v="ne"/>
    <s v="ne"/>
    <s v="ne"/>
    <n v="800"/>
    <s v="ne"/>
    <m/>
  </r>
  <r>
    <n v="37"/>
    <s v="ženatý/vdaná"/>
    <s v="Středočeský kraj - obec"/>
    <n v="3"/>
    <n v="6500"/>
    <n v="6500"/>
    <n v="0"/>
    <x v="0"/>
    <s v="mateřská dovolená"/>
    <x v="0"/>
    <n v="0"/>
    <n v="300"/>
    <s v="ne"/>
    <n v="310"/>
    <n v="500"/>
    <s v="ne"/>
    <s v="ne"/>
    <s v="ne"/>
    <s v="ne"/>
    <s v="ne"/>
    <s v="ne"/>
    <s v="ne"/>
    <s v="ne"/>
    <m/>
  </r>
  <r>
    <n v="36"/>
    <s v="ženatý/vdaná"/>
    <s v="Středočeský kraj - obec"/>
    <n v="3"/>
    <n v="18000"/>
    <n v="14800"/>
    <n v="3200"/>
    <x v="0"/>
    <s v="pracovník/ce v administrativě"/>
    <x v="0"/>
    <n v="0"/>
    <n v="300"/>
    <s v="ne"/>
    <n v="310"/>
    <n v="500"/>
    <s v="ne"/>
    <s v="ne"/>
    <s v="ne"/>
    <s v="ne"/>
    <s v="ne"/>
    <s v="ne"/>
    <s v="ne"/>
    <s v="ne"/>
    <m/>
  </r>
  <r>
    <n v="25"/>
    <s v="ženatý/vdaná"/>
    <s v="Středočeský kraj - Kladno"/>
    <n v="1"/>
    <n v="20000"/>
    <n v="19000"/>
    <n v="1000"/>
    <x v="1"/>
    <s v="manuální pracovník/ce"/>
    <x v="0"/>
    <n v="0"/>
    <n v="100"/>
    <s v="ne"/>
    <n v="790"/>
    <s v="ne"/>
    <s v="ne"/>
    <s v="ne"/>
    <s v="ne"/>
    <n v="1020000"/>
    <s v="ne"/>
    <s v="ne"/>
    <s v="ne"/>
    <s v="ne"/>
    <m/>
  </r>
  <r>
    <n v="29"/>
    <s v="ženatý/vdaná"/>
    <s v="Středočeský kraj - Kladno"/>
    <n v="1"/>
    <n v="15000"/>
    <n v="15000"/>
    <n v="0"/>
    <x v="2"/>
    <s v="mateřská dovolená"/>
    <x v="0"/>
    <n v="0"/>
    <n v="100"/>
    <s v="ne"/>
    <n v="940"/>
    <s v="ne"/>
    <s v="ne"/>
    <s v="ne"/>
    <s v="ne"/>
    <n v="1020000"/>
    <s v="ne"/>
    <s v="ne"/>
    <s v="ne"/>
    <s v="ne"/>
    <m/>
  </r>
  <r>
    <n v="38"/>
    <s v="ženatý/vdaná"/>
    <s v="Středočeský kraj - obec"/>
    <n v="2"/>
    <n v="19700"/>
    <n v="19700"/>
    <n v="0"/>
    <x v="1"/>
    <s v="mateřská dovolená"/>
    <x v="0"/>
    <n v="60000"/>
    <n v="1000"/>
    <s v="ne"/>
    <n v="565"/>
    <s v="ne"/>
    <s v="ne"/>
    <s v="ne"/>
    <s v="ne"/>
    <n v="625000"/>
    <s v="ne"/>
    <s v="ne"/>
    <s v="ne"/>
    <s v="ne"/>
    <m/>
  </r>
  <r>
    <n v="37"/>
    <s v="ženatý/vdaná"/>
    <s v="Středočeský kraj - obec"/>
    <n v="2"/>
    <n v="39500"/>
    <n v="28300"/>
    <n v="11200"/>
    <x v="1"/>
    <s v="manažer/ka, ředitel/ka"/>
    <x v="0"/>
    <n v="60000"/>
    <n v="1000"/>
    <s v="ano"/>
    <n v="1455"/>
    <n v="5000"/>
    <s v="ne"/>
    <s v="ne"/>
    <s v="ne"/>
    <n v="625000"/>
    <s v="ne"/>
    <s v="ne"/>
    <s v="ne"/>
    <s v="ne"/>
    <m/>
  </r>
  <r>
    <n v="26"/>
    <s v="svobodný/á"/>
    <s v="Středočeský kraj - Kladno"/>
    <n v="1"/>
    <n v="27500"/>
    <n v="12100"/>
    <n v="15400"/>
    <x v="1"/>
    <s v="manuální pracovník/ce"/>
    <x v="1"/>
    <n v="20000"/>
    <n v="300"/>
    <s v="ne"/>
    <n v="770"/>
    <s v="ne"/>
    <s v="ne"/>
    <s v="ne"/>
    <s v="ne"/>
    <n v="1110000"/>
    <s v="ne"/>
    <s v="ne"/>
    <n v="120"/>
    <s v="ne"/>
    <m/>
  </r>
  <r>
    <n v="47"/>
    <s v="ženatý/vdaná"/>
    <s v="Středočeský kraj - obec"/>
    <n v="1"/>
    <n v="35000"/>
    <n v="13000"/>
    <n v="22000"/>
    <x v="1"/>
    <s v="manuální pracovník/ce"/>
    <x v="0"/>
    <n v="75000"/>
    <n v="1000"/>
    <s v="ne"/>
    <n v="400"/>
    <n v="2000"/>
    <s v="ne"/>
    <s v="ne"/>
    <n v="1000"/>
    <s v="ne"/>
    <s v="ne"/>
    <s v="ne"/>
    <n v="216"/>
    <s v="ne"/>
    <m/>
  </r>
  <r>
    <n v="46"/>
    <s v="ženatý/vdaná"/>
    <s v="Středočeský kraj - obec"/>
    <n v="1"/>
    <n v="19000"/>
    <n v="13000"/>
    <n v="6000"/>
    <x v="1"/>
    <s v="státní zaměstnanec/kyně"/>
    <x v="0"/>
    <n v="75000"/>
    <n v="1000"/>
    <s v="ne"/>
    <n v="800"/>
    <s v="ne"/>
    <s v="ne"/>
    <s v="ne"/>
    <n v="1700"/>
    <s v="ne"/>
    <s v="ne"/>
    <s v="ne"/>
    <s v="ne"/>
    <s v="ne"/>
    <m/>
  </r>
  <r>
    <n v="42"/>
    <s v="svobodný/á"/>
    <s v="Středočeský kraj - obec"/>
    <n v="0"/>
    <n v="28000"/>
    <n v="17300"/>
    <n v="10700"/>
    <x v="3"/>
    <s v="pracovník/ce v administrativě"/>
    <x v="0"/>
    <n v="60000"/>
    <n v="2000"/>
    <s v="ne"/>
    <n v="1400"/>
    <n v="500"/>
    <s v="ne"/>
    <s v="ne"/>
    <s v="ne"/>
    <n v="1500000"/>
    <s v="ne"/>
    <s v="ne"/>
    <n v="800"/>
    <n v="330"/>
    <m/>
  </r>
  <r>
    <n v="29"/>
    <s v="svobodný/á"/>
    <s v="Středočeský kraj - Kladno"/>
    <n v="0"/>
    <n v="30000"/>
    <n v="20000"/>
    <n v="10000"/>
    <x v="1"/>
    <s v="státní zaměstnanec/kyně"/>
    <x v="1"/>
    <n v="20000"/>
    <n v="300"/>
    <s v="ne"/>
    <n v="700"/>
    <n v="500"/>
    <s v="ne"/>
    <s v="ne"/>
    <s v="ne"/>
    <s v="ne"/>
    <s v="ne"/>
    <s v="ne"/>
    <s v="ne"/>
    <s v="ne"/>
    <m/>
  </r>
  <r>
    <n v="24"/>
    <s v="svobodný/á"/>
    <s v="Středočeský kraj - Kladno"/>
    <n v="0"/>
    <n v="18000"/>
    <n v="12000"/>
    <n v="6000"/>
    <x v="2"/>
    <s v="podnikatel/ka"/>
    <x v="3"/>
    <n v="250000"/>
    <n v="300"/>
    <s v="ne"/>
    <s v="ne"/>
    <n v="2500"/>
    <n v="100000"/>
    <s v="ne"/>
    <n v="500"/>
    <s v="ne"/>
    <s v="ne"/>
    <s v="ne"/>
    <s v="ne"/>
    <s v="ne"/>
    <m/>
  </r>
  <r>
    <n v="29"/>
    <s v="ženatý/vdaná"/>
    <s v="Středočeský kraj - obec"/>
    <n v="2"/>
    <n v="35000"/>
    <n v="32000"/>
    <n v="19000"/>
    <x v="1"/>
    <s v="podnikatel/ka"/>
    <x v="0"/>
    <n v="40000"/>
    <n v="300"/>
    <s v="ne"/>
    <n v="2000"/>
    <n v="5000"/>
    <s v="ne"/>
    <s v="ne"/>
    <s v="ne"/>
    <n v="572500"/>
    <s v="ne"/>
    <s v="ne"/>
    <n v="385"/>
    <s v="ne"/>
    <m/>
  </r>
  <r>
    <n v="40"/>
    <s v="ženatý/vdaná"/>
    <s v="Středočeský kraj - obec"/>
    <n v="2"/>
    <n v="20000"/>
    <n v="32000"/>
    <n v="19000"/>
    <x v="1"/>
    <s v="manuální pracovník/ce"/>
    <x v="0"/>
    <n v="40000"/>
    <s v="ne"/>
    <s v="ne"/>
    <n v="895"/>
    <s v="ne"/>
    <s v="ne"/>
    <s v="ne"/>
    <s v="ne"/>
    <n v="572500"/>
    <s v="ne"/>
    <s v="ne"/>
    <s v="ne"/>
    <s v="ne"/>
    <m/>
  </r>
  <r>
    <n v="28"/>
    <s v="svobodný/á"/>
    <s v="Praha"/>
    <n v="0"/>
    <n v="15000"/>
    <n v="14000"/>
    <n v="1000"/>
    <x v="2"/>
    <s v="manuální pracovník/ce"/>
    <x v="3"/>
    <n v="0"/>
    <s v="ne"/>
    <s v="ne"/>
    <n v="850"/>
    <s v="ne"/>
    <s v="ne"/>
    <s v="ne"/>
    <s v="ne"/>
    <s v="ne"/>
    <s v="ne"/>
    <s v="ne"/>
    <s v="ne"/>
    <n v="180"/>
    <m/>
  </r>
  <r>
    <n v="27"/>
    <s v="svobodný/á"/>
    <s v="Středočeský kraj - obec"/>
    <n v="1"/>
    <n v="14000"/>
    <n v="14000"/>
    <n v="0"/>
    <x v="1"/>
    <s v="manuální pracovník/ce"/>
    <x v="3"/>
    <n v="0"/>
    <n v="300"/>
    <s v="ne"/>
    <s v="ne"/>
    <n v="100"/>
    <s v="ne"/>
    <s v="ne"/>
    <s v="ne"/>
    <s v="ne"/>
    <n v="240000"/>
    <s v="ne"/>
    <s v="ne"/>
    <s v="ne"/>
    <m/>
  </r>
  <r>
    <n v="26"/>
    <s v="svobodný/á"/>
    <s v="Praha"/>
    <n v="0"/>
    <n v="24000"/>
    <n v="17550"/>
    <n v="6450"/>
    <x v="1"/>
    <s v="manuální pracovník/ce"/>
    <x v="0"/>
    <n v="80000"/>
    <n v="350"/>
    <s v="ne"/>
    <n v="1100"/>
    <n v="1000"/>
    <s v="ne"/>
    <s v="ne"/>
    <s v="ne"/>
    <s v="ne"/>
    <s v="ne"/>
    <s v="ne"/>
    <n v="100"/>
    <n v="460"/>
    <m/>
  </r>
  <r>
    <n v="36"/>
    <s v="svobodný/á"/>
    <s v="Středočeský kraj - obec"/>
    <n v="1"/>
    <n v="17000"/>
    <n v="16000"/>
    <n v="1000"/>
    <x v="1"/>
    <s v="manuální pracovník/ce"/>
    <x v="3"/>
    <n v="0"/>
    <n v="350"/>
    <s v="ne"/>
    <n v="800"/>
    <s v="ne"/>
    <s v="ne"/>
    <s v="ne"/>
    <s v="ne"/>
    <s v="ne"/>
    <s v="ne"/>
    <s v="ne"/>
    <n v="50"/>
    <s v="ne"/>
    <m/>
  </r>
  <r>
    <n v="24"/>
    <s v="svobodný/á"/>
    <s v="Středočeský kraj - Kladno"/>
    <n v="0"/>
    <n v="22000"/>
    <n v="15000"/>
    <n v="7000"/>
    <x v="1"/>
    <s v="podnikatel/ka"/>
    <x v="2"/>
    <n v="30000"/>
    <s v="ne"/>
    <s v="ne"/>
    <n v="700"/>
    <n v="4000"/>
    <s v="ne"/>
    <s v="ne"/>
    <s v="ne"/>
    <s v="ne"/>
    <s v="ne"/>
    <s v="ne"/>
    <s v="ne"/>
    <s v="ne"/>
    <m/>
  </r>
  <r>
    <n v="26"/>
    <s v="svobodný/á"/>
    <s v="Praha"/>
    <n v="0"/>
    <n v="21000"/>
    <n v="15000"/>
    <n v="6000"/>
    <x v="2"/>
    <s v="manuální pracovník/ce"/>
    <x v="2"/>
    <n v="100000"/>
    <n v="350"/>
    <s v="ne"/>
    <n v="800"/>
    <s v="ne"/>
    <s v="ne"/>
    <s v="ne"/>
    <n v="2500"/>
    <s v="ne"/>
    <s v="ne"/>
    <s v="ne"/>
    <n v="80"/>
    <n v="390"/>
    <m/>
  </r>
  <r>
    <n v="52"/>
    <s v="ženatý/vdaná"/>
    <s v="Praha"/>
    <n v="2"/>
    <n v="28000"/>
    <n v="28000"/>
    <n v="0"/>
    <x v="0"/>
    <s v="podnikatel/ka"/>
    <x v="0"/>
    <n v="350000"/>
    <s v="ne"/>
    <s v="ne"/>
    <s v="ne"/>
    <s v="ne"/>
    <s v="ne"/>
    <n v="1500000"/>
    <s v="ne"/>
    <s v="ne"/>
    <n v="125000"/>
    <s v="ne"/>
    <n v="450"/>
    <n v="1700"/>
    <m/>
  </r>
  <r>
    <n v="49"/>
    <s v="ženatý/vdaná"/>
    <s v="Praha"/>
    <n v="2"/>
    <n v="28000"/>
    <n v="28000"/>
    <n v="0"/>
    <x v="1"/>
    <s v="podnikatel/ka"/>
    <x v="0"/>
    <n v="350000"/>
    <n v="1500"/>
    <s v="ne"/>
    <s v="ne"/>
    <s v="ne"/>
    <s v="ne"/>
    <n v="1500000"/>
    <s v="ne"/>
    <s v="ne"/>
    <n v="125000"/>
    <s v="ne"/>
    <s v="ne"/>
    <s v="ne"/>
    <m/>
  </r>
  <r>
    <n v="27"/>
    <s v="ženatý/vdaná"/>
    <s v="Středočeský kraj - obec"/>
    <n v="1"/>
    <n v="24000"/>
    <n v="16900"/>
    <n v="7100"/>
    <x v="3"/>
    <s v="pracovník/ce v administrativě"/>
    <x v="1"/>
    <n v="200000"/>
    <n v="300"/>
    <s v="ne"/>
    <n v="1875"/>
    <n v="500"/>
    <n v="20000"/>
    <n v="750000"/>
    <s v="ne"/>
    <s v="ne"/>
    <s v="ne"/>
    <s v="ne"/>
    <n v="131"/>
    <n v="175"/>
    <m/>
  </r>
  <r>
    <n v="27"/>
    <s v="ženatý/vdaná"/>
    <s v="Středočeský kraj - obec"/>
    <n v="1"/>
    <n v="7600"/>
    <n v="7600"/>
    <n v="0"/>
    <x v="3"/>
    <s v="mateřská dovolená"/>
    <x v="1"/>
    <n v="200000"/>
    <n v="300"/>
    <s v="ne"/>
    <n v="1500"/>
    <s v="ne"/>
    <s v="ne"/>
    <n v="750000"/>
    <s v="ne"/>
    <s v="ne"/>
    <s v="ne"/>
    <s v="ne"/>
    <s v="ne"/>
    <s v="ne"/>
    <m/>
  </r>
  <r>
    <n v="34"/>
    <s v="ženatý/vdaná"/>
    <s v="Středočeský kraj - Kladno"/>
    <n v="1"/>
    <n v="35000"/>
    <n v="16000"/>
    <n v="19000"/>
    <x v="3"/>
    <s v="podnikatel/ka"/>
    <x v="1"/>
    <n v="75000"/>
    <n v="300"/>
    <s v="ne"/>
    <n v="1293"/>
    <s v="ne"/>
    <s v="ne"/>
    <n v="2000000"/>
    <s v="ne"/>
    <n v="1400000"/>
    <n v="150000"/>
    <s v="ne"/>
    <n v="160"/>
    <n v="739"/>
    <m/>
  </r>
  <r>
    <n v="34"/>
    <s v="ženatý/vdaná"/>
    <s v="Středočeský kraj - Kladno"/>
    <n v="1"/>
    <n v="11000"/>
    <n v="11000"/>
    <n v="0"/>
    <x v="3"/>
    <s v="mateřská dovolená"/>
    <x v="1"/>
    <n v="75000"/>
    <s v="ne"/>
    <s v="ne"/>
    <n v="300"/>
    <s v="ne"/>
    <s v="ne"/>
    <n v="2000000"/>
    <s v="ne"/>
    <n v="1400000"/>
    <n v="150000"/>
    <s v="ne"/>
    <s v="ne"/>
    <s v="ne"/>
    <m/>
  </r>
  <r>
    <n v="27"/>
    <s v="svobodný/á"/>
    <s v="Praha"/>
    <n v="0"/>
    <n v="20000"/>
    <n v="15000"/>
    <n v="5000"/>
    <x v="1"/>
    <s v="manuální pracovník/ce"/>
    <x v="3"/>
    <n v="40000"/>
    <s v="ne"/>
    <s v="ne"/>
    <n v="2000"/>
    <n v="1000"/>
    <s v="ne"/>
    <n v="1400000"/>
    <s v="ne"/>
    <s v="ne"/>
    <s v="ne"/>
    <s v="ne"/>
    <n v="182"/>
    <s v="ne"/>
    <m/>
  </r>
  <r>
    <n v="46"/>
    <s v="svobodný/á"/>
    <s v="Středočeský kraj - Kladno"/>
    <n v="0"/>
    <n v="25000"/>
    <n v="23000"/>
    <n v="2000"/>
    <x v="1"/>
    <s v="manuální pracovník/ce"/>
    <x v="3"/>
    <n v="40000"/>
    <n v="300"/>
    <s v="ano"/>
    <n v="817"/>
    <n v="1700"/>
    <s v="ne"/>
    <n v="1400000"/>
    <s v="ne"/>
    <s v="ne"/>
    <n v="112000"/>
    <s v="ne"/>
    <s v="ne"/>
    <s v="ne"/>
    <m/>
  </r>
  <r>
    <n v="44"/>
    <s v="rozvedený/á"/>
    <s v="Praha"/>
    <n v="1"/>
    <n v="35000"/>
    <n v="35000"/>
    <n v="0"/>
    <x v="1"/>
    <s v="manuální pracovník/ce"/>
    <x v="3"/>
    <n v="50000"/>
    <n v="300"/>
    <s v="ano"/>
    <n v="300"/>
    <n v="1300"/>
    <s v="ne"/>
    <s v="ne"/>
    <s v="ne"/>
    <s v="ne"/>
    <s v="ne"/>
    <s v="ne"/>
    <n v="156"/>
    <s v="ne"/>
    <m/>
  </r>
  <r>
    <n v="46"/>
    <s v="rozvedený/á"/>
    <s v="Středočeský kraj - obec"/>
    <n v="2"/>
    <n v="24000"/>
    <n v="24000"/>
    <n v="0"/>
    <x v="1"/>
    <s v="státní zaměstnanec/kyně"/>
    <x v="3"/>
    <n v="200000"/>
    <n v="800"/>
    <s v="ano"/>
    <n v="672"/>
    <n v="500"/>
    <s v="ne"/>
    <s v="ne"/>
    <s v="ne"/>
    <s v="ne"/>
    <s v="ne"/>
    <s v="ne"/>
    <s v="ne"/>
    <n v="100"/>
    <m/>
  </r>
  <r>
    <n v="44"/>
    <s v="rozvedený/á"/>
    <s v="Praha"/>
    <n v="1"/>
    <n v="35000"/>
    <n v="32000"/>
    <n v="3000"/>
    <x v="1"/>
    <s v="podnikatel/ka"/>
    <x v="3"/>
    <n v="0"/>
    <n v="500"/>
    <s v="ne"/>
    <n v="922"/>
    <n v="1000"/>
    <s v="ne"/>
    <s v="ne"/>
    <s v="ne"/>
    <s v="ne"/>
    <s v="ne"/>
    <s v="ne"/>
    <n v="45"/>
    <s v="ne"/>
    <m/>
  </r>
  <r>
    <n v="34"/>
    <s v="svobodný/á"/>
    <s v="Středočeský kraj - obec"/>
    <n v="0"/>
    <n v="25000"/>
    <n v="25000"/>
    <n v="0"/>
    <x v="3"/>
    <s v="pracovník/ce v administrativě"/>
    <x v="1"/>
    <n v="150000"/>
    <s v="ne"/>
    <s v="ne"/>
    <n v="2486"/>
    <s v="ne"/>
    <n v="50000"/>
    <s v="ne"/>
    <s v="ne"/>
    <n v="985000"/>
    <s v="ne"/>
    <s v="ne"/>
    <n v="79"/>
    <n v="238"/>
    <m/>
  </r>
  <r>
    <n v="28"/>
    <s v="svobodný/á"/>
    <s v="Středočeský kraj - obec"/>
    <n v="0"/>
    <n v="17000"/>
    <n v="17000"/>
    <n v="0"/>
    <x v="1"/>
    <s v="manuální pracovník/ce"/>
    <x v="3"/>
    <n v="0"/>
    <s v="ne"/>
    <s v="ano"/>
    <n v="204"/>
    <s v="ne"/>
    <s v="ne"/>
    <s v="ne"/>
    <s v="ne"/>
    <s v="ne"/>
    <n v="68000"/>
    <s v="ne"/>
    <s v="ne"/>
    <s v="ne"/>
    <m/>
  </r>
  <r>
    <n v="34"/>
    <s v="ženatý/vdaná"/>
    <s v="Středočeský kraj - obec"/>
    <n v="1"/>
    <n v="60000"/>
    <n v="40000"/>
    <n v="20000"/>
    <x v="1"/>
    <s v="manažer/ka, ředitel/ka"/>
    <x v="0"/>
    <n v="265000"/>
    <n v="300"/>
    <s v="ano"/>
    <n v="4327"/>
    <n v="8400"/>
    <s v="ne"/>
    <s v="ne"/>
    <s v="ne"/>
    <n v="1250000"/>
    <s v="ne"/>
    <s v="ne"/>
    <n v="204"/>
    <n v="866"/>
    <m/>
  </r>
  <r>
    <n v="28"/>
    <s v="ženatý/vdaná"/>
    <s v="Středočeský kraj - obec"/>
    <n v="1"/>
    <n v="15000"/>
    <n v="15000"/>
    <n v="0"/>
    <x v="1"/>
    <s v="pracovník/ce v administrativě"/>
    <x v="0"/>
    <n v="265000"/>
    <s v="ne"/>
    <s v="ne"/>
    <n v="922"/>
    <s v="ne"/>
    <s v="ne"/>
    <s v="ne"/>
    <s v="ne"/>
    <n v="1250000"/>
    <s v="ne"/>
    <s v="ne"/>
    <s v="ne"/>
    <s v="ne"/>
    <m/>
  </r>
  <r>
    <n v="23"/>
    <s v="svobodný/á"/>
    <s v="Středočeský kraj - Kladno"/>
    <n v="1"/>
    <n v="15000"/>
    <n v="15000"/>
    <n v="0"/>
    <x v="1"/>
    <s v="manuální pracovník/ce"/>
    <x v="3"/>
    <n v="0"/>
    <s v="ne"/>
    <s v="ne"/>
    <n v="504"/>
    <n v="700"/>
    <s v="ne"/>
    <s v="ne"/>
    <s v="ne"/>
    <s v="ne"/>
    <s v="ne"/>
    <s v="ne"/>
    <s v="ne"/>
    <n v="217"/>
    <m/>
  </r>
  <r>
    <n v="56"/>
    <s v="ženatý/vdaná"/>
    <s v="Praha"/>
    <n v="2"/>
    <n v="30000"/>
    <n v="30000"/>
    <n v="0"/>
    <x v="1"/>
    <s v="manuální pracovník/ce"/>
    <x v="3"/>
    <n v="25000"/>
    <n v="300"/>
    <s v="ne"/>
    <n v="1347"/>
    <s v="ne"/>
    <s v="ne"/>
    <s v="ne"/>
    <s v="ne"/>
    <s v="ne"/>
    <n v="125000"/>
    <s v="ne"/>
    <s v="ne"/>
    <s v="ne"/>
    <m/>
  </r>
  <r>
    <n v="44"/>
    <s v="ženatý/vdaná"/>
    <s v="Praha"/>
    <n v="2"/>
    <n v="14000"/>
    <n v="14000"/>
    <n v="0"/>
    <x v="1"/>
    <s v="manuální pracovník/ce"/>
    <x v="3"/>
    <n v="25000"/>
    <n v="300"/>
    <s v="ne"/>
    <n v="748"/>
    <s v="ne"/>
    <s v="ne"/>
    <s v="ne"/>
    <s v="ne"/>
    <s v="ne"/>
    <n v="125000"/>
    <s v="ne"/>
    <s v="ne"/>
    <s v="ne"/>
    <m/>
  </r>
  <r>
    <n v="27"/>
    <s v="svobodný/á"/>
    <s v="Středočeský kraj - obec"/>
    <n v="0"/>
    <n v="10000"/>
    <n v="10000"/>
    <n v="0"/>
    <x v="2"/>
    <s v="manuální pracovník/ce"/>
    <x v="1"/>
    <n v="100000"/>
    <s v="ne"/>
    <s v="ne"/>
    <s v="ne"/>
    <n v="2500"/>
    <n v="1000000"/>
    <s v="ne"/>
    <s v="ne"/>
    <s v="ne"/>
    <n v="50000"/>
    <s v="ne"/>
    <s v="ne"/>
    <s v="ne"/>
    <m/>
  </r>
  <r>
    <n v="40"/>
    <s v="rozvedený/á"/>
    <s v="Středočeský kraj - Kladno"/>
    <n v="1"/>
    <n v="16000"/>
    <n v="16000"/>
    <n v="0"/>
    <x v="0"/>
    <s v="manuální pracovník/ce"/>
    <x v="1"/>
    <n v="0"/>
    <n v="300"/>
    <s v="ano"/>
    <s v="ne"/>
    <s v="ne"/>
    <s v="ne"/>
    <s v="ne"/>
    <s v="ne"/>
    <s v="ne"/>
    <n v="212435"/>
    <s v="ne"/>
    <s v="ne"/>
    <s v="ne"/>
    <m/>
  </r>
  <r>
    <n v="33"/>
    <s v="ženatý/vdaná"/>
    <s v="Středočeský kraj - obec"/>
    <n v="1"/>
    <n v="33000"/>
    <n v="13400"/>
    <n v="19600"/>
    <x v="1"/>
    <s v="pracovník/ce v administrativě"/>
    <x v="3"/>
    <n v="950000"/>
    <n v="1500"/>
    <s v="ne"/>
    <n v="1200"/>
    <n v="2000"/>
    <s v="ne"/>
    <s v="ne"/>
    <n v="1750"/>
    <n v="595000"/>
    <s v="ne"/>
    <s v="ne"/>
    <n v="91"/>
    <n v="436"/>
    <m/>
  </r>
  <r>
    <n v="30"/>
    <s v="ženatý/vdaná"/>
    <s v="Středočeský kraj - obec"/>
    <n v="1"/>
    <n v="7600"/>
    <n v="7600"/>
    <n v="0"/>
    <x v="3"/>
    <s v="mateřská dovolená"/>
    <x v="3"/>
    <n v="950000"/>
    <n v="300"/>
    <s v="ne"/>
    <n v="395"/>
    <s v="ne"/>
    <s v="ne"/>
    <s v="ne"/>
    <s v="ne"/>
    <n v="595000"/>
    <s v="ne"/>
    <s v="ne"/>
    <s v="ne"/>
    <s v="ne"/>
    <m/>
  </r>
  <r>
    <n v="39"/>
    <s v="svobodný/á"/>
    <s v="Středočeský kraj - Kladno"/>
    <n v="0"/>
    <n v="20000"/>
    <n v="20000"/>
    <n v="0"/>
    <x v="0"/>
    <s v="manuální pracovník/ce"/>
    <x v="1"/>
    <n v="0"/>
    <s v="ne"/>
    <s v="ne"/>
    <s v="ne"/>
    <s v="ne"/>
    <s v="ne"/>
    <s v="ne"/>
    <s v="ne"/>
    <s v="ne"/>
    <n v="550000"/>
    <s v="ne"/>
    <s v="ne"/>
    <s v="ne"/>
    <m/>
  </r>
  <r>
    <n v="23"/>
    <s v="svobodný/á"/>
    <s v="Praha"/>
    <n v="0"/>
    <n v="25000"/>
    <n v="11000"/>
    <n v="14000"/>
    <x v="1"/>
    <s v="pracovník/ce v administrativě"/>
    <x v="3"/>
    <n v="60000"/>
    <n v="300"/>
    <s v="ne"/>
    <n v="850"/>
    <s v="ne"/>
    <s v="ne"/>
    <s v="ne"/>
    <s v="ne"/>
    <s v="ne"/>
    <s v="ne"/>
    <s v="ne"/>
    <s v="ne"/>
    <s v="ne"/>
    <m/>
  </r>
  <r>
    <n v="23"/>
    <s v="svobodný/á"/>
    <s v="Praha"/>
    <n v="0"/>
    <n v="16000"/>
    <n v="11000"/>
    <n v="5000"/>
    <x v="1"/>
    <s v="pracovník/ce v administrativě"/>
    <x v="3"/>
    <n v="60000"/>
    <n v="500"/>
    <s v="ne"/>
    <s v="ne"/>
    <s v="ne"/>
    <s v="ne"/>
    <s v="ne"/>
    <s v="ne"/>
    <s v="ne"/>
    <s v="ne"/>
    <s v="ne"/>
    <s v="ne"/>
    <s v="ne"/>
    <m/>
  </r>
  <r>
    <n v="23"/>
    <s v="svobodný/á"/>
    <s v="Praha"/>
    <n v="0"/>
    <n v="50000"/>
    <n v="50000"/>
    <n v="0"/>
    <x v="1"/>
    <s v="podnikatel/ka"/>
    <x v="3"/>
    <n v="30000"/>
    <n v="300"/>
    <s v="ano"/>
    <n v="1100"/>
    <n v="1000"/>
    <s v="ne"/>
    <s v="ne"/>
    <s v="ne"/>
    <s v="ne"/>
    <s v="ne"/>
    <s v="ne"/>
    <n v="100"/>
    <s v="ne"/>
    <m/>
  </r>
  <r>
    <n v="31"/>
    <s v="svobodný/á"/>
    <s v="Praha"/>
    <n v="0"/>
    <n v="36000"/>
    <n v="25550"/>
    <n v="10450"/>
    <x v="3"/>
    <s v="pracovník/ce v administrativě"/>
    <x v="0"/>
    <n v="600000"/>
    <s v="ne"/>
    <s v="ne"/>
    <n v="1338"/>
    <n v="2000"/>
    <s v="ne"/>
    <n v="2500000"/>
    <s v="ne"/>
    <n v="2500000"/>
    <s v="ne"/>
    <s v="ne"/>
    <n v="168"/>
    <s v="ne"/>
    <m/>
  </r>
  <r>
    <n v="40"/>
    <s v="ženatý/vdaná"/>
    <s v="Středočeský kraj - obec"/>
    <n v="2"/>
    <n v="63000"/>
    <n v="52400"/>
    <n v="10600"/>
    <x v="1"/>
    <s v="podnikatel/ka"/>
    <x v="0"/>
    <n v="0"/>
    <n v="1500"/>
    <s v="ne"/>
    <n v="2000"/>
    <s v="ne"/>
    <s v="ne"/>
    <s v="ne"/>
    <s v="ne"/>
    <n v="500000"/>
    <s v="ne"/>
    <s v="ne"/>
    <n v="468"/>
    <s v="ne"/>
    <m/>
  </r>
  <r>
    <n v="38"/>
    <s v="ženatý/vdaná"/>
    <s v="Středočeský kraj - obec"/>
    <n v="2"/>
    <n v="15600"/>
    <n v="15600"/>
    <n v="0"/>
    <x v="3"/>
    <s v="manuální pracovník/ce"/>
    <x v="0"/>
    <n v="0"/>
    <n v="500"/>
    <s v="ne"/>
    <s v="ne"/>
    <s v="ne"/>
    <s v="ne"/>
    <s v="ne"/>
    <s v="ne"/>
    <n v="500000"/>
    <s v="ne"/>
    <s v="ne"/>
    <s v="ne"/>
    <s v="ne"/>
    <m/>
  </r>
  <r>
    <n v="43"/>
    <s v="ženatý/vdaná"/>
    <s v="Praha"/>
    <n v="0"/>
    <n v="100000"/>
    <n v="38000"/>
    <n v="62000"/>
    <x v="1"/>
    <s v="podnikatel/ka"/>
    <x v="1"/>
    <n v="0"/>
    <s v="ne"/>
    <s v="ne"/>
    <s v="ne"/>
    <s v="ne"/>
    <s v="ne"/>
    <s v="ne"/>
    <s v="ne"/>
    <n v="1450000"/>
    <s v="ne"/>
    <s v="ne"/>
    <n v="188"/>
    <s v="ne"/>
    <m/>
  </r>
  <r>
    <n v="35"/>
    <s v="ženatý/vdaná"/>
    <s v="Praha"/>
    <n v="0"/>
    <n v="40000"/>
    <n v="38000"/>
    <n v="2000"/>
    <x v="3"/>
    <s v="manažer/ka, ředitel/ka"/>
    <x v="1"/>
    <n v="0"/>
    <s v="ne"/>
    <s v="ne"/>
    <n v="1261"/>
    <s v="ne"/>
    <s v="ne"/>
    <s v="ne"/>
    <s v="ne"/>
    <n v="1450000"/>
    <s v="ne"/>
    <s v="ne"/>
    <s v="ne"/>
    <s v="ne"/>
    <m/>
  </r>
  <r>
    <n v="34"/>
    <s v="svobodný/á"/>
    <s v="Středočeský kraj - Kladno"/>
    <n v="0"/>
    <n v="25000"/>
    <n v="17300"/>
    <n v="7700"/>
    <x v="1"/>
    <s v="manažer/ka, ředitel/ka"/>
    <x v="1"/>
    <n v="150000"/>
    <s v="ne"/>
    <s v="ne"/>
    <n v="1100"/>
    <s v="ne"/>
    <s v="ne"/>
    <s v="ne"/>
    <s v="ne"/>
    <n v="1550000"/>
    <n v="50000"/>
    <s v="ne"/>
    <n v="127"/>
    <s v="ne"/>
    <m/>
  </r>
  <r>
    <n v="30"/>
    <s v="ženatý/vdaná"/>
    <s v="Středočeský kraj - obec"/>
    <n v="1"/>
    <n v="20000"/>
    <n v="11000"/>
    <n v="9000"/>
    <x v="0"/>
    <s v="manuální pracovník/ce"/>
    <x v="1"/>
    <n v="10000"/>
    <n v="800"/>
    <s v="ne"/>
    <n v="600"/>
    <s v="ne"/>
    <s v="ne"/>
    <s v="ne"/>
    <s v="ne"/>
    <n v="665000"/>
    <s v="ne"/>
    <s v="ne"/>
    <n v="198"/>
    <s v="ne"/>
    <m/>
  </r>
  <r>
    <n v="26"/>
    <s v="ženatý/vdaná"/>
    <s v="Středočeský kraj - obec"/>
    <n v="1"/>
    <n v="11600"/>
    <n v="11000"/>
    <n v="600"/>
    <x v="3"/>
    <s v="mateřská dovolená"/>
    <x v="1"/>
    <n v="10000"/>
    <s v="ne"/>
    <s v="ne"/>
    <n v="800"/>
    <s v="ne"/>
    <s v="ne"/>
    <s v="ne"/>
    <s v="ne"/>
    <n v="665000"/>
    <s v="ne"/>
    <s v="ne"/>
    <s v="ne"/>
    <s v="ne"/>
    <m/>
  </r>
  <r>
    <n v="50"/>
    <s v="ženatý/vdaná"/>
    <s v="Praha"/>
    <n v="3"/>
    <n v="50000"/>
    <n v="36000"/>
    <n v="14000"/>
    <x v="1"/>
    <s v="podnikatel/ka"/>
    <x v="0"/>
    <n v="0"/>
    <s v="ne"/>
    <s v="ne"/>
    <n v="9000"/>
    <s v="ne"/>
    <s v="ne"/>
    <s v="ne"/>
    <s v="ne"/>
    <n v="300000"/>
    <s v="ne"/>
    <n v="250000"/>
    <s v="ne"/>
    <s v="ne"/>
    <m/>
  </r>
  <r>
    <n v="36"/>
    <s v="ženatý/vdaná"/>
    <s v="Praha"/>
    <n v="3"/>
    <n v="0"/>
    <n v="0"/>
    <n v="0"/>
    <x v="1"/>
    <s v="nezaměstnaný/á"/>
    <x v="0"/>
    <n v="0"/>
    <n v="300"/>
    <s v="ne"/>
    <s v="ne"/>
    <s v="ne"/>
    <s v="ne"/>
    <s v="ne"/>
    <s v="ne"/>
    <n v="300000"/>
    <s v="ne"/>
    <s v="ne"/>
    <s v="ne"/>
    <s v="ne"/>
    <m/>
  </r>
  <r>
    <n v="28"/>
    <s v="svobodný/á"/>
    <s v="Středočeský kraj - obec"/>
    <n v="0"/>
    <n v="15000"/>
    <n v="16000"/>
    <n v="-1000"/>
    <x v="1"/>
    <s v="manuální pracovník/ce"/>
    <x v="2"/>
    <n v="20000"/>
    <s v="ne"/>
    <s v="ne"/>
    <n v="1053"/>
    <n v="1000"/>
    <s v="ne"/>
    <s v="ne"/>
    <s v="ne"/>
    <s v="ne"/>
    <s v="ne"/>
    <s v="ne"/>
    <s v="ne"/>
    <s v="ne"/>
    <m/>
  </r>
  <r>
    <n v="30"/>
    <s v="ženatý/vdaná"/>
    <s v="Středočeský kraj - obec"/>
    <n v="1"/>
    <n v="18000"/>
    <n v="18000"/>
    <n v="0"/>
    <x v="1"/>
    <s v="státní zaměstnanec/kyně"/>
    <x v="0"/>
    <n v="200000"/>
    <s v="ne"/>
    <s v="ne"/>
    <n v="1000"/>
    <n v="1000"/>
    <s v="ne"/>
    <s v="ne"/>
    <s v="ne"/>
    <n v="1250000"/>
    <s v="ne"/>
    <s v="ne"/>
    <s v="ne"/>
    <n v="300"/>
    <m/>
  </r>
  <r>
    <n v="31"/>
    <s v="ženatý/vdaná"/>
    <s v="Středočeský kraj - obec"/>
    <n v="1"/>
    <n v="7600"/>
    <n v="7600"/>
    <n v="0"/>
    <x v="1"/>
    <s v="mateřská dovolená"/>
    <x v="0"/>
    <n v="200000"/>
    <n v="300"/>
    <s v="ne"/>
    <n v="1335"/>
    <s v="ne"/>
    <s v="ne"/>
    <s v="ne"/>
    <s v="ne"/>
    <n v="1250000"/>
    <s v="ne"/>
    <s v="ne"/>
    <s v="ne"/>
    <s v="ne"/>
    <m/>
  </r>
  <r>
    <n v="39"/>
    <s v="svobodný/á"/>
    <s v="Středočeský kraj - Kladno"/>
    <n v="0"/>
    <n v="34000"/>
    <n v="19000"/>
    <n v="15000"/>
    <x v="3"/>
    <s v="manuální pracovník/ce"/>
    <x v="1"/>
    <n v="200000"/>
    <s v="ne"/>
    <s v="ne"/>
    <n v="1300"/>
    <s v="ne"/>
    <s v="ne"/>
    <n v="200000"/>
    <s v="ne"/>
    <s v="ne"/>
    <s v="ne"/>
    <s v="ne"/>
    <n v="91"/>
    <n v="150"/>
    <m/>
  </r>
  <r>
    <n v="22"/>
    <s v="svobodný/á"/>
    <s v="Středočeský kraj - obec"/>
    <n v="0"/>
    <n v="15000"/>
    <n v="6700"/>
    <n v="8300"/>
    <x v="2"/>
    <s v="státní zaměstnanec/kyně"/>
    <x v="2"/>
    <n v="30000"/>
    <n v="300"/>
    <s v="ne"/>
    <n v="560"/>
    <n v="500"/>
    <s v="ne"/>
    <s v="ne"/>
    <s v="ne"/>
    <s v="ne"/>
    <s v="ne"/>
    <s v="ne"/>
    <s v="ne"/>
    <s v="ne"/>
    <m/>
  </r>
  <r>
    <n v="38"/>
    <s v="svobodný/á"/>
    <s v="Středočeský kraj - obec"/>
    <n v="1"/>
    <n v="40000"/>
    <n v="33280"/>
    <n v="6720"/>
    <x v="2"/>
    <s v="podnikatel/ka"/>
    <x v="1"/>
    <n v="0"/>
    <n v="300"/>
    <s v="ne"/>
    <n v="1800"/>
    <n v="3000"/>
    <s v="ne"/>
    <s v="ne"/>
    <s v="ne"/>
    <s v="ne"/>
    <s v="ne"/>
    <s v="ne"/>
    <n v="166"/>
    <s v="ne"/>
    <m/>
  </r>
  <r>
    <n v="31"/>
    <s v="svobodný/á"/>
    <s v="Středočeský kraj - obec"/>
    <n v="1"/>
    <n v="10200"/>
    <n v="10200"/>
    <n v="0"/>
    <x v="1"/>
    <s v="manuální pracovník/ce"/>
    <x v="1"/>
    <n v="0"/>
    <n v="300"/>
    <s v="ne"/>
    <n v="1304"/>
    <s v="ne"/>
    <s v="ne"/>
    <s v="ne"/>
    <s v="ne"/>
    <s v="ne"/>
    <s v="ne"/>
    <s v="ne"/>
    <s v="ne"/>
    <s v="ne"/>
    <m/>
  </r>
  <r>
    <n v="63"/>
    <s v="rozvedený/á"/>
    <s v="Středočeský kraj - Kladno"/>
    <n v="1"/>
    <n v="18000"/>
    <n v="14000"/>
    <n v="4000"/>
    <x v="1"/>
    <s v="státní zaměstnanec/kyně"/>
    <x v="1"/>
    <n v="120000"/>
    <s v="ne"/>
    <s v="ne"/>
    <n v="420"/>
    <n v="2000"/>
    <s v="ne"/>
    <s v="ne"/>
    <s v="ne"/>
    <s v="ne"/>
    <s v="ne"/>
    <s v="ne"/>
    <n v="100"/>
    <s v="ne"/>
    <m/>
  </r>
  <r>
    <n v="35"/>
    <s v="rozvedený/á"/>
    <s v="Středočeský kraj - obec"/>
    <n v="1"/>
    <n v="25000"/>
    <n v="25000"/>
    <n v="0"/>
    <x v="3"/>
    <s v="státní zaměstnanec/kyně"/>
    <x v="0"/>
    <n v="20000"/>
    <n v="300"/>
    <s v="ne"/>
    <n v="711"/>
    <n v="1500"/>
    <s v="ne"/>
    <s v="ne"/>
    <s v="ne"/>
    <s v="ne"/>
    <s v="ne"/>
    <s v="ne"/>
    <n v="105"/>
    <s v="ne"/>
    <m/>
  </r>
  <r>
    <n v="35"/>
    <s v="ženatý/vdaná"/>
    <s v="Praha"/>
    <n v="2"/>
    <n v="20000"/>
    <n v="17500"/>
    <n v="2500"/>
    <x v="3"/>
    <s v="pracovník/ce v administrativě"/>
    <x v="0"/>
    <n v="34000"/>
    <n v="300"/>
    <s v="ne"/>
    <n v="550"/>
    <s v="ne"/>
    <s v="ne"/>
    <s v="ne"/>
    <n v="1500"/>
    <s v="ne"/>
    <s v="ne"/>
    <s v="ne"/>
    <n v="290"/>
    <n v="650"/>
    <m/>
  </r>
  <r>
    <n v="35"/>
    <s v="ženatý/vdaná"/>
    <s v="Praha"/>
    <n v="2"/>
    <n v="23000"/>
    <n v="17500"/>
    <n v="5500"/>
    <x v="1"/>
    <s v="státní zaměstnanec/kyně"/>
    <x v="0"/>
    <n v="34000"/>
    <n v="300"/>
    <s v="ne"/>
    <n v="1107"/>
    <s v="ne"/>
    <s v="ne"/>
    <s v="ne"/>
    <n v="1500"/>
    <s v="ne"/>
    <s v="ne"/>
    <s v="ne"/>
    <s v="ne"/>
    <s v="ne"/>
    <m/>
  </r>
  <r>
    <n v="38"/>
    <s v="ženatý/vdaná"/>
    <s v="Středočeský kraj - obec"/>
    <n v="1"/>
    <n v="19000"/>
    <n v="19000"/>
    <n v="0"/>
    <x v="1"/>
    <s v="státní zaměstnanec/kyně"/>
    <x v="0"/>
    <n v="0"/>
    <s v="ne"/>
    <s v="ne"/>
    <n v="750"/>
    <s v="ne"/>
    <s v="ne"/>
    <s v="ne"/>
    <s v="ne"/>
    <n v="850000"/>
    <n v="130000"/>
    <s v="ne"/>
    <s v="ne"/>
    <s v="ne"/>
    <m/>
  </r>
  <r>
    <n v="40"/>
    <s v="ženatý/vdaná"/>
    <s v="Středočeský kraj - obec"/>
    <n v="1"/>
    <n v="30600"/>
    <n v="30600"/>
    <n v="0"/>
    <x v="1"/>
    <s v="státní zaměstnanec/kyně"/>
    <x v="0"/>
    <n v="0"/>
    <s v="ne"/>
    <s v="ne"/>
    <s v="ne"/>
    <s v="ne"/>
    <s v="ne"/>
    <s v="ne"/>
    <s v="ne"/>
    <n v="850000"/>
    <n v="130000"/>
    <s v="ne"/>
    <s v="ne"/>
    <s v="ne"/>
    <m/>
  </r>
  <r>
    <n v="29"/>
    <s v="ženatý/vdaná"/>
    <s v="Středočeský kraj - obec"/>
    <n v="1"/>
    <n v="20400"/>
    <n v="15900"/>
    <n v="4500"/>
    <x v="1"/>
    <s v="mateřská dovolená"/>
    <x v="0"/>
    <n v="50000"/>
    <n v="100"/>
    <s v="ne"/>
    <n v="640"/>
    <s v="ne"/>
    <s v="ne"/>
    <s v="ne"/>
    <s v="ne"/>
    <n v="550000"/>
    <s v="ne"/>
    <s v="ne"/>
    <s v="ne"/>
    <n v="173"/>
    <m/>
  </r>
  <r>
    <n v="32"/>
    <s v="ženatý/vdaná"/>
    <s v="Středočeský kraj - obec"/>
    <n v="1"/>
    <n v="23000"/>
    <n v="15900"/>
    <n v="7100"/>
    <x v="1"/>
    <s v="manuální pracovník/ce"/>
    <x v="0"/>
    <n v="50000"/>
    <n v="300"/>
    <s v="ne"/>
    <n v="825"/>
    <s v="ne"/>
    <s v="ne"/>
    <s v="ne"/>
    <s v="ne"/>
    <n v="550000"/>
    <s v="ne"/>
    <s v="ne"/>
    <s v="ne"/>
    <n v="225"/>
    <m/>
  </r>
  <r>
    <n v="40"/>
    <s v="ženatý/vdaná"/>
    <s v="Praha"/>
    <n v="3"/>
    <n v="7600"/>
    <n v="7600"/>
    <n v="0"/>
    <x v="3"/>
    <s v="mateřská dovolená"/>
    <x v="0"/>
    <n v="200000"/>
    <s v="ne"/>
    <s v="ne"/>
    <n v="820"/>
    <s v="ne"/>
    <s v="ne"/>
    <s v="ne"/>
    <s v="ne"/>
    <n v="1050000"/>
    <s v="ne"/>
    <s v="ne"/>
    <n v="220"/>
    <n v="266"/>
    <m/>
  </r>
  <r>
    <n v="43"/>
    <s v="ženatý/vdaná"/>
    <s v="Praha"/>
    <n v="3"/>
    <n v="34500"/>
    <n v="32400"/>
    <n v="2100"/>
    <x v="3"/>
    <s v="podnikatel/ka"/>
    <x v="0"/>
    <n v="200000"/>
    <s v="ne"/>
    <s v="ne"/>
    <s v="ne"/>
    <s v="ne"/>
    <s v="ne"/>
    <s v="ne"/>
    <s v="ne"/>
    <n v="1050000"/>
    <s v="ne"/>
    <s v="ne"/>
    <s v="ne"/>
    <s v="ne"/>
    <m/>
  </r>
  <r>
    <n v="39"/>
    <s v="svobodný/á"/>
    <s v="Středočeský kraj - obec"/>
    <n v="2"/>
    <n v="29000"/>
    <n v="18000"/>
    <n v="11000"/>
    <x v="4"/>
    <s v="manažer/ka, ředitel/ka"/>
    <x v="0"/>
    <n v="40000"/>
    <n v="100"/>
    <s v="ne"/>
    <n v="600"/>
    <s v="ne"/>
    <s v="ne"/>
    <s v="ne"/>
    <s v="ne"/>
    <s v="ne"/>
    <n v="300000"/>
    <s v="ne"/>
    <s v="ne"/>
    <n v="210"/>
    <m/>
  </r>
  <r>
    <n v="40"/>
    <s v="svobodný/á"/>
    <s v="Středočeský kraj - obec"/>
    <n v="2"/>
    <n v="14000"/>
    <n v="14000"/>
    <n v="0"/>
    <x v="1"/>
    <s v="pracovník/ce v administrativě"/>
    <x v="0"/>
    <n v="40000"/>
    <n v="100"/>
    <s v="ne"/>
    <n v="600"/>
    <s v="ne"/>
    <s v="ne"/>
    <s v="ne"/>
    <s v="ne"/>
    <s v="ne"/>
    <n v="200000"/>
    <s v="ne"/>
    <s v="ne"/>
    <s v="ne"/>
    <m/>
  </r>
  <r>
    <n v="40"/>
    <s v="ženatý/vdaná"/>
    <s v="Středočeský kraj - obec"/>
    <n v="2"/>
    <n v="50000"/>
    <n v="27500"/>
    <n v="22500"/>
    <x v="1"/>
    <s v="podnikatel/ka"/>
    <x v="0"/>
    <n v="300000"/>
    <n v="500"/>
    <s v="ne"/>
    <n v="900"/>
    <n v="5000"/>
    <s v="ne"/>
    <s v="ne"/>
    <n v="1500"/>
    <n v="1100000"/>
    <s v="ne"/>
    <n v="350000"/>
    <n v="310"/>
    <n v="208"/>
    <m/>
  </r>
  <r>
    <n v="41"/>
    <s v="ženatý/vdaná"/>
    <s v="Praha"/>
    <n v="2"/>
    <n v="40000"/>
    <n v="27500"/>
    <n v="12500"/>
    <x v="3"/>
    <s v="státní zaměstnanec/kyně"/>
    <x v="0"/>
    <n v="0"/>
    <n v="500"/>
    <s v="ne"/>
    <n v="1535"/>
    <s v="ne"/>
    <s v="ne"/>
    <s v="ne"/>
    <n v="1500"/>
    <s v="ne"/>
    <s v="ne"/>
    <s v="ne"/>
    <s v="ne"/>
    <s v="ne"/>
    <m/>
  </r>
  <r>
    <n v="38"/>
    <s v="ženatý/vdaná"/>
    <s v="Středočeský kraj - Kladno"/>
    <n v="2"/>
    <n v="19000"/>
    <n v="19000"/>
    <n v="0"/>
    <x v="1"/>
    <s v="státní zaměstnanec/kyně"/>
    <x v="1"/>
    <n v="0"/>
    <s v="ne"/>
    <s v="ne"/>
    <s v="ne"/>
    <s v="ne"/>
    <s v="ne"/>
    <s v="ne"/>
    <n v="1700"/>
    <s v="ne"/>
    <n v="125000"/>
    <s v="ne"/>
    <n v="190"/>
    <n v="225"/>
    <m/>
  </r>
  <r>
    <n v="40"/>
    <s v="ženatý/vdaná"/>
    <s v="Středočeský kraj - Kladno"/>
    <n v="2"/>
    <n v="27000"/>
    <n v="27000"/>
    <n v="0"/>
    <x v="1"/>
    <s v="státní zaměstnanec/kyně"/>
    <x v="1"/>
    <n v="0"/>
    <s v="ne"/>
    <s v="ne"/>
    <s v="ne"/>
    <s v="ne"/>
    <s v="ne"/>
    <s v="ne"/>
    <n v="1700"/>
    <s v="ne"/>
    <n v="125000"/>
    <s v="ne"/>
    <s v="ne"/>
    <s v="ne"/>
    <m/>
  </r>
  <r>
    <n v="37"/>
    <s v="ženatý/vdaná"/>
    <s v="Středočeský kraj - Kladno"/>
    <n v="2"/>
    <n v="13000"/>
    <n v="11450"/>
    <n v="1550"/>
    <x v="0"/>
    <s v="manuální pracovník/ce"/>
    <x v="0"/>
    <n v="10000"/>
    <s v="ne"/>
    <s v="ne"/>
    <n v="890"/>
    <n v="1000"/>
    <s v="ne"/>
    <s v="ne"/>
    <s v="ne"/>
    <n v="550000"/>
    <s v="ne"/>
    <s v="ne"/>
    <s v="ne"/>
    <s v="ne"/>
    <m/>
  </r>
  <r>
    <n v="37"/>
    <s v="ženatý/vdaná"/>
    <s v="Středočeský kraj - Kladno"/>
    <n v="2"/>
    <n v="21000"/>
    <n v="11450"/>
    <n v="9550"/>
    <x v="0"/>
    <s v="manuální pracovník/ce"/>
    <x v="0"/>
    <n v="10000"/>
    <s v="ne"/>
    <s v="ne"/>
    <n v="901"/>
    <n v="500"/>
    <s v="ne"/>
    <s v="ne"/>
    <s v="ne"/>
    <n v="550000"/>
    <s v="ne"/>
    <s v="ne"/>
    <n v="322"/>
    <n v="371"/>
    <m/>
  </r>
  <r>
    <n v="41"/>
    <s v="ženatý/vdaná"/>
    <s v="Středočeský kraj - obec"/>
    <n v="2"/>
    <n v="21400"/>
    <n v="21400"/>
    <n v="0"/>
    <x v="2"/>
    <s v="státní zaměstnanec/kyně"/>
    <x v="0"/>
    <n v="2000000"/>
    <s v="ne"/>
    <s v="ne"/>
    <n v="1044"/>
    <s v="ne"/>
    <s v="ne"/>
    <n v="500000"/>
    <n v="1700"/>
    <s v="ne"/>
    <s v="ne"/>
    <s v="ne"/>
    <s v="ne"/>
    <n v="383"/>
    <m/>
  </r>
  <r>
    <n v="45"/>
    <s v="ženatý/vdaná"/>
    <s v="Středočeský kraj - obec"/>
    <n v="2"/>
    <n v="80000"/>
    <n v="34600"/>
    <n v="45400"/>
    <x v="3"/>
    <s v="státní zaměstnanec/kyně"/>
    <x v="0"/>
    <n v="2000000"/>
    <s v="ne"/>
    <s v="ne"/>
    <n v="1750"/>
    <s v="ne"/>
    <s v="ne"/>
    <n v="500000"/>
    <n v="1700"/>
    <s v="ne"/>
    <s v="ne"/>
    <s v="ne"/>
    <n v="433"/>
    <n v="233"/>
    <m/>
  </r>
  <r>
    <n v="30"/>
    <s v="ženatý/vdaná"/>
    <s v="Středočeský kraj - obec"/>
    <n v="2"/>
    <n v="10100"/>
    <n v="10100"/>
    <n v="0"/>
    <x v="1"/>
    <s v="mateřská dovolená"/>
    <x v="0"/>
    <n v="0"/>
    <n v="300"/>
    <s v="ne"/>
    <n v="1020"/>
    <s v="ne"/>
    <s v="ne"/>
    <s v="ne"/>
    <s v="ne"/>
    <n v="1250000"/>
    <n v="150000"/>
    <s v="ne"/>
    <n v="450"/>
    <n v="133"/>
    <m/>
  </r>
  <r>
    <n v="35"/>
    <s v="ženatý/vdaná"/>
    <s v="Středočeský kraj - obec"/>
    <n v="2"/>
    <n v="22000"/>
    <n v="22000"/>
    <n v="0"/>
    <x v="1"/>
    <s v="pracovník/ce v administrativě"/>
    <x v="0"/>
    <n v="0"/>
    <n v="300"/>
    <s v="ne"/>
    <s v="ne"/>
    <s v="ne"/>
    <s v="ne"/>
    <s v="ne"/>
    <s v="ne"/>
    <n v="1250000"/>
    <n v="150000"/>
    <s v="ne"/>
    <s v="ne"/>
    <s v="ne"/>
    <m/>
  </r>
  <r>
    <n v="42"/>
    <s v="rozvedený/á"/>
    <s v="Středočeský kraj - obec"/>
    <n v="1"/>
    <n v="30000"/>
    <n v="25000"/>
    <n v="5000"/>
    <x v="1"/>
    <s v="pracovník/ce v administrativě"/>
    <x v="3"/>
    <n v="100000"/>
    <n v="500"/>
    <s v="ne"/>
    <n v="680"/>
    <s v="ne"/>
    <s v="ne"/>
    <s v="ne"/>
    <s v="ne"/>
    <s v="ne"/>
    <s v="ne"/>
    <s v="ne"/>
    <n v="81"/>
    <n v="761"/>
    <m/>
  </r>
  <r>
    <n v="38"/>
    <s v="ženatý/vdaná"/>
    <s v="Středočeský kraj - obec"/>
    <n v="2"/>
    <n v="15000"/>
    <n v="15000"/>
    <n v="0"/>
    <x v="3"/>
    <s v="manuální pracovník/ce"/>
    <x v="0"/>
    <n v="60000"/>
    <n v="1000"/>
    <s v="ne"/>
    <n v="879"/>
    <n v="1500"/>
    <s v="ne"/>
    <n v="1500000"/>
    <s v="ne"/>
    <n v="200000"/>
    <s v="ne"/>
    <s v="ne"/>
    <n v="157"/>
    <n v="350"/>
    <m/>
  </r>
  <r>
    <n v="40"/>
    <s v="ženatý/vdaná"/>
    <s v="Středočeský kraj - obec"/>
    <n v="2"/>
    <n v="36000"/>
    <n v="22000"/>
    <n v="14000"/>
    <x v="1"/>
    <s v="státní zaměstnanec/kyně"/>
    <x v="0"/>
    <n v="60000"/>
    <n v="1000"/>
    <s v="ne"/>
    <n v="650"/>
    <s v="ne"/>
    <s v="ne"/>
    <n v="1500000"/>
    <s v="ne"/>
    <n v="200000"/>
    <s v="ne"/>
    <s v="ne"/>
    <n v="198"/>
    <s v="ne"/>
    <m/>
  </r>
  <r>
    <n v="27"/>
    <s v="svobodný/á"/>
    <s v="Středočeský kraj - obec"/>
    <n v="0"/>
    <n v="23000"/>
    <n v="17000"/>
    <n v="6000"/>
    <x v="1"/>
    <s v="manuální pracovník/ce"/>
    <x v="2"/>
    <n v="0"/>
    <n v="300"/>
    <s v="ne"/>
    <n v="720"/>
    <s v="ne"/>
    <s v="ne"/>
    <s v="ne"/>
    <s v="ne"/>
    <s v="ne"/>
    <s v="ne"/>
    <s v="ne"/>
    <s v="ne"/>
    <s v="ne"/>
    <m/>
  </r>
  <r>
    <n v="51"/>
    <s v="rozvedený/á"/>
    <s v="Středočeský kraj - obec"/>
    <n v="1"/>
    <n v="16000"/>
    <n v="16000"/>
    <n v="0"/>
    <x v="0"/>
    <s v="manuální pracovník/ce"/>
    <x v="0"/>
    <n v="0"/>
    <n v="1000"/>
    <s v="ne"/>
    <n v="700"/>
    <s v="ne"/>
    <s v="ne"/>
    <s v="ne"/>
    <s v="ne"/>
    <s v="ne"/>
    <s v="ne"/>
    <s v="ne"/>
    <s v="ne"/>
    <s v="ne"/>
    <m/>
  </r>
  <r>
    <n v="27"/>
    <s v="ženatý/vdaná"/>
    <s v="Středočeský kraj - obec"/>
    <n v="1"/>
    <n v="10000"/>
    <n v="10000"/>
    <n v="0"/>
    <x v="3"/>
    <s v="státní zaměstnanec/kyně"/>
    <x v="1"/>
    <n v="0"/>
    <n v="300"/>
    <s v="ne"/>
    <n v="800"/>
    <n v="500"/>
    <s v="ne"/>
    <s v="ne"/>
    <s v="ne"/>
    <n v="550000"/>
    <s v="ne"/>
    <s v="ne"/>
    <n v="170"/>
    <n v="120"/>
    <m/>
  </r>
  <r>
    <n v="33"/>
    <s v="ženatý/vdaná"/>
    <s v="Středočeský kraj - obec"/>
    <n v="1"/>
    <n v="20000"/>
    <n v="17700"/>
    <n v="2300"/>
    <x v="1"/>
    <s v="manuální pracovník/ce"/>
    <x v="1"/>
    <n v="0"/>
    <n v="300"/>
    <s v="ne"/>
    <n v="1005"/>
    <s v="ne"/>
    <s v="ne"/>
    <s v="ne"/>
    <s v="ne"/>
    <n v="550000"/>
    <s v="ne"/>
    <s v="ne"/>
    <s v="ne"/>
    <s v="ne"/>
    <m/>
  </r>
  <r>
    <n v="40"/>
    <s v="rozvedený/á"/>
    <s v="Středočeský kraj - obec"/>
    <n v="3"/>
    <n v="24000"/>
    <n v="14000"/>
    <n v="10000"/>
    <x v="1"/>
    <s v="manažer/ka, ředitel/ka"/>
    <x v="1"/>
    <n v="50000"/>
    <n v="500"/>
    <s v="ano"/>
    <n v="506"/>
    <s v="ne"/>
    <s v="ne"/>
    <s v="ne"/>
    <s v="ne"/>
    <s v="ne"/>
    <n v="100000"/>
    <s v="ne"/>
    <s v="ne"/>
    <s v="ne"/>
    <m/>
  </r>
  <r>
    <n v="37"/>
    <s v="svobodný/á"/>
    <s v="Praha"/>
    <n v="0"/>
    <n v="27000"/>
    <n v="20000"/>
    <n v="7000"/>
    <x v="1"/>
    <s v="státní zaměstnanec/kyně"/>
    <x v="1"/>
    <n v="100000"/>
    <n v="500"/>
    <s v="ne"/>
    <n v="725"/>
    <n v="500"/>
    <s v="ne"/>
    <s v="ne"/>
    <s v="ne"/>
    <s v="ne"/>
    <s v="ne"/>
    <s v="ne"/>
    <n v="160"/>
    <s v="ne"/>
    <m/>
  </r>
  <r>
    <n v="37"/>
    <s v="ženatý/vdaná"/>
    <s v="Středočeský kraj - obec"/>
    <n v="3"/>
    <n v="30000"/>
    <n v="22500"/>
    <n v="7500"/>
    <x v="1"/>
    <s v="podnikatel/ka"/>
    <x v="0"/>
    <n v="25000"/>
    <n v="500"/>
    <s v="ne"/>
    <n v="1650"/>
    <n v="1000"/>
    <s v="ne"/>
    <n v="1600000"/>
    <n v="1700"/>
    <n v="80000"/>
    <n v="50000"/>
    <s v="ne"/>
    <n v="276"/>
    <n v="307"/>
    <m/>
  </r>
  <r>
    <n v="41"/>
    <s v="ženatý/vdaná"/>
    <s v="Středočeský kraj - obec"/>
    <n v="3"/>
    <n v="22500"/>
    <n v="22500"/>
    <n v="0"/>
    <x v="0"/>
    <s v="manuální pracovník/ce"/>
    <x v="0"/>
    <n v="25000"/>
    <n v="600"/>
    <s v="ano"/>
    <n v="537"/>
    <n v="1500"/>
    <s v="ne"/>
    <n v="1000000"/>
    <n v="1000"/>
    <n v="80000"/>
    <n v="50000"/>
    <s v="ne"/>
    <n v="133"/>
    <n v="262"/>
    <m/>
  </r>
  <r>
    <n v="38"/>
    <s v="ženatý/vdaná"/>
    <s v="Středočeský kraj - obec"/>
    <n v="2"/>
    <n v="35000"/>
    <n v="35000"/>
    <n v="0"/>
    <x v="3"/>
    <s v="podnikatel/ka"/>
    <x v="0"/>
    <n v="1000000"/>
    <n v="1500"/>
    <s v="ne"/>
    <n v="1000"/>
    <s v="ne"/>
    <n v="200000"/>
    <n v="1750000"/>
    <s v="ne"/>
    <s v="ne"/>
    <s v="ne"/>
    <s v="ne"/>
    <n v="500"/>
    <n v="750"/>
    <m/>
  </r>
  <r>
    <n v="45"/>
    <s v="ženatý/vdaná"/>
    <s v="Středočeský kraj - obec"/>
    <n v="2"/>
    <n v="120000"/>
    <n v="35000"/>
    <n v="85000"/>
    <x v="3"/>
    <s v="manažer/ka, ředitel/ka"/>
    <x v="0"/>
    <n v="1000000"/>
    <n v="1500"/>
    <s v="ne"/>
    <n v="1000"/>
    <s v="ne"/>
    <s v="ne"/>
    <n v="1750000"/>
    <s v="ne"/>
    <s v="ne"/>
    <s v="ne"/>
    <s v="ne"/>
    <s v="ne"/>
    <n v="59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 14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34:A335" firstHeaderRow="1" firstDataRow="1" firstDataCol="0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58">
        <item x="35"/>
        <item x="28"/>
        <item x="11"/>
        <item x="5"/>
        <item x="36"/>
        <item x="29"/>
        <item x="51"/>
        <item x="38"/>
        <item x="6"/>
        <item x="4"/>
        <item x="45"/>
        <item x="18"/>
        <item x="19"/>
        <item x="42"/>
        <item x="20"/>
        <item x="31"/>
        <item x="55"/>
        <item x="12"/>
        <item x="8"/>
        <item x="34"/>
        <item x="52"/>
        <item x="32"/>
        <item x="44"/>
        <item x="39"/>
        <item x="53"/>
        <item x="7"/>
        <item x="33"/>
        <item x="41"/>
        <item x="21"/>
        <item x="43"/>
        <item x="23"/>
        <item x="37"/>
        <item x="10"/>
        <item x="26"/>
        <item x="47"/>
        <item x="13"/>
        <item x="2"/>
        <item x="54"/>
        <item x="46"/>
        <item x="3"/>
        <item x="48"/>
        <item x="17"/>
        <item x="49"/>
        <item x="9"/>
        <item x="24"/>
        <item x="14"/>
        <item x="1"/>
        <item x="27"/>
        <item x="16"/>
        <item x="50"/>
        <item x="30"/>
        <item x="40"/>
        <item x="56"/>
        <item x="22"/>
        <item x="15"/>
        <item x="25"/>
        <item h="1" x="0"/>
        <item t="default"/>
      </items>
    </pivotField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Items count="1">
    <i/>
  </colItems>
  <pageFields count="1">
    <pageField fld="22" hier="-1"/>
  </pageFields>
  <dataFields count="1">
    <dataField name="Počet osob s uzavřeným majetkovým pojištěním" fld="2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73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Zaměstnání">
  <location ref="A236:H238" firstHeaderRow="1" firstDataRow="2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8">
        <item x="4"/>
        <item x="1"/>
        <item x="5"/>
        <item h="1" x="3"/>
        <item x="6"/>
        <item x="0"/>
        <item x="2"/>
        <item t="default"/>
      </items>
    </pivotField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9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Průměrná spořená částka" fld="18" subtotal="average" baseField="2" baseItem="0"/>
  </dataFields>
  <formats count="4">
    <format dxfId="175">
      <pivotArea outline="0" collapsedLevelsAreSubtotals="1" fieldPosition="0"/>
    </format>
    <format dxfId="174">
      <pivotArea dataOnly="0" labelOnly="1" fieldPosition="0">
        <references count="1">
          <reference field="9" count="0"/>
        </references>
      </pivotArea>
    </format>
    <format dxfId="173">
      <pivotArea dataOnly="0" labelOnly="1" grandCol="1" outline="0" fieldPosition="0"/>
    </format>
    <format dxfId="172">
      <pivotArea field="9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52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121:E123" firstHeaderRow="1" firstDataRow="2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Průměrná investovaná částka" fld="15" subtotal="average" baseField="2" baseItem="0"/>
  </dataFields>
  <formats count="5">
    <format dxfId="180">
      <pivotArea outline="0" collapsedLevelsAreSubtotals="1" fieldPosition="0"/>
    </format>
    <format dxfId="179">
      <pivotArea outline="0" collapsedLevelsAreSubtotals="1" fieldPosition="0"/>
    </format>
    <format dxfId="178">
      <pivotArea field="2" type="button" dataOnly="0" labelOnly="1" outline="0" axis="axisCol" fieldPosition="0"/>
    </format>
    <format dxfId="177">
      <pivotArea dataOnly="0" labelOnly="1" fieldPosition="0">
        <references count="1">
          <reference field="2" count="0"/>
        </references>
      </pivotArea>
    </format>
    <format dxfId="176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20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346:D348" firstHeaderRow="1" firstDataRow="2" firstDataCol="1"/>
  <pivotFields count="27">
    <pivotField axis="axisCol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Průměrná pojistná částka" fld="22" subtotal="average" baseField="0" baseItem="0" numFmtId="164"/>
  </dataFields>
  <formats count="4">
    <format dxfId="184">
      <pivotArea dataOnly="0" labelOnly="1" fieldPosition="0">
        <references count="1">
          <reference field="0" count="0"/>
        </references>
      </pivotArea>
    </format>
    <format dxfId="183">
      <pivotArea dataOnly="0" labelOnly="1" grandCol="1" outline="0" fieldPosition="0"/>
    </format>
    <format dxfId="182">
      <pivotArea field="0" type="button" dataOnly="0" labelOnly="1" outline="0" axis="axisCol" fieldPosition="0"/>
    </format>
    <format dxfId="18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 25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377:D379" firstHeaderRow="1" firstDataRow="2" firstDataCol="1"/>
  <pivotFields count="27">
    <pivotField axis="axisCol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Průměrná pojistná částka" fld="23" subtotal="average" baseField="0" baseItem="0"/>
  </dataFields>
  <formats count="4">
    <format dxfId="188">
      <pivotArea dataOnly="0" labelOnly="1" fieldPosition="0">
        <references count="1">
          <reference field="0" count="0"/>
        </references>
      </pivotArea>
    </format>
    <format dxfId="187">
      <pivotArea dataOnly="0" labelOnly="1" grandCol="1" outline="0" fieldPosition="0"/>
    </format>
    <format dxfId="186">
      <pivotArea field="0" type="button" dataOnly="0" labelOnly="1" outline="0" axis="axisCol" fieldPosition="0"/>
    </format>
    <format dxfId="185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 24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381:B388" firstHeaderRow="1" firstDataRow="1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6"/>
        <item x="4"/>
        <item x="0"/>
        <item x="1"/>
        <item x="2"/>
        <item x="5"/>
        <item h="1" x="3"/>
        <item t="default"/>
      </items>
    </pivotField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ůměrná pojistná částka" fld="23" subtotal="average" baseField="9" baseItem="0"/>
  </dataFields>
  <formats count="5">
    <format dxfId="193">
      <pivotArea dataOnly="0" labelOnly="1" grandCol="1" outline="0" fieldPosition="0"/>
    </format>
    <format dxfId="192">
      <pivotArea field="9" type="button" dataOnly="0" labelOnly="1" outline="0" axis="axisRow" fieldPosition="0"/>
    </format>
    <format dxfId="191">
      <pivotArea outline="0" collapsedLevelsAreSubtotals="1" fieldPosition="0"/>
    </format>
    <format dxfId="190">
      <pivotArea dataOnly="0" labelOnly="1" fieldPosition="0">
        <references count="1">
          <reference field="9" count="0"/>
        </references>
      </pivotArea>
    </format>
    <format dxfId="189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 13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220:A221" firstHeaderRow="1" firstDataRow="1" firstDataCol="0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axis="axisPage" dataField="1" multipleItemSelectionAllowed="1" showAll="0">
      <items count="13">
        <item x="7"/>
        <item x="8"/>
        <item x="6"/>
        <item x="5"/>
        <item x="3"/>
        <item x="9"/>
        <item x="2"/>
        <item x="1"/>
        <item x="11"/>
        <item x="4"/>
        <item x="10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Items count="1">
    <i/>
  </colItems>
  <pageFields count="1">
    <pageField fld="18" hier="-1"/>
  </pageFields>
  <dataFields count="1">
    <dataField name="Počet osob, pravidelně spořících ve stavebním spoření" fld="18" subtotal="count" baseField="0" baseItem="0"/>
  </dataFields>
  <formats count="1">
    <format dxfId="194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 84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12" colHeaderCaption="Nejvyšší dosažené vzdělání">
  <location ref="A129:B135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axis="axisRow" showAll="0">
      <items count="7">
        <item x="4"/>
        <item x="0"/>
        <item x="1"/>
        <item x="2"/>
        <item x="3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ná investovaná částka" fld="15" subtotal="average" baseField="0" baseItem="9"/>
  </dataFields>
  <formats count="5"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field="0" type="button" dataOnly="0" labelOnly="1" outline="0"/>
    </format>
    <format dxfId="196">
      <pivotArea dataOnly="0" labelOnly="1" grandCol="1" outline="0" fieldPosition="0"/>
    </format>
    <format dxfId="195">
      <pivotArea field="8" type="button" dataOnly="0" labelOnly="1" outline="0" axis="axisRow" fieldPosition="0"/>
    </format>
  </format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 40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296:A297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axis="axisPage" dataField="1"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20" hier="-1"/>
  </pageFields>
  <dataFields count="1">
    <dataField name="Počet spotřebitelských úvěrů" fld="20" subtotal="count" baseField="0" baseItem="0"/>
  </dataFields>
  <formats count="2">
    <format dxfId="201">
      <pivotArea dataOnly="0" labelOnly="1" outline="0" axis="axisValues" fieldPosition="0"/>
    </format>
    <format dxfId="20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 29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266:B274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x="0"/>
        <item x="4"/>
        <item x="6"/>
        <item x="5"/>
        <item x="2"/>
        <item x="1"/>
        <item x="3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ůměrná půjčená částka" fld="19" subtotal="average" baseField="24" baseItem="0" numFmtId="164"/>
  </dataFields>
  <formats count="8"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7">
      <pivotArea outline="0" collapsedLevelsAreSubtotals="1" fieldPosition="0"/>
    </format>
    <format dxfId="206">
      <pivotArea field="9" type="button" dataOnly="0" labelOnly="1" outline="0" axis="axisRow" fieldPosition="0"/>
    </format>
    <format dxfId="205">
      <pivotArea dataOnly="0" labelOnly="1" grandCol="1" outline="0" fieldPosition="0"/>
    </format>
    <format dxfId="204">
      <pivotArea field="9" type="button" dataOnly="0" labelOnly="1" outline="0" axis="axisRow" fieldPosition="0"/>
    </format>
    <format dxfId="203">
      <pivotArea dataOnly="0" labelOnly="1" fieldPosition="0">
        <references count="1">
          <reference field="9" count="0"/>
        </references>
      </pivotArea>
    </format>
    <format dxfId="202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 4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hlaví">
  <location ref="A308:B311" firstHeaderRow="1" firstDataRow="1" firstDataCol="1"/>
  <pivotFields count="27">
    <pivotField axis="axisRow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Průměr z Spotřebitelský úvěr" fld="20" subtotal="average" baseField="0" baseItem="0" numFmtId="164"/>
  </dataFields>
  <formats count="4">
    <format dxfId="213">
      <pivotArea outline="0" collapsedLevelsAreSubtotals="1" fieldPosition="0"/>
    </format>
    <format dxfId="212">
      <pivotArea field="0" type="button" dataOnly="0" labelOnly="1" outline="0" axis="axisRow" fieldPosition="0"/>
    </format>
    <format dxfId="211">
      <pivotArea dataOnly="0" labelOnly="1" outline="0" axis="axisValues" fieldPosition="0"/>
    </format>
    <format dxfId="21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 65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207:B214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x="4"/>
        <item x="6"/>
        <item x="0"/>
        <item x="5"/>
        <item x="2"/>
        <item x="1"/>
        <item h="1" x="3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ůměrná jednorázová investice do nemovitostí" fld="17" subtotal="average" baseField="9" baseItem="0"/>
  </dataFields>
  <formats count="7">
    <format dxfId="220">
      <pivotArea outline="0" collapsedLevelsAreSubtotals="1" fieldPosition="0"/>
    </format>
    <format dxfId="219">
      <pivotArea outline="0" collapsedLevelsAreSubtotals="1" fieldPosition="0"/>
    </format>
    <format dxfId="218">
      <pivotArea field="9" type="button" dataOnly="0" labelOnly="1" outline="0" axis="axisRow" fieldPosition="0"/>
    </format>
    <format dxfId="217">
      <pivotArea dataOnly="0" labelOnly="1" grandCol="1" outline="0" fieldPosition="0"/>
    </format>
    <format dxfId="216">
      <pivotArea field="9" type="button" dataOnly="0" labelOnly="1" outline="0" axis="axisRow" fieldPosition="0"/>
    </format>
    <format dxfId="215">
      <pivotArea dataOnly="0" labelOnly="1" fieldPosition="0">
        <references count="1">
          <reference field="9" count="0"/>
        </references>
      </pivotArea>
    </format>
    <format dxfId="214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Kontingenční tabulka 18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50:D52" firstHeaderRow="1" firstDataRow="2" firstDataCol="1" rowPageCount="1" colPageCount="1"/>
  <pivotFields count="26">
    <pivotField axis="axisCol"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pageFields count="1">
    <pageField fld="13" item="1" hier="-1"/>
  </pageFields>
  <dataFields count="1">
    <dataField name="Počet osob, které vstoupily do II. pilíře" fld="13" subtotal="count" baseField="0" baseItem="9"/>
  </dataFields>
  <formats count="5">
    <format dxfId="225">
      <pivotArea field="0" type="button" dataOnly="0" labelOnly="1" outline="0" axis="axisCol" fieldPosition="0"/>
    </format>
    <format dxfId="224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223">
      <pivotArea dataOnly="0" labelOnly="1" grandCol="1" outline="0" fieldPosition="0"/>
    </format>
    <format dxfId="222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22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Kontingenční tabulka 56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182:D184" firstHeaderRow="1" firstDataRow="2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Col" showAll="0">
      <items count="5">
        <item h="1"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2"/>
  </colFields>
  <colItems count="3">
    <i>
      <x v="1"/>
    </i>
    <i>
      <x v="2"/>
    </i>
    <i t="grand">
      <x/>
    </i>
  </colItems>
  <dataFields count="1">
    <dataField name="Průměrná jednorázová investice do podílových fondů" fld="16" subtotal="average" baseField="2" baseItem="1"/>
  </dataFields>
  <formats count="5"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field="2" type="button" dataOnly="0" labelOnly="1" outline="0" axis="axisCol" fieldPosition="0"/>
    </format>
    <format dxfId="227">
      <pivotArea dataOnly="0" labelOnly="1" fieldPosition="0">
        <references count="1">
          <reference field="2" count="0"/>
        </references>
      </pivotArea>
    </format>
    <format dxfId="226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Kontingenční tabulka 45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69:A70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98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h="1" x="0"/>
        <item h="1" x="96"/>
        <item t="default"/>
      </items>
    </pivotField>
    <pivotField showAll="0"/>
    <pivotField showAll="0"/>
    <pivotField showAll="0"/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4" hier="-1"/>
  </pageFields>
  <dataFields count="1">
    <dataField name="Počet osob, majících uzavřené životní pojištění" fld="14" subtotal="count" baseField="0" baseItem="0"/>
  </dataFields>
  <formats count="2">
    <format dxfId="232">
      <pivotArea dataOnly="0" labelOnly="1" outline="0" axis="axisValues" fieldPosition="0"/>
    </format>
    <format dxfId="23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Kontingenční tabulka 54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6" colHeaderCaption="Věk">
  <location ref="A149:B155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axis="axisRow"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h="1" x="15"/>
        <item x="16"/>
        <item x="27"/>
        <item x="26"/>
        <item x="9"/>
        <item x="12"/>
        <item h="1" x="32"/>
        <item x="21"/>
        <item x="2"/>
        <item h="1" x="31"/>
        <item h="1" x="0"/>
        <item x="33"/>
        <item h="1" x="3"/>
        <item x="19"/>
        <item h="1" x="22"/>
        <item h="1"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>
      <items count="9">
        <item x="4"/>
        <item x="1"/>
        <item x="5"/>
        <item h="1" x="3"/>
        <item x="6"/>
        <item x="0"/>
        <item x="2"/>
        <item h="1" x="7"/>
        <item t="default"/>
      </items>
    </pivotField>
    <pivotField showAll="0"/>
    <pivotField showAll="0"/>
    <pivotField showAll="0">
      <items count="13">
        <item x="5"/>
        <item x="6"/>
        <item x="1"/>
        <item x="7"/>
        <item x="2"/>
        <item x="4"/>
        <item x="10"/>
        <item x="0"/>
        <item x="8"/>
        <item x="9"/>
        <item x="3"/>
        <item x="1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axis="axisRow" showAll="0" defaultSubtotal="0">
      <items count="8">
        <item n="18 - 25 let" sd="0" x="1"/>
        <item n="26 - 35 let" sd="0" x="2"/>
        <item n="36 - 45 let" sd="0" x="3"/>
        <item n="46 - 55 let" sd="0" x="6"/>
        <item x="4"/>
        <item n="56 - 65 let" sd="0" x="7"/>
        <item x="5"/>
        <item h="1" x="0"/>
      </items>
    </pivotField>
  </pivotFields>
  <rowFields count="2">
    <field x="25"/>
    <field x="1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Průměrná investovaná částka" fld="14" subtotal="average" baseField="1" baseItem="0"/>
  </dataFields>
  <formats count="8">
    <format dxfId="240">
      <pivotArea outline="0" collapsedLevelsAreSubtotals="1" fieldPosition="0"/>
    </format>
    <format dxfId="239">
      <pivotArea outline="0" collapsedLevelsAreSubtotals="1" fieldPosition="0"/>
    </format>
    <format dxfId="238">
      <pivotArea field="9" type="button" dataOnly="0" labelOnly="1" outline="0"/>
    </format>
    <format dxfId="237">
      <pivotArea field="9" type="button" dataOnly="0" labelOnly="1" outline="0"/>
    </format>
    <format dxfId="236">
      <pivotArea field="1" type="button" dataOnly="0" labelOnly="1" outline="0" axis="axisRow" fieldPosition="1"/>
    </format>
    <format dxfId="235">
      <pivotArea field="1" type="button" dataOnly="0" labelOnly="1" outline="0" axis="axisRow" fieldPosition="1"/>
    </format>
    <format dxfId="234">
      <pivotArea dataOnly="0" labelOnly="1" fieldPosition="0">
        <references count="1">
          <reference field="1" count="0"/>
        </references>
      </pivotArea>
    </format>
    <format dxfId="233">
      <pivotArea dataOnly="0" labelOnly="1" grandCol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Kontingenční tabulka 59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200:B205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h="1" x="4"/>
        <item x="1"/>
        <item x="0"/>
        <item x="6"/>
        <item h="1" x="5"/>
        <item h="1" x="3"/>
        <item x="2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5">
    <i>
      <x v="1"/>
    </i>
    <i>
      <x v="2"/>
    </i>
    <i>
      <x v="3"/>
    </i>
    <i>
      <x v="6"/>
    </i>
    <i t="grand">
      <x/>
    </i>
  </rowItems>
  <colItems count="1">
    <i/>
  </colItems>
  <dataFields count="1">
    <dataField name="Průměrná jednorázová investice do podílových fondů" fld="16" subtotal="average" baseField="9" baseItem="1"/>
  </dataFields>
  <formats count="7">
    <format dxfId="247">
      <pivotArea outline="0" collapsedLevelsAreSubtotals="1" fieldPosition="0"/>
    </format>
    <format dxfId="246">
      <pivotArea outline="0" collapsedLevelsAreSubtotals="1" fieldPosition="0"/>
    </format>
    <format dxfId="245">
      <pivotArea field="9" type="button" dataOnly="0" labelOnly="1" outline="0" axis="axisRow" fieldPosition="0"/>
    </format>
    <format dxfId="244">
      <pivotArea dataOnly="0" labelOnly="1" grandCol="1" outline="0" fieldPosition="0"/>
    </format>
    <format dxfId="243">
      <pivotArea field="9" type="button" dataOnly="0" labelOnly="1" outline="0" axis="axisRow" fieldPosition="0"/>
    </format>
    <format dxfId="242">
      <pivotArea dataOnly="0" labelOnly="1" fieldPosition="0">
        <references count="1">
          <reference field="9" count="0"/>
        </references>
      </pivotArea>
    </format>
    <format dxfId="241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Kontingenční tabulka 17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340:B344" firstHeaderRow="1" firstDataRow="1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á pojistná částka" fld="22" subtotal="average" baseField="2" baseItem="0" numFmtId="164"/>
  </dataFields>
  <formats count="6">
    <format dxfId="14">
      <pivotArea dataOnly="0" labelOnly="1" grandCol="1" outline="0" fieldPosition="0"/>
    </format>
    <format dxfId="15">
      <pivotArea field="2" type="button" dataOnly="0" labelOnly="1" outline="0" axis="axisRow" fieldPosition="0"/>
    </format>
    <format dxfId="16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Kontingenční tabulka 58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169:A170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98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h="1" x="0"/>
        <item h="1" x="96"/>
        <item t="default"/>
      </items>
    </pivotField>
    <pivotField multipleItemSelectionAllowed="1" showAll="0">
      <items count="21">
        <item x="14"/>
        <item x="3"/>
        <item x="8"/>
        <item x="9"/>
        <item x="12"/>
        <item x="7"/>
        <item x="11"/>
        <item x="2"/>
        <item x="0"/>
        <item x="10"/>
        <item x="16"/>
        <item x="4"/>
        <item x="6"/>
        <item x="18"/>
        <item x="15"/>
        <item x="13"/>
        <item x="5"/>
        <item x="17"/>
        <item h="1" x="1"/>
        <item h="1" x="19"/>
        <item t="default"/>
      </items>
    </pivotField>
    <pivotField name="Jednorázové investice do podílových fondů" axis="axisPage" dataField="1" multipleItemSelectionAllowed="1" showAll="0">
      <items count="10">
        <item x="4"/>
        <item x="5"/>
        <item x="3"/>
        <item x="7"/>
        <item x="2"/>
        <item x="0"/>
        <item x="6"/>
        <item h="1" x="1"/>
        <item h="1" x="8"/>
        <item t="default"/>
      </items>
    </pivotField>
    <pivotField multipleItemSelectionAllowed="1" showAll="0">
      <items count="14">
        <item x="7"/>
        <item x="8"/>
        <item x="1"/>
        <item x="4"/>
        <item x="10"/>
        <item x="5"/>
        <item x="3"/>
        <item x="9"/>
        <item x="11"/>
        <item x="2"/>
        <item x="6"/>
        <item x="0"/>
        <item x="12"/>
        <item t="default"/>
      </items>
    </pivotField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6" hier="-1"/>
  </pageFields>
  <dataFields count="1">
    <dataField name="Počet osob, jednorázově investujících do podílových fondů" fld="16" subtotal="count" baseField="0" baseItem="0"/>
  </dataFields>
  <formats count="2">
    <format dxfId="249">
      <pivotArea dataOnly="0" labelOnly="1" outline="0" axis="axisValues" fieldPosition="0"/>
    </format>
    <format dxfId="24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Kontingenční tabulka 4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296:D297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dataField="1"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půjčená částka" fld="20" subtotal="average" baseField="0" baseItem="1"/>
    <dataField name="Minimální půjčená částka" fld="20" subtotal="min" baseField="0" baseItem="1"/>
    <dataField name="Maximální půjčená částka" fld="20" subtotal="max" baseField="0" baseItem="2"/>
  </dataFields>
  <formats count="2">
    <format dxfId="251">
      <pivotArea outline="0" collapsedLevelsAreSubtotals="1" fieldPosition="0"/>
    </format>
    <format dxfId="25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Kontingenční tabulka 55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367:D368" firstHeaderRow="0" firstDataRow="1" firstDataCol="0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pojistná částka" fld="23" subtotal="average" baseField="0" baseItem="1"/>
    <dataField name="Minimální pojistná částka" fld="23" subtotal="min" baseField="0" baseItem="1"/>
    <dataField name="Maximální pojistná částka" fld="23" subtotal="max" baseField="0" baseItem="2"/>
  </dataFields>
  <formats count="1">
    <format dxfId="252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Kontingenční tabulka 33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11:E13" firstHeaderRow="1" firstDataRow="2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Col"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Průměrná spořená částka" fld="12" subtotal="average" baseField="2" baseItem="0"/>
  </dataFields>
  <formats count="5">
    <format dxfId="257">
      <pivotArea outline="0" collapsedLevelsAreSubtotals="1" fieldPosition="0"/>
    </format>
    <format dxfId="256">
      <pivotArea outline="0" collapsedLevelsAreSubtotals="1" fieldPosition="0"/>
    </format>
    <format dxfId="255">
      <pivotArea field="2" type="button" dataOnly="0" labelOnly="1" outline="0" axis="axisCol" fieldPosition="0"/>
    </format>
    <format dxfId="254">
      <pivotArea dataOnly="0" labelOnly="1" fieldPosition="0">
        <references count="1">
          <reference field="2" count="0"/>
        </references>
      </pivotArea>
    </format>
    <format dxfId="253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Kontingenční tabulka 34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5:D6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měsíční částka" fld="12" subtotal="average" baseField="0" baseItem="1"/>
    <dataField name="Minimální měsíční částka" fld="12" subtotal="min" baseField="0" baseItem="1"/>
    <dataField name="Maximální měsíční částka" fld="12" subtotal="max" baseField="0" baseItem="2"/>
  </dataFields>
  <formats count="2">
    <format dxfId="259">
      <pivotArea outline="0" collapsedLevelsAreSubtotals="1" fieldPosition="0"/>
    </format>
    <format dxfId="25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Kontingenční tabulka 22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Věk">
  <location ref="A359:G362" firstHeaderRow="1" firstDataRow="3" firstDataCol="1"/>
  <pivotFields count="27">
    <pivotField showAll="0"/>
    <pivotField axis="axisCol" showAll="0">
      <items count="37">
        <item h="1" x="35"/>
        <item x="1"/>
        <item h="1" x="30"/>
        <item h="1"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h="1" x="26"/>
        <item x="9"/>
        <item x="12"/>
        <item h="1" x="32"/>
        <item x="21"/>
        <item h="1" x="2"/>
        <item x="31"/>
        <item h="1" x="0"/>
        <item h="1" x="33"/>
        <item x="3"/>
        <item x="19"/>
        <item h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axis="axisCol" showAll="0" defaultSubtotal="0">
      <items count="5">
        <item sd="0" x="4"/>
        <item sd="0" x="0"/>
        <item n="36 - 45 let" sd="0" x="1"/>
        <item sd="0" x="2"/>
        <item sd="0" x="3"/>
      </items>
    </pivotField>
  </pivotFields>
  <rowItems count="1">
    <i/>
  </rowItems>
  <colFields count="2">
    <field x="26"/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ůměrná pojistná částka" fld="22" subtotal="average" baseField="1" baseItem="1" numFmtId="164"/>
  </dataFields>
  <formats count="4">
    <format dxfId="263">
      <pivotArea dataOnly="0" labelOnly="1" fieldPosition="0">
        <references count="1">
          <reference field="1" count="0"/>
        </references>
      </pivotArea>
    </format>
    <format dxfId="262">
      <pivotArea dataOnly="0" labelOnly="1" grandCol="1" outline="0" fieldPosition="0"/>
    </format>
    <format dxfId="261">
      <pivotArea field="1" type="button" dataOnly="0" labelOnly="1" outline="0" axis="axisCol" fieldPosition="1"/>
    </format>
    <format dxfId="26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Kontingenční tabulka 3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1" rowHeaderCaption="Zkoumaný soubor">
  <location ref="A42:A43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3" item="1" hier="-1"/>
  </pageFields>
  <dataFields count="1">
    <dataField name="Počet osob, které vstoupily do II. pilíře" fld="13" subtotal="count" baseField="0" baseItem="0"/>
  </dataFields>
  <formats count="2">
    <format dxfId="265">
      <pivotArea dataOnly="0" labelOnly="1" outline="0" axis="axisValues" fieldPosition="0"/>
    </format>
    <format dxfId="264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Kontingenční tabulka 6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173:A174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98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h="1" x="0"/>
        <item h="1" x="96"/>
        <item t="default"/>
      </items>
    </pivotField>
    <pivotField multipleItemSelectionAllowed="1" showAll="0">
      <items count="21">
        <item x="14"/>
        <item x="3"/>
        <item x="8"/>
        <item x="9"/>
        <item x="12"/>
        <item x="7"/>
        <item x="11"/>
        <item x="2"/>
        <item x="0"/>
        <item x="10"/>
        <item x="16"/>
        <item x="4"/>
        <item x="6"/>
        <item x="18"/>
        <item x="15"/>
        <item x="13"/>
        <item x="5"/>
        <item x="17"/>
        <item h="1" x="1"/>
        <item h="1" x="19"/>
        <item t="default"/>
      </items>
    </pivotField>
    <pivotField multipleItemSelectionAllowed="1" showAll="0">
      <items count="10">
        <item x="4"/>
        <item x="5"/>
        <item x="3"/>
        <item x="7"/>
        <item x="2"/>
        <item x="0"/>
        <item x="6"/>
        <item h="1" x="1"/>
        <item h="1" x="8"/>
        <item t="default"/>
      </items>
    </pivotField>
    <pivotField name="Jiné investice (např. nemovitosti)" axis="axisPage" dataField="1" multipleItemSelectionAllowed="1" showAll="0">
      <items count="14">
        <item x="7"/>
        <item x="8"/>
        <item x="1"/>
        <item x="4"/>
        <item x="10"/>
        <item x="5"/>
        <item x="3"/>
        <item x="9"/>
        <item x="11"/>
        <item x="2"/>
        <item x="6"/>
        <item h="1" x="0"/>
        <item h="1" x="12"/>
        <item t="default"/>
      </items>
    </pivotField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7" hier="-1"/>
  </pageFields>
  <dataFields count="1">
    <dataField name="Počet osob, jednorázově investujících do nemovitostí" fld="17" subtotal="count" baseField="0" baseItem="0"/>
  </dataFields>
  <formats count="2">
    <format dxfId="267">
      <pivotArea dataOnly="0" labelOnly="1" outline="0" axis="axisValues" fieldPosition="0"/>
    </format>
    <format dxfId="266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Kontingenční tabulka 35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5:A6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13">
        <item x="5"/>
        <item x="6"/>
        <item x="1"/>
        <item x="7"/>
        <item x="2"/>
        <item x="4"/>
        <item x="10"/>
        <item x="0"/>
        <item x="8"/>
        <item x="9"/>
        <item h="1" x="3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2" hier="-1"/>
  </pageFields>
  <dataFields count="1">
    <dataField name="Počet osob spořících v doplňkovém penzijním spoření" fld="12" subtotal="count" baseField="0" baseItem="0"/>
  </dataFields>
  <formats count="2">
    <format dxfId="269">
      <pivotArea dataOnly="0" labelOnly="1" outline="0" axis="axisValues" fieldPosition="0"/>
    </format>
    <format dxfId="26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Kontingenční tabulka 46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85:B92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x="6"/>
        <item x="4"/>
        <item x="0"/>
        <item x="2"/>
        <item x="1"/>
        <item x="5"/>
        <item h="1" x="3"/>
        <item h="1" x="7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ůměrná pojistná částka" fld="14" subtotal="average" baseField="9" baseItem="0"/>
  </dataFields>
  <formats count="7">
    <format dxfId="276">
      <pivotArea outline="0" collapsedLevelsAreSubtotals="1" fieldPosition="0"/>
    </format>
    <format dxfId="275">
      <pivotArea outline="0" collapsedLevelsAreSubtotals="1" fieldPosition="0"/>
    </format>
    <format dxfId="274">
      <pivotArea field="9" type="button" dataOnly="0" labelOnly="1" outline="0" axis="axisRow" fieldPosition="0"/>
    </format>
    <format dxfId="273">
      <pivotArea dataOnly="0" labelOnly="1" grandCol="1" outline="0" fieldPosition="0"/>
    </format>
    <format dxfId="272">
      <pivotArea field="9" type="button" dataOnly="0" labelOnly="1" outline="0" axis="axisRow" fieldPosition="0"/>
    </format>
    <format dxfId="271">
      <pivotArea dataOnly="0" labelOnly="1" fieldPosition="0">
        <references count="1">
          <reference field="9" count="0"/>
        </references>
      </pivotArea>
    </format>
    <format dxfId="270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Kontingenční tabulka 28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249:A250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Hypotéky, úvěry ze stavebního spoření" axis="axisPage" dataField="1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9" hier="-1"/>
  </pageFields>
  <dataFields count="1">
    <dataField name="Počet hypotečních úvěrů a úvěrů ze stavebního spoření" fld="19" subtotal="count" baseField="0" baseItem="0"/>
  </dataFields>
  <formats count="2">
    <format dxfId="278">
      <pivotArea dataOnly="0" labelOnly="1" outline="0" axis="axisValues" fieldPosition="0"/>
    </format>
    <format dxfId="277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Kontingenční tabulka 69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220:D221" firstHeaderRow="0" firstDataRow="1" firstDataCol="0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spořená částka" fld="18" subtotal="average" baseField="0" baseItem="1"/>
    <dataField name="Minimální spořená částka" fld="18" subtotal="min" baseField="0" baseItem="1"/>
    <dataField name="Maximální spořená částka" fld="18" subtotal="max" baseField="0" baseItem="2"/>
  </dataFields>
  <formats count="1">
    <format dxfId="279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Kontingenční tabulka 64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195:D197" firstHeaderRow="1" firstDataRow="2" firstDataCol="1"/>
  <pivotFields count="26">
    <pivotField axis="axisCol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dataFields count="1">
    <dataField name="Průměrná jednorázová investice do nemovitostí" fld="17" subtotal="average" baseField="0" baseItem="9"/>
  </dataFields>
  <formats count="5">
    <format dxfId="284">
      <pivotArea outline="0" collapsedLevelsAreSubtotals="1" fieldPosition="0"/>
    </format>
    <format dxfId="283">
      <pivotArea outline="0" collapsedLevelsAreSubtotals="1" fieldPosition="0"/>
    </format>
    <format dxfId="282">
      <pivotArea field="0" type="button" dataOnly="0" labelOnly="1" outline="0" axis="axisCol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Kontingenční tabulka 43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Rodinný stav" colHeaderCaption="Rodinný stav">
  <location ref="A75:B79" firstHeaderRow="1" firstDataRow="1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Row"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á pojistná částka" fld="14" subtotal="average" baseField="2" baseItem="0"/>
  </dataFields>
  <formats count="10">
    <format dxfId="288">
      <pivotArea outline="0" collapsedLevelsAreSubtotals="1" fieldPosition="0"/>
    </format>
    <format dxfId="287">
      <pivotArea outline="0" collapsedLevelsAreSubtotals="1" fieldPosition="0"/>
    </format>
    <format dxfId="286">
      <pivotArea field="2" type="button" dataOnly="0" labelOnly="1" outline="0" axis="axisRow" fieldPosition="0"/>
    </format>
    <format dxfId="285">
      <pivotArea dataOnly="0" labelOnly="1" grandCol="1" outline="0" fieldPosition="0"/>
    </format>
    <format dxfId="31">
      <pivotArea field="2" type="button" dataOnly="0" labelOnly="1" outline="0" axis="axisRow" fieldPosition="0"/>
    </format>
    <format dxfId="30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Kontingenční tabulka 57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169:D170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investovaná částka" fld="16" subtotal="average" baseField="0" baseItem="1"/>
    <dataField name="Minimální investovaná částka" fld="16" subtotal="min" baseField="0" baseItem="1"/>
    <dataField name="Maximální investovaná částka" fld="16" subtotal="max" baseField="0" baseItem="2"/>
  </dataFields>
  <formats count="2">
    <format dxfId="290">
      <pivotArea outline="0" collapsedLevelsAreSubtotals="1" fieldPosition="0"/>
    </format>
    <format dxfId="289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Kontingenční tabulka 2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Zaměstnání">
  <location ref="A350:B357" firstHeaderRow="1" firstDataRow="1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5"/>
        <item x="6"/>
        <item x="2"/>
        <item x="0"/>
        <item x="4"/>
        <item x="1"/>
        <item h="1" x="3"/>
        <item t="default"/>
      </items>
    </pivotField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ůměrná pojistná částka" fld="22" subtotal="average" baseField="9" baseItem="0" numFmtId="164"/>
  </dataFields>
  <formats count="6">
    <format dxfId="296">
      <pivotArea dataOnly="0" labelOnly="1" grandCol="1" outline="0" fieldPosition="0"/>
    </format>
    <format dxfId="295">
      <pivotArea field="9" type="button" dataOnly="0" labelOnly="1" outline="0" axis="axisRow" fieldPosition="0"/>
    </format>
    <format dxfId="294">
      <pivotArea outline="0" collapsedLevelsAreSubtotals="1" fieldPosition="0"/>
    </format>
    <format dxfId="293">
      <pivotArea field="9" type="button" dataOnly="0" labelOnly="1" outline="0" axis="axisRow" fieldPosition="0"/>
    </format>
    <format dxfId="292">
      <pivotArea dataOnly="0" labelOnly="1" fieldPosition="0">
        <references count="1">
          <reference field="9" count="0"/>
        </references>
      </pivotArea>
    </format>
    <format dxfId="291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Kontingenční tabulka 3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Rodinný stav" colHeaderCaption="Rodinný stav">
  <location ref="A255:B259" firstHeaderRow="1" firstDataRow="1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Row" showAll="0">
      <items count="5">
        <item x="1"/>
        <item x="2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á půjčená částka" fld="19" subtotal="average" baseField="24" baseItem="0" numFmtId="164"/>
  </dataFields>
  <formats count="7">
    <format dxfId="303">
      <pivotArea outline="0" collapsedLevelsAreSubtotals="1" fieldPosition="0"/>
    </format>
    <format dxfId="3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1">
      <pivotArea outline="0" collapsedLevelsAreSubtotals="1" fieldPosition="0"/>
    </format>
    <format dxfId="300">
      <pivotArea field="2" type="button" dataOnly="0" labelOnly="1" outline="0" axis="axisRow" fieldPosition="0"/>
    </format>
    <format dxfId="299">
      <pivotArea dataOnly="0" labelOnly="1" grandCol="1" outline="0" fieldPosition="0"/>
    </format>
    <format dxfId="298">
      <pivotArea dataOnly="0" labelOnly="1" fieldPosition="0">
        <references count="1">
          <reference field="2" count="0"/>
        </references>
      </pivotArea>
    </format>
    <format dxfId="297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Kontingenční tabulka 48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125:D127" firstHeaderRow="1" firstDataRow="2" firstDataCol="1"/>
  <pivotFields count="26">
    <pivotField axis="axisCol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dataFields count="1">
    <dataField name="Průměrná investovaná částka" fld="15" subtotal="average" baseField="0" baseItem="9"/>
  </dataFields>
  <formats count="5">
    <format dxfId="308">
      <pivotArea outline="0" collapsedLevelsAreSubtotals="1" fieldPosition="0"/>
    </format>
    <format dxfId="307">
      <pivotArea outline="0" collapsedLevelsAreSubtotals="1" fieldPosition="0"/>
    </format>
    <format dxfId="306">
      <pivotArea field="0" type="button" dataOnly="0" labelOnly="1" outline="0" axis="axisCol" fieldPosition="0"/>
    </format>
    <format dxfId="305">
      <pivotArea dataOnly="0" labelOnly="1" fieldPosition="0">
        <references count="1">
          <reference field="0" count="0"/>
        </references>
      </pivotArea>
    </format>
    <format dxfId="304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Kontingenční tabulka 70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Rodinný stav" colHeaderCaption="Rodinný stav">
  <location ref="A226:B230" firstHeaderRow="1" firstDataRow="1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á spořená částka ve stavebním spoření" fld="18" subtotal="average" baseField="2" baseItem="0"/>
  </dataFields>
  <formats count="4">
    <format dxfId="312">
      <pivotArea outline="0" collapsedLevelsAreSubtotals="1" fieldPosition="0"/>
    </format>
    <format dxfId="311">
      <pivotArea dataOnly="0" labelOnly="1" fieldPosition="0">
        <references count="1">
          <reference field="2" count="0"/>
        </references>
      </pivotArea>
    </format>
    <format dxfId="310">
      <pivotArea dataOnly="0" labelOnly="1" grandCol="1" outline="0" fieldPosition="0"/>
    </format>
    <format dxfId="309">
      <pivotArea field="2" type="button" dataOnly="0" labelOnly="1" outline="0" axis="axisRow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Kontingenční tabulka 30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hlaví" colHeaderCaption="Pohlaví">
  <location ref="A261:B264" firstHeaderRow="1" firstDataRow="1" firstDataCol="1"/>
  <pivotFields count="26">
    <pivotField axis="axisRow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0"/>
  </rowFields>
  <rowItems count="3">
    <i>
      <x v="9"/>
    </i>
    <i>
      <x v="10"/>
    </i>
    <i t="grand">
      <x/>
    </i>
  </rowItems>
  <colItems count="1">
    <i/>
  </colItems>
  <dataFields count="1">
    <dataField name="Průměrná půjčená částka" fld="19" subtotal="average" baseField="24" baseItem="0" numFmtId="164"/>
  </dataFields>
  <formats count="7"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7">
      <pivotArea outline="0" collapsedLevelsAreSubtotals="1" fieldPosition="0"/>
    </format>
    <format dxfId="316">
      <pivotArea field="0" type="button" dataOnly="0" labelOnly="1" outline="0" axis="axisRow" fieldPosition="0"/>
    </format>
    <format dxfId="315">
      <pivotArea dataOnly="0" labelOnly="1" grandCol="1" outline="0" fieldPosition="0"/>
    </format>
    <format dxfId="314">
      <pivotArea dataOnly="0" labelOnly="1" fieldPosition="0">
        <references count="1">
          <reference field="0" count="0"/>
        </references>
      </pivotArea>
    </format>
    <format dxfId="313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9.xml><?xml version="1.0" encoding="utf-8"?>
<pivotTableDefinition xmlns="http://schemas.openxmlformats.org/spreadsheetml/2006/main" name="Kontingenční tabulka 60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191:D193" firstHeaderRow="1" firstDataRow="2" firstDataCol="1"/>
  <pivotFields count="26">
    <pivotField axis="axisCol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dataFields count="1">
    <dataField name="Průměrná jednorázová investice do podílových fondů" fld="16" subtotal="average" baseField="0" baseItem="9"/>
  </dataFields>
  <formats count="5">
    <format dxfId="324">
      <pivotArea outline="0" collapsedLevelsAreSubtotals="1" fieldPosition="0"/>
    </format>
    <format dxfId="323">
      <pivotArea outline="0" collapsedLevelsAreSubtotals="1" fieldPosition="0"/>
    </format>
    <format dxfId="322">
      <pivotArea field="0" type="button" dataOnly="0" labelOnly="1" outline="0" axis="axisCol" fieldPosition="0"/>
    </format>
    <format dxfId="321">
      <pivotArea dataOnly="0" labelOnly="1" fieldPosition="0">
        <references count="1">
          <reference field="0" count="0"/>
        </references>
      </pivotArea>
    </format>
    <format dxfId="32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0.xml><?xml version="1.0" encoding="utf-8"?>
<pivotTableDefinition xmlns="http://schemas.openxmlformats.org/spreadsheetml/2006/main" name="Kontingenční tabulka 16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334:D335" firstHeaderRow="0" firstDataRow="1" firstDataCol="0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pojistná částka" fld="22" subtotal="average" baseField="0" baseItem="1"/>
    <dataField name="Minimální pojistná částka" fld="22" subtotal="min" baseField="0" baseItem="1"/>
    <dataField name="Maximální pojistná částka" fld="22" subtotal="max" baseField="0" baseItem="2"/>
  </dataFields>
  <formats count="1">
    <format dxfId="325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1.xml><?xml version="1.0" encoding="utf-8"?>
<pivotTableDefinition xmlns="http://schemas.openxmlformats.org/spreadsheetml/2006/main" name="Kontingenční tabulka 5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115:D116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měsíční částka" fld="15" subtotal="average" baseField="0" baseItem="1"/>
    <dataField name="Minimální měsíční částka" fld="15" subtotal="min" baseField="0" baseItem="1"/>
    <dataField name="Maximální měsíční částka" fld="15" subtotal="max" baseField="0" baseItem="2"/>
  </dataFields>
  <formats count="2">
    <format dxfId="327">
      <pivotArea outline="0" collapsedLevelsAreSubtotals="1" fieldPosition="0"/>
    </format>
    <format dxfId="326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2.xml><?xml version="1.0" encoding="utf-8"?>
<pivotTableDefinition xmlns="http://schemas.openxmlformats.org/spreadsheetml/2006/main" name="Kontingenční tabulka 42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Rodinný stav" colHeaderCaption="Rodinný stav">
  <location ref="A302:B306" firstHeaderRow="1" firstDataRow="1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Row"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dataField="1"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á půjčená částka" fld="20" subtotal="average" baseField="2" baseItem="0"/>
  </dataFields>
  <formats count="7">
    <format dxfId="334">
      <pivotArea outline="0" collapsedLevelsAreSubtotals="1" fieldPosition="0"/>
    </format>
    <format dxfId="333">
      <pivotArea outline="0" collapsedLevelsAreSubtotals="1" fieldPosition="0"/>
    </format>
    <format dxfId="332">
      <pivotArea field="2" type="button" dataOnly="0" labelOnly="1" outline="0" axis="axisRow" fieldPosition="0"/>
    </format>
    <format dxfId="331">
      <pivotArea dataOnly="0" labelOnly="1" grandCol="1" outline="0" fieldPosition="0"/>
    </format>
    <format dxfId="330">
      <pivotArea dataOnly="0" labelOnly="1" fieldPosition="0">
        <references count="1">
          <reference field="2" count="0"/>
        </references>
      </pivotArea>
    </format>
    <format dxfId="329">
      <pivotArea dataOnly="0" labelOnly="1" grandRow="1" outline="0" fieldPosition="0"/>
    </format>
    <format dxfId="328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3.xml><?xml version="1.0" encoding="utf-8"?>
<pivotTableDefinition xmlns="http://schemas.openxmlformats.org/spreadsheetml/2006/main" name="Kontingenční tabulka 47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81:D83" firstHeaderRow="1" firstDataRow="2" firstDataCol="1"/>
  <pivotFields count="26">
    <pivotField axis="axisCol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dataFields count="1">
    <dataField name="Průměrná pojistná částka" fld="14" subtotal="average" baseField="0" baseItem="9"/>
  </dataFields>
  <formats count="5">
    <format dxfId="339">
      <pivotArea outline="0" collapsedLevelsAreSubtotals="1" fieldPosition="0"/>
    </format>
    <format dxfId="338">
      <pivotArea outline="0" collapsedLevelsAreSubtotals="1" fieldPosition="0"/>
    </format>
    <format dxfId="337">
      <pivotArea field="0" type="button" dataOnly="0" labelOnly="1" outline="0" axis="axisCol" fieldPosition="0"/>
    </format>
    <format dxfId="336">
      <pivotArea dataOnly="0" labelOnly="1" fieldPosition="0">
        <references count="1">
          <reference field="0" count="0"/>
        </references>
      </pivotArea>
    </format>
    <format dxfId="335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4.xml><?xml version="1.0" encoding="utf-8"?>
<pivotTableDefinition xmlns="http://schemas.openxmlformats.org/spreadsheetml/2006/main" name="Kontingenční tabulka 26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373:E375" firstHeaderRow="1" firstDataRow="2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Průměrná pojistná částka" fld="23" subtotal="average" baseField="2" baseItem="0"/>
  </dataFields>
  <formats count="4">
    <format dxfId="343">
      <pivotArea dataOnly="0" labelOnly="1" fieldPosition="0">
        <references count="1">
          <reference field="2" count="0"/>
        </references>
      </pivotArea>
    </format>
    <format dxfId="342">
      <pivotArea dataOnly="0" labelOnly="1" grandCol="1" outline="0" fieldPosition="0"/>
    </format>
    <format dxfId="341">
      <pivotArea field="2" type="button" dataOnly="0" labelOnly="1" outline="0" axis="axisCol" fieldPosition="0"/>
    </format>
    <format dxfId="34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5.xml><?xml version="1.0" encoding="utf-8"?>
<pivotTableDefinition xmlns="http://schemas.openxmlformats.org/spreadsheetml/2006/main" name="Kontingenční tabulka 66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67:A368" firstHeaderRow="1" firstDataRow="1" firstDataCol="0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multipleItemSelectionAllowed="1" showAll="0">
      <items count="58">
        <item x="35"/>
        <item x="28"/>
        <item x="11"/>
        <item x="5"/>
        <item x="36"/>
        <item x="29"/>
        <item x="51"/>
        <item x="38"/>
        <item x="6"/>
        <item x="4"/>
        <item x="45"/>
        <item x="18"/>
        <item x="19"/>
        <item x="42"/>
        <item x="20"/>
        <item x="31"/>
        <item x="55"/>
        <item x="12"/>
        <item x="8"/>
        <item x="34"/>
        <item x="52"/>
        <item x="32"/>
        <item x="44"/>
        <item x="39"/>
        <item x="53"/>
        <item x="7"/>
        <item x="33"/>
        <item x="41"/>
        <item x="21"/>
        <item x="43"/>
        <item x="23"/>
        <item x="37"/>
        <item x="10"/>
        <item x="26"/>
        <item x="47"/>
        <item x="13"/>
        <item x="2"/>
        <item x="54"/>
        <item x="46"/>
        <item x="3"/>
        <item x="48"/>
        <item x="17"/>
        <item x="49"/>
        <item x="9"/>
        <item x="24"/>
        <item x="14"/>
        <item x="1"/>
        <item x="27"/>
        <item x="16"/>
        <item x="50"/>
        <item x="30"/>
        <item x="40"/>
        <item x="56"/>
        <item x="22"/>
        <item x="15"/>
        <item x="25"/>
        <item h="1" x="0"/>
        <item t="default"/>
      </items>
    </pivotField>
    <pivotField name="Povinné ručení, havarijní poj." axis="axisPage" multipleItemSelectionAllowed="1" showAll="0">
      <items count="46">
        <item x="25"/>
        <item x="40"/>
        <item x="38"/>
        <item x="30"/>
        <item x="32"/>
        <item x="23"/>
        <item x="20"/>
        <item x="4"/>
        <item x="13"/>
        <item x="11"/>
        <item x="10"/>
        <item x="28"/>
        <item x="9"/>
        <item x="33"/>
        <item x="37"/>
        <item x="26"/>
        <item x="2"/>
        <item x="42"/>
        <item x="34"/>
        <item x="8"/>
        <item x="17"/>
        <item x="1"/>
        <item x="41"/>
        <item x="19"/>
        <item x="14"/>
        <item x="6"/>
        <item x="15"/>
        <item x="35"/>
        <item x="7"/>
        <item x="5"/>
        <item x="3"/>
        <item x="36"/>
        <item x="16"/>
        <item x="29"/>
        <item x="21"/>
        <item x="44"/>
        <item x="12"/>
        <item x="31"/>
        <item x="24"/>
        <item x="43"/>
        <item x="39"/>
        <item x="27"/>
        <item x="18"/>
        <item x="22"/>
        <item h="1" x="0"/>
        <item t="default"/>
      </items>
    </pivotField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Items count="1">
    <i/>
  </colItems>
  <pageFields count="1">
    <pageField fld="23" hier="-1"/>
  </pageFields>
  <dataFields count="1">
    <dataField name="Počet osob s uzavřeným povinným ručením/havarijním pojištěním" fld="2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6.xml><?xml version="1.0" encoding="utf-8"?>
<pivotTableDefinition xmlns="http://schemas.openxmlformats.org/spreadsheetml/2006/main" name="Kontingenční tabulka 44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69:D70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měsíční částka" fld="14" subtotal="average" baseField="0" baseItem="1"/>
    <dataField name="Minimální měsíční částka" fld="14" subtotal="min" baseField="0" baseItem="1"/>
    <dataField name="Maximální měsíční částka" fld="14" subtotal="max" baseField="0" baseItem="2"/>
  </dataFields>
  <formats count="2">
    <format dxfId="345">
      <pivotArea outline="0" collapsedLevelsAreSubtotals="1" fieldPosition="0"/>
    </format>
    <format dxfId="344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7.xml><?xml version="1.0" encoding="utf-8"?>
<pivotTableDefinition xmlns="http://schemas.openxmlformats.org/spreadsheetml/2006/main" name="Kontingenční tabulka 5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1" rowHeaderCaption="Věk">
  <location ref="A95:B101" firstHeaderRow="1" firstDataRow="1" firstDataCol="1"/>
  <pivotFields count="27">
    <pivotField showAll="0"/>
    <pivotField axis="axisRow"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Row" showAll="0" defaultSubtotal="0">
      <items count="5">
        <item n="18 - 25 let" sd="0" x="4"/>
        <item n="26 - 35 let" sd="0" x="0"/>
        <item n="36 - 45 let" sd="0" x="1"/>
        <item n="46 - 55 let" sd="0" x="2"/>
        <item n="56 - 65 let" sd="0" x="3"/>
      </items>
    </pivotField>
  </pivotFields>
  <rowFields count="2">
    <field x="26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ná pojistná částka" fld="25" subtotal="average" baseField="26" baseItem="0" numFmtId="164"/>
  </dataFields>
  <formats count="1">
    <format dxfId="346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8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9" rowHeaderCaption="Věk">
  <location ref="A276:B282" firstHeaderRow="1" firstDataRow="1" firstDataCol="1"/>
  <pivotFields count="27">
    <pivotField showAll="0"/>
    <pivotField axis="axisRow"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Row" showAll="0" defaultSubtotal="0">
      <items count="5">
        <item n="18 - 25 let" sd="0" x="4"/>
        <item n="26 - 35 let" sd="0" x="0"/>
        <item n="36 - 45 let" sd="0" x="1"/>
        <item n="46 - 55 let" sd="0" x="2"/>
        <item n="56-65 let" sd="0" x="3"/>
      </items>
    </pivotField>
  </pivotFields>
  <rowFields count="2">
    <field x="26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Hypotéky, úvěry ze s." fld="19" subtotal="average" baseField="26" baseItem="0" numFmtId="164"/>
  </dataFields>
  <formats count="1">
    <format dxfId="347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9.xml><?xml version="1.0" encoding="utf-8"?>
<pivotTableDefinition xmlns="http://schemas.openxmlformats.org/spreadsheetml/2006/main" name="Kontingenční tabulka 62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173:D174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investovaná částka" fld="17" subtotal="average" baseField="0" baseItem="1"/>
    <dataField name="Minimální investovaná částka" fld="17" subtotal="min" baseField="0" baseItem="1"/>
    <dataField name="Maximální investovaná částka" fld="17" subtotal="max" baseField="0" baseItem="2"/>
  </dataFields>
  <formats count="2">
    <format dxfId="349">
      <pivotArea outline="0" collapsedLevelsAreSubtotals="1" fieldPosition="0"/>
    </format>
    <format dxfId="34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0.xml><?xml version="1.0" encoding="utf-8"?>
<pivotTableDefinition xmlns="http://schemas.openxmlformats.org/spreadsheetml/2006/main" name="Kontingenční tabulka 63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186:D188" firstHeaderRow="1" firstDataRow="2" firstDataCol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axis="axisCol" showAll="0">
      <items count="5">
        <item h="1"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2"/>
  </colFields>
  <colItems count="3">
    <i>
      <x v="1"/>
    </i>
    <i>
      <x v="2"/>
    </i>
    <i t="grand">
      <x/>
    </i>
  </colItems>
  <dataFields count="1">
    <dataField name="Průměrná jednorázová investice do nemovitostí" fld="17" subtotal="average" baseField="2" baseItem="1"/>
  </dataFields>
  <formats count="5">
    <format dxfId="354">
      <pivotArea outline="0" collapsedLevelsAreSubtotals="1" fieldPosition="0"/>
    </format>
    <format dxfId="353">
      <pivotArea outline="0" collapsedLevelsAreSubtotals="1" fieldPosition="0"/>
    </format>
    <format dxfId="352">
      <pivotArea field="2" type="button" dataOnly="0" labelOnly="1" outline="0" axis="axisCol" fieldPosition="0"/>
    </format>
    <format dxfId="351">
      <pivotArea dataOnly="0" labelOnly="1" fieldPosition="0">
        <references count="1">
          <reference field="2" count="0"/>
        </references>
      </pivotArea>
    </format>
    <format dxfId="35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1.xml><?xml version="1.0" encoding="utf-8"?>
<pivotTableDefinition xmlns="http://schemas.openxmlformats.org/spreadsheetml/2006/main" name="Kontingenční tabulka 50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koumaný soubor">
  <location ref="A115:A116" firstHeaderRow="1" firstDataRow="1" firstDataCol="0" rowPageCount="1" colPageCount="1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98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h="1" x="0"/>
        <item h="1" x="96"/>
        <item t="default"/>
      </items>
    </pivotField>
    <pivotField axis="axisPage" dataField="1" multipleItemSelectionAllowed="1" showAll="0">
      <items count="21">
        <item x="14"/>
        <item x="3"/>
        <item x="8"/>
        <item x="9"/>
        <item x="12"/>
        <item x="7"/>
        <item x="11"/>
        <item x="2"/>
        <item x="0"/>
        <item x="10"/>
        <item x="16"/>
        <item x="4"/>
        <item x="6"/>
        <item x="18"/>
        <item x="15"/>
        <item x="13"/>
        <item x="5"/>
        <item x="17"/>
        <item h="1" x="1"/>
        <item h="1" x="19"/>
        <item t="default"/>
      </items>
    </pivotField>
    <pivotField showAll="0"/>
    <pivotField showAll="0"/>
    <pivotField showAll="0"/>
    <pivotField name="Hypotéky, úvěry ze stavebího spoření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multipleItemSelectionAllowed="1" showAll="0">
      <items count="20">
        <item x="2"/>
        <item x="12"/>
        <item x="3"/>
        <item x="11"/>
        <item x="17"/>
        <item x="10"/>
        <item x="9"/>
        <item x="14"/>
        <item x="1"/>
        <item x="16"/>
        <item x="13"/>
        <item x="6"/>
        <item x="8"/>
        <item x="4"/>
        <item x="15"/>
        <item x="7"/>
        <item x="5"/>
        <item h="1" x="0"/>
        <item h="1" x="18"/>
        <item t="default"/>
      </items>
    </pivotField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Items count="1">
    <i/>
  </colItems>
  <pageFields count="1">
    <pageField fld="15" hier="-1"/>
  </pageFields>
  <dataFields count="1">
    <dataField name="Počet osob pravidelně investujících v podílových fondech" fld="15" subtotal="count" baseField="0" baseItem="0"/>
  </dataFields>
  <formats count="2">
    <format dxfId="356">
      <pivotArea dataOnly="0" labelOnly="1" outline="0" axis="axisValues" fieldPosition="0"/>
    </format>
    <format dxfId="355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2.xml><?xml version="1.0" encoding="utf-8"?>
<pivotTableDefinition xmlns="http://schemas.openxmlformats.org/spreadsheetml/2006/main" name="Kontingenční tabulka 39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Povolání" colHeaderCaption="Zaměstnání">
  <location ref="A313:B320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x="1"/>
        <item x="4"/>
        <item x="5"/>
        <item h="1" x="3"/>
        <item x="2"/>
        <item x="6"/>
        <item x="0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dataField="1"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Průměrná půjčená částka" fld="20" subtotal="average" baseField="9" baseItem="0"/>
  </dataFields>
  <formats count="8">
    <format dxfId="364">
      <pivotArea outline="0" collapsedLevelsAreSubtotals="1" fieldPosition="0"/>
    </format>
    <format dxfId="363">
      <pivotArea outline="0" collapsedLevelsAreSubtotals="1" fieldPosition="0"/>
    </format>
    <format dxfId="362">
      <pivotArea field="9" type="button" dataOnly="0" labelOnly="1" outline="0" axis="axisRow" fieldPosition="0"/>
    </format>
    <format dxfId="361">
      <pivotArea dataOnly="0" labelOnly="1" grandCol="1" outline="0" fieldPosition="0"/>
    </format>
    <format dxfId="360">
      <pivotArea field="9" type="button" dataOnly="0" labelOnly="1" outline="0" axis="axisRow" fieldPosition="0"/>
    </format>
    <format dxfId="359">
      <pivotArea dataOnly="0" labelOnly="1" fieldPosition="0">
        <references count="1">
          <reference field="9" count="0"/>
        </references>
      </pivotArea>
    </format>
    <format dxfId="358">
      <pivotArea dataOnly="0" labelOnly="1" grandRow="1" outline="0" fieldPosition="0"/>
    </format>
    <format dxfId="357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3.xml><?xml version="1.0" encoding="utf-8"?>
<pivotTableDefinition xmlns="http://schemas.openxmlformats.org/spreadsheetml/2006/main" name="Kontingenční tabulka 36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Zaměstnání">
  <location ref="A19:H21" firstHeaderRow="1" firstDataRow="2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Col" showAll="0">
      <items count="9">
        <item x="4"/>
        <item x="1"/>
        <item x="5"/>
        <item h="1" x="3"/>
        <item x="6"/>
        <item x="0"/>
        <item x="2"/>
        <item h="1" x="7"/>
        <item t="default"/>
      </items>
    </pivotField>
    <pivotField showAll="0"/>
    <pivotField showAll="0"/>
    <pivotField dataField="1" showAll="0">
      <items count="13">
        <item x="5"/>
        <item x="6"/>
        <item x="1"/>
        <item x="7"/>
        <item x="2"/>
        <item x="4"/>
        <item x="10"/>
        <item x="0"/>
        <item x="8"/>
        <item x="9"/>
        <item x="3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9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dataFields count="1">
    <dataField name="Průměrná spořená částka" fld="12" subtotal="average" baseField="9" baseItem="0"/>
  </dataFields>
  <formats count="6">
    <format dxfId="370">
      <pivotArea outline="0" collapsedLevelsAreSubtotals="1" fieldPosition="0"/>
    </format>
    <format dxfId="369">
      <pivotArea outline="0" collapsedLevelsAreSubtotals="1" fieldPosition="0"/>
    </format>
    <format dxfId="368">
      <pivotArea field="9" type="button" dataOnly="0" labelOnly="1" outline="0" axis="axisCol" fieldPosition="0"/>
    </format>
    <format dxfId="367">
      <pivotArea dataOnly="0" labelOnly="1" fieldPosition="0">
        <references count="1">
          <reference field="9" count="0"/>
        </references>
      </pivotArea>
    </format>
    <format dxfId="366">
      <pivotArea dataOnly="0" labelOnly="1" grandCol="1" outline="0" fieldPosition="0"/>
    </format>
    <format dxfId="365">
      <pivotArea field="9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4.xml><?xml version="1.0" encoding="utf-8"?>
<pivotTableDefinition xmlns="http://schemas.openxmlformats.org/spreadsheetml/2006/main" name="Kontingenční tabulka 19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Místo trvalého bydliště">
  <location ref="A59:E61" firstHeaderRow="1" firstDataRow="2" firstDataCol="1" rowPageCount="1" colPageCount="1"/>
  <pivotFields count="26">
    <pivotField showAll="0">
      <items count="12">
        <item x="6"/>
        <item x="5"/>
        <item x="8"/>
        <item x="7"/>
        <item x="2"/>
        <item x="3"/>
        <item x="4"/>
        <item x="9"/>
        <item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axis="axisCol" showAll="0">
      <items count="5">
        <item x="2"/>
        <item x="0"/>
        <item x="1"/>
        <item x="3"/>
        <item t="default"/>
      </items>
    </pivotField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13" item="1" hier="-1"/>
  </pageFields>
  <dataFields count="1">
    <dataField name="Počet osob, které vstoupily do II. pilíře" fld="13" subtotal="count" baseField="3" baseItem="0"/>
  </dataFields>
  <formats count="3">
    <format dxfId="373">
      <pivotArea field="3" type="button" dataOnly="0" labelOnly="1" outline="0" axis="axisCol" fieldPosition="0"/>
    </format>
    <format dxfId="372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  <format dxfId="37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5.xml><?xml version="1.0" encoding="utf-8"?>
<pivotTableDefinition xmlns="http://schemas.openxmlformats.org/spreadsheetml/2006/main" name="Kontingenční tabulka 49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Zaměstnání" colHeaderCaption="Zaměstnání">
  <location ref="A139:B147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9">
        <item x="4"/>
        <item x="6"/>
        <item x="0"/>
        <item x="1"/>
        <item x="2"/>
        <item x="5"/>
        <item x="3"/>
        <item h="1" x="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ůměrná investovaná částka" fld="15" subtotal="average" baseField="9" baseItem="0"/>
  </dataFields>
  <formats count="7">
    <format dxfId="380">
      <pivotArea outline="0" collapsedLevelsAreSubtotals="1" fieldPosition="0"/>
    </format>
    <format dxfId="379">
      <pivotArea outline="0" collapsedLevelsAreSubtotals="1" fieldPosition="0"/>
    </format>
    <format dxfId="378">
      <pivotArea field="9" type="button" dataOnly="0" labelOnly="1" outline="0" axis="axisRow" fieldPosition="0"/>
    </format>
    <format dxfId="377">
      <pivotArea dataOnly="0" labelOnly="1" grandCol="1" outline="0" fieldPosition="0"/>
    </format>
    <format dxfId="376">
      <pivotArea field="9" type="button" dataOnly="0" labelOnly="1" outline="0" axis="axisRow" fieldPosition="0"/>
    </format>
    <format dxfId="375">
      <pivotArea dataOnly="0" labelOnly="1" fieldPosition="0">
        <references count="1">
          <reference field="9" count="0"/>
        </references>
      </pivotArea>
    </format>
    <format dxfId="374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6.xml><?xml version="1.0" encoding="utf-8"?>
<pivotTableDefinition xmlns="http://schemas.openxmlformats.org/spreadsheetml/2006/main" name="Kontingenční tabulka 7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232:D234" firstHeaderRow="1" firstDataRow="2" firstDataCol="1"/>
  <pivotFields count="27">
    <pivotField axis="axisCol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Průměrná spořená částka" fld="18" subtotal="average" baseField="2" baseItem="0"/>
  </dataFields>
  <formats count="4">
    <format dxfId="384">
      <pivotArea outline="0" collapsedLevelsAreSubtotals="1" fieldPosition="0"/>
    </format>
    <format dxfId="383">
      <pivotArea dataOnly="0" labelOnly="1" fieldPosition="0">
        <references count="1">
          <reference field="0" count="0"/>
        </references>
      </pivotArea>
    </format>
    <format dxfId="382">
      <pivotArea dataOnly="0" labelOnly="1" grandCol="1" outline="0" fieldPosition="0"/>
    </format>
    <format dxfId="381">
      <pivotArea field="0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7.xml><?xml version="1.0" encoding="utf-8"?>
<pivotTableDefinition xmlns="http://schemas.openxmlformats.org/spreadsheetml/2006/main" name="Kontingenční tabulka 37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15:D17" firstHeaderRow="1" firstDataRow="2" firstDataCol="1"/>
  <pivotFields count="26">
    <pivotField axis="axisCol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0"/>
  </colFields>
  <colItems count="3">
    <i>
      <x v="9"/>
    </i>
    <i>
      <x v="10"/>
    </i>
    <i t="grand">
      <x/>
    </i>
  </colItems>
  <dataFields count="1">
    <dataField name="Průměrná spořená částka" fld="12" subtotal="average" baseField="0" baseItem="9"/>
  </dataFields>
  <formats count="5">
    <format dxfId="389">
      <pivotArea outline="0" collapsedLevelsAreSubtotals="1" fieldPosition="0"/>
    </format>
    <format dxfId="388">
      <pivotArea outline="0" collapsedLevelsAreSubtotals="1" fieldPosition="0"/>
    </format>
    <format dxfId="387">
      <pivotArea field="0" type="button" dataOnly="0" labelOnly="1" outline="0" axis="axisCol" fieldPosition="0"/>
    </format>
    <format dxfId="386">
      <pivotArea dataOnly="0" labelOnly="1" fieldPosition="0">
        <references count="1">
          <reference field="0" count="0"/>
        </references>
      </pivotArea>
    </format>
    <format dxfId="385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8.xml><?xml version="1.0" encoding="utf-8"?>
<pivotTableDefinition xmlns="http://schemas.openxmlformats.org/spreadsheetml/2006/main" name="Kontingenční tabulka 74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Věk">
  <location ref="A240:G243" firstHeaderRow="1" firstDataRow="3" firstDataCol="1"/>
  <pivotFields count="27">
    <pivotField showAll="0"/>
    <pivotField axis="axisCol" showAll="0">
      <items count="37">
        <item h="1" x="35"/>
        <item x="1"/>
        <item x="30"/>
        <item h="1" x="29"/>
        <item x="13"/>
        <item x="8"/>
        <item x="4"/>
        <item x="5"/>
        <item h="1" x="7"/>
        <item h="1" x="6"/>
        <item x="10"/>
        <item x="34"/>
        <item h="1" x="17"/>
        <item x="23"/>
        <item x="20"/>
        <item x="24"/>
        <item x="28"/>
        <item x="14"/>
        <item x="11"/>
        <item x="18"/>
        <item h="1" x="25"/>
        <item x="15"/>
        <item x="16"/>
        <item x="27"/>
        <item x="26"/>
        <item x="9"/>
        <item x="12"/>
        <item h="1" x="32"/>
        <item x="21"/>
        <item x="2"/>
        <item h="1" x="31"/>
        <item h="1" x="0"/>
        <item h="1" x="33"/>
        <item h="1" x="3"/>
        <item h="1" x="19"/>
        <item h="1" x="22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axis="axisCol" showAll="0" defaultSubtotal="0">
      <items count="5">
        <item n="18-25 let" x="4"/>
        <item n="26 - 35 let" sd="0" x="0"/>
        <item n="36 - 45 let" sd="0" x="1"/>
        <item n="46 - 65 let" sd="0" x="2"/>
        <item x="3"/>
      </items>
    </pivotField>
  </pivotFields>
  <rowItems count="1">
    <i/>
  </rowItems>
  <colFields count="2">
    <field x="26"/>
    <field x="1"/>
  </colFields>
  <colItems count="6">
    <i>
      <x/>
      <x v="1"/>
    </i>
    <i r="1">
      <x v="2"/>
    </i>
    <i>
      <x v="1"/>
    </i>
    <i>
      <x v="2"/>
    </i>
    <i>
      <x v="3"/>
    </i>
    <i t="grand">
      <x/>
    </i>
  </colItems>
  <dataFields count="1">
    <dataField name="Průměrná spořená částka" fld="18" subtotal="average" baseField="2" baseItem="0"/>
  </dataFields>
  <formats count="4">
    <format dxfId="393">
      <pivotArea outline="0" collapsedLevelsAreSubtotals="1" fieldPosition="0"/>
    </format>
    <format dxfId="392">
      <pivotArea dataOnly="0" labelOnly="1" fieldPosition="0">
        <references count="1">
          <reference field="1" count="0"/>
        </references>
      </pivotArea>
    </format>
    <format dxfId="391">
      <pivotArea dataOnly="0" labelOnly="1" grandCol="1" outline="0" fieldPosition="0"/>
    </format>
    <format dxfId="390">
      <pivotArea field="1" type="button" dataOnly="0" labelOnly="1" outline="0" axis="axisCol" fieldPosition="1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9.xml><?xml version="1.0" encoding="utf-8"?>
<pivotTableDefinition xmlns="http://schemas.openxmlformats.org/spreadsheetml/2006/main" name="Kontingenční tabulka 23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Věk">
  <location ref="A391:AA394" firstHeaderRow="1" firstDataRow="3" firstDataCol="1"/>
  <pivotFields count="27">
    <pivotField showAll="0"/>
    <pivotField axis="axisCol" showAll="0">
      <items count="37">
        <item h="1" x="35"/>
        <item x="1"/>
        <item h="1" x="30"/>
        <item h="1" x="29"/>
        <item x="13"/>
        <item x="8"/>
        <item x="4"/>
        <item x="5"/>
        <item x="7"/>
        <item x="6"/>
        <item x="10"/>
        <item x="34"/>
        <item x="17"/>
        <item x="23"/>
        <item h="1"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h="1" x="32"/>
        <item x="21"/>
        <item h="1" x="2"/>
        <item x="31"/>
        <item h="1" x="0"/>
        <item h="1" x="33"/>
        <item h="1" x="3"/>
        <item h="1" x="19"/>
        <item h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axis="axisCol"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2">
    <field x="26"/>
    <field x="1"/>
  </colFields>
  <colItems count="26">
    <i>
      <x/>
      <x v="1"/>
    </i>
    <i>
      <x v="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"/>
      <x v="24"/>
    </i>
    <i r="1">
      <x v="25"/>
    </i>
    <i r="1">
      <x v="26"/>
    </i>
    <i r="1">
      <x v="28"/>
    </i>
    <i r="1">
      <x v="30"/>
    </i>
    <i t="grand">
      <x/>
    </i>
  </colItems>
  <dataFields count="1">
    <dataField name="Průměrná pojistná částka" fld="23" subtotal="average" baseField="1" baseItem="1"/>
  </dataFields>
  <formats count="4">
    <format dxfId="397">
      <pivotArea dataOnly="0" labelOnly="1" fieldPosition="0">
        <references count="1">
          <reference field="1" count="0"/>
        </references>
      </pivotArea>
    </format>
    <format dxfId="396">
      <pivotArea dataOnly="0" labelOnly="1" grandCol="1" outline="0" fieldPosition="0"/>
    </format>
    <format dxfId="395">
      <pivotArea field="1" type="button" dataOnly="0" labelOnly="1" outline="0" axis="axisCol" fieldPosition="1"/>
    </format>
    <format dxfId="394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0.xml><?xml version="1.0" encoding="utf-8"?>
<pivotTableDefinition xmlns="http://schemas.openxmlformats.org/spreadsheetml/2006/main" name="Kontingenční tabulka 32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5" colHeaderCaption="Věk">
  <location ref="A23:B29" firstHeaderRow="1" firstDataRow="1" firstDataCol="1"/>
  <pivotFields count="26">
    <pivotField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axis="axisRow"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h="1" x="31"/>
        <item x="0"/>
        <item x="33"/>
        <item x="3"/>
        <item x="19"/>
        <item h="1" x="22"/>
        <item h="1" x="36"/>
        <item t="default"/>
      </items>
    </pivotField>
    <pivotField showAll="0">
      <items count="5">
        <item x="2"/>
        <item x="1"/>
        <item x="0"/>
        <item h="1" x="3"/>
        <item t="default"/>
      </items>
    </pivotField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showAll="0">
      <items count="9">
        <item x="4"/>
        <item x="1"/>
        <item x="5"/>
        <item h="1" x="3"/>
        <item x="6"/>
        <item x="0"/>
        <item x="2"/>
        <item h="1" x="7"/>
        <item t="default"/>
      </items>
    </pivotField>
    <pivotField showAll="0"/>
    <pivotField showAll="0"/>
    <pivotField dataField="1" showAll="0">
      <items count="13">
        <item x="5"/>
        <item x="6"/>
        <item x="1"/>
        <item x="7"/>
        <item x="2"/>
        <item x="4"/>
        <item x="10"/>
        <item x="0"/>
        <item x="8"/>
        <item x="9"/>
        <item x="3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elkový soubor osob" x="0"/>
        <item t="default"/>
      </items>
    </pivotField>
    <pivotField axis="axisRow" showAll="0" defaultSubtotal="0">
      <items count="8">
        <item n="18 - 25 let" sd="0" x="1"/>
        <item n="26 - 35 let" sd="0" x="2"/>
        <item n="36 - 45 let" sd="0" x="3"/>
        <item n="46 - 55 let" sd="0" x="6"/>
        <item x="4"/>
        <item n="56 - 65 let" sd="0" x="7"/>
        <item x="5"/>
        <item h="1" x="0"/>
      </items>
    </pivotField>
  </pivotFields>
  <rowFields count="2">
    <field x="25"/>
    <field x="1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Průměrná spořená částka" fld="12" subtotal="average" baseField="1" baseItem="0"/>
  </dataFields>
  <formats count="8">
    <format dxfId="405">
      <pivotArea outline="0" collapsedLevelsAreSubtotals="1" fieldPosition="0"/>
    </format>
    <format dxfId="404">
      <pivotArea outline="0" collapsedLevelsAreSubtotals="1" fieldPosition="0"/>
    </format>
    <format dxfId="403">
      <pivotArea field="9" type="button" dataOnly="0" labelOnly="1" outline="0"/>
    </format>
    <format dxfId="402">
      <pivotArea field="9" type="button" dataOnly="0" labelOnly="1" outline="0"/>
    </format>
    <format dxfId="401">
      <pivotArea field="1" type="button" dataOnly="0" labelOnly="1" outline="0" axis="axisRow" fieldPosition="1"/>
    </format>
    <format dxfId="400">
      <pivotArea field="1" type="button" dataOnly="0" labelOnly="1" outline="0" axis="axisRow" fieldPosition="1"/>
    </format>
    <format dxfId="399">
      <pivotArea dataOnly="0" labelOnly="1" fieldPosition="0">
        <references count="1">
          <reference field="1" count="0"/>
        </references>
      </pivotArea>
    </format>
    <format dxfId="398">
      <pivotArea dataOnly="0" labelOnly="1" grandCol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1.xml><?xml version="1.0" encoding="utf-8"?>
<pivotTableDefinition xmlns="http://schemas.openxmlformats.org/spreadsheetml/2006/main" name="Kontingenční tabulka 27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249:D250" firstHeaderRow="0" firstDataRow="1" firstDataCol="0"/>
  <pivotFields count="26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multipleItemSelectionAllowed="1" showAll="0">
      <items count="36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h="1" x="34"/>
        <item t="default"/>
      </items>
    </pivotField>
    <pivotField showAll="0"/>
    <pivotField showAll="0"/>
    <pivotField showAll="0"/>
    <pivotField showAll="0"/>
    <pivotField showAll="0">
      <items count="2">
        <item n="cc" x="0"/>
        <item t="default"/>
      </items>
    </pivotField>
    <pivotField showAll="0" defaultSubtotal="0">
      <items count="8">
        <item x="1"/>
        <item x="2"/>
        <item x="3"/>
        <item x="6"/>
        <item x="4"/>
        <item x="7"/>
        <item x="5"/>
        <item x="0"/>
      </items>
    </pivotField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Průměrná půjčená částka" fld="19" subtotal="average" baseField="24" baseItem="0" numFmtId="164"/>
    <dataField name="Maximální půjčená částka" fld="19" subtotal="max" baseField="0" baseItem="1"/>
    <dataField name="Minimální půjčená částka" fld="19" subtotal="min" baseField="0" baseItem="2"/>
  </dataFields>
  <formats count="3">
    <format dxfId="408">
      <pivotArea outline="0" collapsedLevelsAreSubtotals="1" fieldPosition="0"/>
    </format>
    <format dxfId="4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6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2.xml><?xml version="1.0" encoding="utf-8"?>
<pivotTableDefinition xmlns="http://schemas.openxmlformats.org/spreadsheetml/2006/main" name="Kontingenční tabulka 6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rowHeaderCaption="Nejvyšší dosažené vzdělání">
  <location ref="A322:B328" firstHeaderRow="1" firstDataRow="1" firstDataCol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Spotřebitelský úvěr" fld="20" subtotal="average" baseField="8" baseItem="0" numFmtId="164"/>
  </dataFields>
  <formats count="4">
    <format dxfId="412">
      <pivotArea outline="0" collapsedLevelsAreSubtotals="1" fieldPosition="0"/>
    </format>
    <format dxfId="411">
      <pivotArea dataOnly="0" labelOnly="1" outline="0" axis="axisValues" fieldPosition="0"/>
    </format>
    <format dxfId="410">
      <pivotArea field="8" type="button" dataOnly="0" labelOnly="1" outline="0" axis="axisRow" fieldPosition="0"/>
    </format>
    <format dxfId="40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3.xml><?xml version="1.0" encoding="utf-8"?>
<pivotTableDefinition xmlns="http://schemas.openxmlformats.org/spreadsheetml/2006/main" name="Kontingenční tabulka 19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3" rowHeaderCaption="Věk">
  <location ref="I84:J87" firstHeaderRow="1" firstDataRow="1" firstDataCol="1"/>
  <pivotFields count="25">
    <pivotField axis="axisRow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sd="0" x="0"/>
        <item sd="0"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h="1"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axis="axisRow" showAll="0">
      <items count="9">
        <item h="1" x="3"/>
        <item h="1"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h="1" x="0"/>
      </items>
    </pivotField>
  </pivotFields>
  <rowFields count="2">
    <field x="0"/>
    <field x="9"/>
  </rowFields>
  <rowItems count="3">
    <i>
      <x v="9"/>
    </i>
    <i>
      <x v="10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2">
      <pivotArea outline="0" fieldPosition="0">
        <references count="1">
          <reference field="4294967294" count="1">
            <x v="0"/>
          </reference>
        </references>
      </pivotArea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4.xml><?xml version="1.0" encoding="utf-8"?>
<pivotTableDefinition xmlns="http://schemas.openxmlformats.org/spreadsheetml/2006/main" name="Kontingenční tabulka 16" cacheId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9" rowHeaderCaption="Nejvyšší dosažené vzdělání">
  <location ref="I3:J9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>
      <items count="7">
        <item sd="0" x="4"/>
        <item sd="0" x="0"/>
        <item sd="0" x="1"/>
        <item sd="0" x="2"/>
        <item sd="0" x="3"/>
        <item h="1" x="5"/>
        <item t="default"/>
      </items>
    </pivotField>
    <pivotField axis="axisRow" showAll="0">
      <items count="9">
        <item h="1" x="3"/>
        <item h="1"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2">
    <field x="8"/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3">
      <pivotArea outline="0" fieldPosition="0">
        <references count="1">
          <reference field="4294967294" count="1">
            <x v="0"/>
          </reference>
        </references>
      </pivotArea>
    </format>
  </formats>
  <chartFormats count="1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5.xml><?xml version="1.0" encoding="utf-8"?>
<pivotTableDefinition xmlns="http://schemas.openxmlformats.org/spreadsheetml/2006/main" name="Kontingenční tabulka 17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2" rowHeaderCaption="Místo trvalého bydliště">
  <location ref="I43:J47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axis="axisRow" showAll="0">
      <items count="5">
        <item sd="0" x="2"/>
        <item sd="0" x="0"/>
        <item sd="0"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axis="axisRow" showAll="0">
      <items count="9">
        <item h="1" x="3"/>
        <item h="1"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2">
    <field x="3"/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4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6.xml><?xml version="1.0" encoding="utf-8"?>
<pivotTableDefinition xmlns="http://schemas.openxmlformats.org/spreadsheetml/2006/main" name="Kontingenční tabulka 18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4" rowHeaderCaption="Věk">
  <location ref="I63:J69" firstHeaderRow="1" firstDataRow="1" firstDataCol="1"/>
  <pivotFields count="25">
    <pivotField showAll="0"/>
    <pivotField axis="axisRow" showAll="0">
      <items count="38">
        <item sd="0" x="35"/>
        <item sd="0" x="1"/>
        <item sd="0" x="30"/>
        <item sd="0" x="29"/>
        <item sd="0" x="13"/>
        <item sd="0" x="8"/>
        <item sd="0" x="4"/>
        <item sd="0" x="5"/>
        <item sd="0" x="7"/>
        <item sd="0" x="6"/>
        <item sd="0" x="10"/>
        <item sd="0" x="34"/>
        <item sd="0" x="17"/>
        <item sd="0" x="23"/>
        <item sd="0" x="20"/>
        <item sd="0" x="24"/>
        <item sd="0" x="28"/>
        <item sd="0" x="14"/>
        <item sd="0" x="11"/>
        <item sd="0" x="18"/>
        <item sd="0" x="25"/>
        <item sd="0" x="15"/>
        <item sd="0" x="16"/>
        <item sd="0" x="27"/>
        <item sd="0" x="26"/>
        <item sd="0" x="9"/>
        <item sd="0" x="12"/>
        <item sd="0" x="32"/>
        <item sd="0" x="21"/>
        <item sd="0" x="2"/>
        <item sd="0" x="31"/>
        <item sd="0" x="0"/>
        <item sd="0" x="33"/>
        <item sd="0" x="3"/>
        <item sd="0" x="19"/>
        <item sd="0" x="22"/>
        <item h="1"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axis="axisRow" showAll="0">
      <items count="9">
        <item h="1" x="3"/>
        <item h="1"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">
        <item n="18 - 25 let" sd="0" x="1"/>
        <item n="26 - 35 let" sd="0" x="2"/>
        <item n="36 - 45 let" sd="0" x="3"/>
        <item n="46 - 55 let" sd="0" x="5"/>
        <item n="56 - 65 let" sd="0" x="4"/>
        <item h="1" x="0"/>
      </items>
    </pivotField>
  </pivotFields>
  <rowFields count="3">
    <field x="24"/>
    <field x="1"/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5">
      <pivotArea outline="0" fieldPosition="0">
        <references count="1">
          <reference field="4294967294" count="1">
            <x v="0"/>
          </reference>
        </references>
      </pivotArea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7.xml><?xml version="1.0" encoding="utf-8"?>
<pivotTableDefinition xmlns="http://schemas.openxmlformats.org/spreadsheetml/2006/main" name="Kontingenční tabulka 9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6" rowHeaderCaption="Místo trvalého bydliště">
  <location ref="A43:B47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axis="axisRow" showAll="0">
      <items count="5">
        <item x="2"/>
        <item x="0"/>
        <item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6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8.xml><?xml version="1.0" encoding="utf-8"?>
<pivotTableDefinition xmlns="http://schemas.openxmlformats.org/spreadsheetml/2006/main" name="Kontingenční tabulka 2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28" rowHeaderCaption="Typ zaměstnání">
  <location ref="A23:B31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axis="axisRow" showAll="0">
      <items count="9">
        <item x="3"/>
        <item x="5"/>
        <item x="1"/>
        <item x="0"/>
        <item x="2"/>
        <item h="1" x="7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2">
    <format dxfId="168">
      <pivotArea dataOnly="0" labelOnly="1" fieldPosition="0">
        <references count="1">
          <reference field="9" count="0"/>
        </references>
      </pivotArea>
    </format>
    <format dxfId="167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9.xml><?xml version="1.0" encoding="utf-8"?>
<pivotTableDefinition xmlns="http://schemas.openxmlformats.org/spreadsheetml/2006/main" name="Kontingenční tabulka 10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9" rowHeaderCaption="Věk">
  <location ref="A63:B69" firstHeaderRow="1" firstDataRow="1" firstDataCol="1"/>
  <pivotFields count="25">
    <pivotField showAll="0"/>
    <pivotField axis="axisRow"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h="1"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">
        <item n="18 - 25 let" sd="0" x="1"/>
        <item n="26 - 35 let" sd="0" x="2"/>
        <item n="36 - 45 let" sd="0" x="3"/>
        <item n="46 - 55 let" sd="0" x="5"/>
        <item n="56 - 65 let" sd="0" x="4"/>
        <item h="1" x="0"/>
      </items>
    </pivotField>
  </pivotFields>
  <rowFields count="2">
    <field x="24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69">
      <pivotArea outline="0" fieldPosition="0">
        <references count="1">
          <reference field="4294967294" count="1">
            <x v="0"/>
          </reference>
        </references>
      </pivotArea>
    </format>
  </format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0.xml><?xml version="1.0" encoding="utf-8"?>
<pivotTableDefinition xmlns="http://schemas.openxmlformats.org/spreadsheetml/2006/main" name="Kontingenční tabulka 7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0" rowHeaderCaption="Nejvyšší dosažené vzdělání">
  <location ref="A3:B9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axis="axisRow" showAll="0">
      <items count="7">
        <item x="4"/>
        <item x="0"/>
        <item x="1"/>
        <item x="2"/>
        <item x="3"/>
        <item h="1"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hrubých příjmů" fld="5" subtotal="average" baseField="9" baseItem="0" numFmtId="164"/>
  </dataFields>
  <formats count="1">
    <format dxfId="170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1.xml><?xml version="1.0" encoding="utf-8"?>
<pivotTableDefinition xmlns="http://schemas.openxmlformats.org/spreadsheetml/2006/main" name="Kontingenční tabulka 13" cacheId="0" dataPosition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8" rowHeaderCaption="Věk">
  <location ref="A84:B87" firstHeaderRow="1" firstDataRow="1" firstDataCol="1"/>
  <pivotFields count="25">
    <pivotField axis="axisRow" showAll="0">
      <items count="12">
        <item h="1" x="6"/>
        <item h="1" x="5"/>
        <item h="1" x="8"/>
        <item h="1" x="7"/>
        <item h="1" x="2"/>
        <item h="1" x="3"/>
        <item h="1" x="4"/>
        <item h="1" x="9"/>
        <item h="1" x="10"/>
        <item x="0"/>
        <item x="1"/>
        <item t="default"/>
      </items>
    </pivotField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h="1"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dataField="1"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h="1" x="0"/>
      </items>
    </pivotField>
  </pivotFields>
  <rowFields count="1">
    <field x="0"/>
  </rowFields>
  <rowItems count="3">
    <i>
      <x v="9"/>
    </i>
    <i>
      <x v="10"/>
    </i>
    <i t="grand">
      <x/>
    </i>
  </rowItems>
  <colItems count="1">
    <i/>
  </colItems>
  <dataFields count="1">
    <dataField name="Průměr z hrubých příjmů" fld="5" subtotal="average" baseField="0" baseItem="9" numFmtId="164"/>
  </dataFields>
  <formats count="1">
    <format dxfId="171">
      <pivotArea outline="0" fieldPosition="0">
        <references count="1">
          <reference field="4294967294" count="1">
            <x v="0"/>
          </reference>
        </references>
      </pivotArea>
    </format>
  </format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2.xml><?xml version="1.0" encoding="utf-8"?>
<pivotTableDefinition xmlns="http://schemas.openxmlformats.org/spreadsheetml/2006/main" name="Kontingenční tabulka 11" cacheId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5" rowHeaderCaption="Počet dětí">
  <location ref="A41:B46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axis="axisRow" showAll="0">
      <items count="6">
        <item x="1"/>
        <item x="2"/>
        <item x="0"/>
        <item n="3 a více" x="3"/>
        <item h="1" x="4"/>
        <item t="default"/>
      </items>
    </pivotField>
    <pivotField showAll="0"/>
    <pivotField dataField="1" showAll="0"/>
    <pivotField showAll="0"/>
    <pivotField showAll="0">
      <items count="7">
        <item x="4"/>
        <item x="0"/>
        <item x="1"/>
        <item x="2"/>
        <item x="3"/>
        <item h="1"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ůměrné měsíční výdaje" fld="6" subtotal="average" baseField="8" baseItem="0" numFmtId="164"/>
  </dataFields>
  <formats count="1">
    <format dxfId="152">
      <pivotArea outline="0" collapsedLevelsAreSubtotals="1" fieldPosition="0"/>
    </format>
  </formats>
  <chartFormats count="3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3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6" rowHeaderCaption="Nejvyšší dosažené vzdělání">
  <location ref="A3:B9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showAll="0"/>
    <pivotField dataField="1" showAll="0"/>
    <pivotField showAll="0"/>
    <pivotField axis="axisRow" showAll="0">
      <items count="7">
        <item x="4"/>
        <item x="0"/>
        <item x="1"/>
        <item x="2"/>
        <item x="3"/>
        <item h="1"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né měsíční výdaje" fld="6" subtotal="average" baseField="8" baseItem="0" numFmtId="164"/>
  </dataFields>
  <formats count="1">
    <format dxfId="153">
      <pivotArea outline="0" collapsedLevelsAreSubtotals="1" fieldPosition="0"/>
    </format>
  </formats>
  <chartFormats count="2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9" rowHeaderCaption="Místo trvalého bydliště">
  <location ref="A60:B64" firstHeaderRow="1" firstDataRow="1" firstDataCol="1"/>
  <pivotFields count="25">
    <pivotField showAll="0"/>
    <pivotField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x="36"/>
        <item t="default"/>
      </items>
    </pivotField>
    <pivotField showAll="0"/>
    <pivotField axis="axisRow" showAll="0">
      <items count="5">
        <item x="2"/>
        <item x="0"/>
        <item x="1"/>
        <item h="1" x="3"/>
        <item t="default"/>
      </items>
    </pivotField>
    <pivotField showAll="0"/>
    <pivotField showAll="0"/>
    <pivotField dataField="1" showAll="0"/>
    <pivotField showAll="0"/>
    <pivotField showAll="0">
      <items count="7">
        <item x="4"/>
        <item x="0"/>
        <item x="1"/>
        <item x="2"/>
        <item x="3"/>
        <item h="1"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1"/>
        <item x="2"/>
        <item x="3"/>
        <item x="5"/>
        <item x="4"/>
        <item x="0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ůměrné měsíční výdaje" fld="6" subtotal="average" baseField="8" baseItem="0" numFmtId="164"/>
  </dataFields>
  <formats count="1">
    <format dxfId="154">
      <pivotArea outline="0" collapsedLevelsAreSubtotals="1" fieldPosition="0"/>
    </format>
  </formats>
  <chartFormats count="3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5.xml><?xml version="1.0" encoding="utf-8"?>
<pivotTableDefinition xmlns="http://schemas.openxmlformats.org/spreadsheetml/2006/main" name="Kontingenční tabulka 8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9" rowHeaderCaption="Typ bydlení">
  <location ref="A78:B83" firstHeaderRow="1" firstDataRow="1" firstDataCol="1"/>
  <pivotFields count="24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ůměrné měsíční výdaje" fld="5" subtotal="average" baseField="9" baseItem="0" numFmtId="164"/>
  </dataFields>
  <formats count="1">
    <format dxfId="155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6.xml><?xml version="1.0" encoding="utf-8"?>
<pivotTableDefinition xmlns="http://schemas.openxmlformats.org/spreadsheetml/2006/main" name="Kontingenční tabulka 10" cacheId="0" applyNumberFormats="0" applyBorderFormats="0" applyFontFormats="0" applyPatternFormats="0" applyAlignmentFormats="0" applyWidthHeightFormats="1" dataCaption="Hodnoty" grandTotalCaption="Celkový průměr" updatedVersion="4" minRefreshableVersion="3" useAutoFormatting="1" itemPrintTitles="1" createdVersion="4" indent="0" outline="1" outlineData="1" multipleFieldFilters="0" chartFormat="10" rowHeaderCaption="Věk">
  <location ref="A20:B26" firstHeaderRow="1" firstDataRow="1" firstDataCol="1"/>
  <pivotFields count="25">
    <pivotField showAll="0"/>
    <pivotField axis="axisRow" showAll="0">
      <items count="38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h="1" x="36"/>
        <item t="default"/>
      </items>
    </pivotField>
    <pivotField showAll="0"/>
    <pivotField showAll="0">
      <items count="5">
        <item x="2"/>
        <item x="0"/>
        <item x="1"/>
        <item h="1" x="3"/>
        <item t="default"/>
      </items>
    </pivotField>
    <pivotField showAll="0"/>
    <pivotField showAll="0"/>
    <pivotField dataField="1"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showAll="0">
      <items count="9">
        <item x="3"/>
        <item x="5"/>
        <item x="1"/>
        <item x="0"/>
        <item x="2"/>
        <item h="1" x="7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">
        <item n="18 - 25 let" sd="0" x="1"/>
        <item n="26 - 35 let" sd="0" x="2"/>
        <item n="36 - 45 let" sd="0" x="3"/>
        <item n="46 - 55 let" sd="0" x="5"/>
        <item n="56 - 65 let" sd="0" x="4"/>
        <item h="1" x="0"/>
      </items>
    </pivotField>
  </pivotFields>
  <rowFields count="2">
    <field x="24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né měsíční výdaje" fld="6" subtotal="average" baseField="1" baseItem="0"/>
  </dataFields>
  <formats count="6">
    <format dxfId="161">
      <pivotArea collapsedLevelsAreSubtotals="1" fieldPosition="0">
        <references count="1">
          <reference field="1" count="0"/>
        </references>
      </pivotArea>
    </format>
    <format dxfId="160">
      <pivotArea collapsedLevelsAreSubtotals="1" fieldPosition="0">
        <references count="1">
          <reference field="24" count="1">
            <x v="0"/>
          </reference>
        </references>
      </pivotArea>
    </format>
    <format dxfId="159">
      <pivotArea collapsedLevelsAreSubtotals="1" fieldPosition="0">
        <references count="1">
          <reference field="24" count="1">
            <x v="1"/>
          </reference>
        </references>
      </pivotArea>
    </format>
    <format dxfId="158">
      <pivotArea collapsedLevelsAreSubtotals="1" fieldPosition="0">
        <references count="1">
          <reference field="24" count="1">
            <x v="2"/>
          </reference>
        </references>
      </pivotArea>
    </format>
    <format dxfId="157">
      <pivotArea collapsedLevelsAreSubtotals="1" fieldPosition="0">
        <references count="1">
          <reference field="24" count="1">
            <x v="3"/>
          </reference>
        </references>
      </pivotArea>
    </format>
    <format dxfId="156">
      <pivotArea collapsedLevelsAreSubtotals="1" fieldPosition="0">
        <references count="1">
          <reference field="24" count="1">
            <x v="4"/>
          </reference>
        </references>
      </pivotArea>
    </format>
  </format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7.xml><?xml version="1.0" encoding="utf-8"?>
<pivotTableDefinition xmlns="http://schemas.openxmlformats.org/spreadsheetml/2006/main" name="Kontingenční tabulka 10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5" rowHeaderCaption="Nejvyšší dosažené vzdělání">
  <location ref="A18:B24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Bilance" fld="6" subtotal="average" baseField="7" baseItem="0" numFmtId="164"/>
  </dataFields>
  <formats count="1">
    <format dxfId="15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8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5" rowHeaderCaption="Věk">
  <location ref="A3:B9" firstHeaderRow="1" firstDataRow="1" firstDataCol="1"/>
  <pivotFields count="27">
    <pivotField showAll="0"/>
    <pivotField axis="axisRow"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Row" showAll="0" defaultSubtotal="0">
      <items count="5">
        <item n="18 - 25 let" sd="0" x="4"/>
        <item n="26 - 35 let" sd="0" x="0"/>
        <item n="36 - 45 let" sd="0" x="1"/>
        <item n="46 - 55 let" sd="0" x="2"/>
        <item n="56 - 65 let" sd="0" x="3"/>
      </items>
    </pivotField>
  </pivotFields>
  <rowFields count="2">
    <field x="26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Bilance" fld="7" subtotal="average" baseField="26" baseItem="0" numFmtId="164"/>
  </dataFields>
  <formats count="1">
    <format dxfId="15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9.xml><?xml version="1.0" encoding="utf-8"?>
<pivotTableDefinition xmlns="http://schemas.openxmlformats.org/spreadsheetml/2006/main" name="Kontingenční tabulka 83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5:D6" firstHeaderRow="0" firstDataRow="1" firstDataCol="0" rowPageCount="1" colPageCount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38">
        <item h="1" x="3"/>
        <item x="12"/>
        <item x="21"/>
        <item x="5"/>
        <item x="18"/>
        <item x="1"/>
        <item x="6"/>
        <item x="2"/>
        <item x="34"/>
        <item x="11"/>
        <item x="27"/>
        <item x="19"/>
        <item x="29"/>
        <item x="16"/>
        <item x="25"/>
        <item x="8"/>
        <item x="13"/>
        <item x="7"/>
        <item x="23"/>
        <item x="33"/>
        <item x="10"/>
        <item x="17"/>
        <item x="4"/>
        <item x="20"/>
        <item x="15"/>
        <item x="24"/>
        <item x="26"/>
        <item x="30"/>
        <item x="9"/>
        <item x="28"/>
        <item x="14"/>
        <item x="22"/>
        <item x="32"/>
        <item x="31"/>
        <item x="36"/>
        <item x="0"/>
        <item x="35"/>
        <item t="default"/>
      </items>
    </pivotField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1" hier="-1"/>
  </pageFields>
  <dataFields count="4">
    <dataField name="Počet osob, vlastnících určitou fin. rezervu na osobním/spořícím účtu" fld="11" subtotal="count" baseField="0" baseItem="1"/>
    <dataField name="Průměrná výše rezervy" fld="11" subtotal="average" baseField="0" baseItem="0" numFmtId="164"/>
    <dataField name="Minimální výše rezervy" fld="11" subtotal="min" baseField="0" baseItem="2"/>
    <dataField name="Maximální výše rezervy" fld="11" subtotal="max" baseField="0" baseItem="2"/>
  </dataFields>
  <formats count="8">
    <format dxfId="119">
      <pivotArea grandCol="1" outline="0" collapsedLevelsAreSubtotals="1" fieldPosition="0"/>
    </format>
    <format dxfId="118">
      <pivotArea type="origin" dataOnly="0" labelOnly="1" outline="0" fieldPosition="0"/>
    </format>
    <format dxfId="117">
      <pivotArea field="0" type="button" dataOnly="0" labelOnly="1" outline="0"/>
    </format>
    <format dxfId="116">
      <pivotArea type="topRight" dataOnly="0" labelOnly="1" outline="0" fieldPosition="0"/>
    </format>
    <format dxfId="115">
      <pivotArea outline="0" collapsedLevelsAreSubtotals="1" fieldPosition="0"/>
    </format>
    <format dxfId="1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0.xml><?xml version="1.0" encoding="utf-8"?>
<pivotTableDefinition xmlns="http://schemas.openxmlformats.org/spreadsheetml/2006/main" name="Kontingenční tabulka 78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Místo trvalého bydliště">
  <location ref="A57:E59" firstHeaderRow="1" firstDataRow="2" firstDataCol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axis="axisCol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Průměrná výše rezervy na osobním/spořícím účtu" fld="11" subtotal="average" baseField="3" baseItem="0" numFmtId="164"/>
  </dataFields>
  <formats count="4">
    <format dxfId="123">
      <pivotArea outline="0" collapsedLevelsAreSubtotals="1" fieldPosition="0"/>
    </format>
    <format dxfId="122">
      <pivotArea type="origin" dataOnly="0" labelOnly="1" outline="0" fieldPosition="0"/>
    </format>
    <format dxfId="121">
      <pivotArea field="3" type="button" dataOnly="0" labelOnly="1" outline="0" axis="axisCol" fieldPosition="0"/>
    </format>
    <format dxfId="120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1.xml><?xml version="1.0" encoding="utf-8"?>
<pivotTableDefinition xmlns="http://schemas.openxmlformats.org/spreadsheetml/2006/main" name="Kontingenční tabulka 80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Nejvyšší dosažené vzdělání">
  <location ref="A65:G67" firstHeaderRow="1" firstDataRow="2" firstDataCol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>
      <items count="61">
        <item x="4"/>
        <item x="37"/>
        <item x="29"/>
        <item x="7"/>
        <item x="30"/>
        <item x="45"/>
        <item x="58"/>
        <item x="52"/>
        <item x="1"/>
        <item x="43"/>
        <item x="51"/>
        <item x="18"/>
        <item x="34"/>
        <item x="8"/>
        <item x="0"/>
        <item x="2"/>
        <item x="31"/>
        <item x="49"/>
        <item x="26"/>
        <item x="19"/>
        <item x="22"/>
        <item x="21"/>
        <item x="41"/>
        <item x="38"/>
        <item x="27"/>
        <item x="54"/>
        <item x="10"/>
        <item x="56"/>
        <item x="16"/>
        <item x="15"/>
        <item x="11"/>
        <item x="13"/>
        <item x="20"/>
        <item x="12"/>
        <item x="33"/>
        <item x="35"/>
        <item x="23"/>
        <item x="36"/>
        <item x="40"/>
        <item x="42"/>
        <item x="25"/>
        <item x="9"/>
        <item x="53"/>
        <item x="28"/>
        <item x="3"/>
        <item x="6"/>
        <item x="55"/>
        <item x="5"/>
        <item x="47"/>
        <item x="39"/>
        <item x="14"/>
        <item x="24"/>
        <item x="46"/>
        <item x="44"/>
        <item x="48"/>
        <item x="17"/>
        <item x="32"/>
        <item x="57"/>
        <item x="50"/>
        <item x="59"/>
        <item t="default"/>
      </items>
    </pivotField>
    <pivotField showAll="0"/>
    <pivotField showAll="0">
      <items count="81">
        <item x="14"/>
        <item x="8"/>
        <item x="0"/>
        <item x="9"/>
        <item x="65"/>
        <item x="4"/>
        <item x="38"/>
        <item x="64"/>
        <item x="50"/>
        <item x="28"/>
        <item x="75"/>
        <item x="12"/>
        <item x="39"/>
        <item x="20"/>
        <item x="72"/>
        <item x="24"/>
        <item x="78"/>
        <item x="43"/>
        <item x="69"/>
        <item x="34"/>
        <item x="47"/>
        <item x="49"/>
        <item x="1"/>
        <item x="7"/>
        <item x="11"/>
        <item x="68"/>
        <item x="71"/>
        <item x="2"/>
        <item x="22"/>
        <item x="70"/>
        <item x="42"/>
        <item x="26"/>
        <item x="6"/>
        <item x="56"/>
        <item x="67"/>
        <item x="36"/>
        <item x="23"/>
        <item x="57"/>
        <item x="44"/>
        <item x="32"/>
        <item x="63"/>
        <item x="25"/>
        <item x="40"/>
        <item x="10"/>
        <item x="66"/>
        <item x="45"/>
        <item x="76"/>
        <item x="30"/>
        <item x="17"/>
        <item x="60"/>
        <item x="61"/>
        <item x="54"/>
        <item x="5"/>
        <item x="51"/>
        <item x="13"/>
        <item x="16"/>
        <item x="74"/>
        <item x="48"/>
        <item x="46"/>
        <item x="35"/>
        <item x="59"/>
        <item x="27"/>
        <item x="33"/>
        <item x="52"/>
        <item x="21"/>
        <item x="3"/>
        <item x="37"/>
        <item x="55"/>
        <item x="58"/>
        <item x="19"/>
        <item x="53"/>
        <item x="73"/>
        <item x="15"/>
        <item x="18"/>
        <item x="29"/>
        <item x="31"/>
        <item x="77"/>
        <item x="41"/>
        <item x="62"/>
        <item x="79"/>
        <item t="default"/>
      </items>
    </pivotField>
    <pivotField axis="axisCol" showAll="0">
      <items count="6">
        <item x="1"/>
        <item x="2"/>
        <item x="3"/>
        <item x="0"/>
        <item x="4"/>
        <item t="default"/>
      </items>
    </pivotField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ůměrná výše rezervy na osobním/spořícím účtu" fld="11" subtotal="average" baseField="8" baseItem="0" numFmtId="164"/>
  </dataFields>
  <formats count="4"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8" type="button" dataOnly="0" labelOnly="1" outline="0" axis="axisCol" fieldPosition="0"/>
    </format>
    <format dxfId="124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2.xml><?xml version="1.0" encoding="utf-8"?>
<pivotTableDefinition xmlns="http://schemas.openxmlformats.org/spreadsheetml/2006/main" name="Kontingenční tabulka 75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8" rowHeaderCaption="Věk" colHeaderCaption="Věk">
  <location ref="A10:B16" firstHeaderRow="1" firstDataRow="1" firstDataCol="1"/>
  <pivotFields count="27">
    <pivotField showAll="0"/>
    <pivotField axis="axisRow"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axis="axisRow" showAll="0" defaultSubtotal="0">
      <items count="5">
        <item n="18 - 25 let" sd="0" x="4"/>
        <item n="26 - 35 let" sd="0" x="0"/>
        <item n="36 - 45 let" sd="0" x="1"/>
        <item n="46 - 55 let" sd="0" x="2"/>
        <item n="56 - 65 let" sd="0" x="3"/>
      </items>
    </pivotField>
  </pivotFields>
  <rowFields count="2">
    <field x="26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ná výše rezervy na osobním/spořícím účtu" fld="11" subtotal="average" baseField="1" baseItem="0" numFmtId="164"/>
  </dataFields>
  <formats count="4"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1" type="button" dataOnly="0" labelOnly="1" outline="0" axis="axisRow" fieldPosition="1"/>
    </format>
    <format dxfId="128">
      <pivotArea type="topRight" dataOnly="0" labelOnly="1" outline="0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3.xml><?xml version="1.0" encoding="utf-8"?>
<pivotTableDefinition xmlns="http://schemas.openxmlformats.org/spreadsheetml/2006/main" name="Kontingenční tabulka 8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Zaměstnání">
  <location ref="A69:I71" firstHeaderRow="1" firstDataRow="2" firstDataCol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4"/>
        <item x="1"/>
        <item x="5"/>
        <item x="3"/>
        <item x="6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ůměrná výše rezervy na osobním/spořícím účtu" fld="11" subtotal="average" baseField="9" baseItem="0" numFmtId="164"/>
  </dataFields>
  <formats count="4"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9" type="button" dataOnly="0" labelOnly="1" outline="0" axis="axisCol" fieldPosition="0"/>
    </format>
    <format dxfId="132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4.xml><?xml version="1.0" encoding="utf-8"?>
<pivotTableDefinition xmlns="http://schemas.openxmlformats.org/spreadsheetml/2006/main" name="Kontingenční tabulka 76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hlaví">
  <location ref="A49:D51" firstHeaderRow="1" firstDataRow="2" firstDataCol="1"/>
  <pivotFields count="27">
    <pivotField axis="axisCol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0"/>
  </colFields>
  <colItems count="3">
    <i>
      <x/>
    </i>
    <i>
      <x v="1"/>
    </i>
    <i t="grand">
      <x/>
    </i>
  </colItems>
  <dataFields count="1">
    <dataField name="Průměrná výše rezervy na osobním/spořícím účtu" fld="11" subtotal="average" baseField="0" baseItem="0" numFmtId="164"/>
  </dataFields>
  <formats count="5">
    <format dxfId="140">
      <pivotArea outline="0" collapsedLevelsAreSubtotals="1" fieldPosition="0"/>
    </format>
    <format dxfId="139">
      <pivotArea grandCol="1" outline="0" collapsedLevelsAreSubtotals="1" fieldPosition="0"/>
    </format>
    <format dxfId="138">
      <pivotArea type="origin" dataOnly="0" labelOnly="1" outline="0" fieldPosition="0"/>
    </format>
    <format dxfId="137">
      <pivotArea field="0" type="button" dataOnly="0" labelOnly="1" outline="0" axis="axisCol" fieldPosition="0"/>
    </format>
    <format dxfId="136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5.xml><?xml version="1.0" encoding="utf-8"?>
<pivotTableDefinition xmlns="http://schemas.openxmlformats.org/spreadsheetml/2006/main" name="Kontingenční tabulka 79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Počet dětí">
  <location ref="A61:F63" firstHeaderRow="1" firstDataRow="2" firstDataCol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Průměrná výše rezervy na osobním/spořícím účtu" fld="11" subtotal="average" baseField="4" baseItem="0" numFmtId="164"/>
  </dataFields>
  <formats count="4">
    <format dxfId="144">
      <pivotArea outline="0" collapsedLevelsAreSubtotals="1" fieldPosition="0"/>
    </format>
    <format dxfId="143">
      <pivotArea type="origin" dataOnly="0" labelOnly="1" outline="0" fieldPosition="0"/>
    </format>
    <format dxfId="142">
      <pivotArea field="4" type="button" dataOnly="0" labelOnly="1" outline="0" axis="axisCol" fieldPosition="0"/>
    </format>
    <format dxfId="141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6.xml><?xml version="1.0" encoding="utf-8"?>
<pivotTableDefinition xmlns="http://schemas.openxmlformats.org/spreadsheetml/2006/main" name="Kontingenční tabulka 77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olHeaderCaption="Rodinný stav">
  <location ref="A53:E55" firstHeaderRow="1" firstDataRow="2" firstDataCol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7">
        <item x="28"/>
        <item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Průměrná výše rezervy na osobním/spořícím účtu" fld="11" subtotal="average" baseField="2" baseItem="0" numFmtId="164"/>
  </dataFields>
  <formats count="4"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2" type="button" dataOnly="0" labelOnly="1" outline="0" axis="axisCol" fieldPosition="0"/>
    </format>
    <format dxfId="145">
      <pivotArea type="topRight" dataOnly="0" labelOnly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7.xml><?xml version="1.0" encoding="utf-8"?>
<pivotTableDefinition xmlns="http://schemas.openxmlformats.org/spreadsheetml/2006/main" name="Kontingenční tabulka 9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7">
  <location ref="A26:B32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ůměr z Rezerva/BÚ,SÚ" fld="10" subtotal="average" baseField="7" baseItem="0" numFmtId="164"/>
  </dataFields>
  <formats count="1">
    <format dxfId="149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8.xml><?xml version="1.0" encoding="utf-8"?>
<pivotTableDefinition xmlns="http://schemas.openxmlformats.org/spreadsheetml/2006/main" name="Kontingenční tabulka 90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5:B6" firstHeaderRow="1" firstDataRow="1" firstDataCol="0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name="Hypoteční úvěr" axis="axisPage" dataField="1"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Items count="1">
    <i/>
  </colItems>
  <pageFields count="1">
    <pageField fld="19" hier="-1"/>
  </pageFields>
  <dataFields count="1">
    <dataField name="Celkový počet hypotečních úvěrů" fld="19" subtotal="count" baseField="0" baseItem="0"/>
  </dataFields>
  <formats count="2">
    <format dxfId="77">
      <pivotArea dataOnly="0" labelOnly="1" outline="0" axis="axisValues" fieldPosition="0"/>
    </format>
    <format dxfId="76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9.xml><?xml version="1.0" encoding="utf-8"?>
<pivotTableDefinition xmlns="http://schemas.openxmlformats.org/spreadsheetml/2006/main" name="Kontingenční tabulka 94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1" rowHeaderCaption="Počet dětí" colHeaderCaption="Životní pojištění">
  <location ref="A41:D48" firstHeaderRow="1" firstDataRow="3" firstDataCol="1" rowPageCount="1" colPageCount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4">
        <item x="2"/>
        <item x="0"/>
        <item x="1"/>
        <item t="default"/>
      </items>
    </pivotField>
    <pivotField axis="axisRow" subtotalCaption="Celkem" showAll="0">
      <items count="5">
        <item n="0 dětí" x="1"/>
        <item n="1 dítě" x="2"/>
        <item n="2 děti" x="0"/>
        <item n="3 děti" x="3"/>
        <item t="default"/>
      </items>
    </pivotField>
    <pivotField showAll="0"/>
    <pivotField showAll="0"/>
    <pivotField showAll="0"/>
    <pivotField showAll="0">
      <items count="6">
        <item x="1"/>
        <item x="2"/>
        <item x="3"/>
        <item x="0"/>
        <item x="4"/>
        <item t="default"/>
      </items>
    </pivotField>
    <pivotField showAll="0">
      <items count="8">
        <item x="4"/>
        <item x="1"/>
        <item x="5"/>
        <item x="3"/>
        <item x="6"/>
        <item x="0"/>
        <item x="2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axis="axisCol" multipleItemSelectionAllowed="1"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name="Pojištěné osoby s uzavřeným hypotečním úvěrem dle počtu dětí" axis="axisPage" dataField="1"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axis="axisCol" showAll="0" defaultSubtotal="0">
      <items count="47">
        <item x="28"/>
        <item n="Ano" sd="0"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n="Ne" sd="0"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2">
    <field x="25"/>
    <field x="14"/>
  </colFields>
  <colItems count="3">
    <i>
      <x v="1"/>
    </i>
    <i>
      <x v="46"/>
    </i>
    <i t="grand">
      <x/>
    </i>
  </colItems>
  <pageFields count="1">
    <pageField fld="19" hier="-1"/>
  </pageFields>
  <dataFields count="1">
    <dataField name="Hypoteční úvěr" fld="19" subtotal="count" baseField="25" baseItem="1"/>
  </dataFields>
  <formats count="12">
    <format dxfId="89">
      <pivotArea field="25" type="button" dataOnly="0" labelOnly="1" outline="0" axis="axisCol" fieldPosition="0"/>
    </format>
    <format dxfId="88">
      <pivotArea dataOnly="0" labelOnly="1" fieldPosition="0">
        <references count="1">
          <reference field="25" count="1">
            <x v="1"/>
          </reference>
        </references>
      </pivotArea>
    </format>
    <format dxfId="87">
      <pivotArea dataOnly="0" labelOnly="1" fieldPosition="0">
        <references count="1">
          <reference field="25" count="1">
            <x v="46"/>
          </reference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4" count="1" defaultSubtotal="1">
            <x v="0"/>
          </reference>
        </references>
      </pivotArea>
    </format>
    <format dxfId="84">
      <pivotArea dataOnly="0" labelOnly="1" fieldPosition="0">
        <references count="1">
          <reference field="4" count="1" defaultSubtotal="1">
            <x v="1"/>
          </reference>
        </references>
      </pivotArea>
    </format>
    <format dxfId="83">
      <pivotArea dataOnly="0" labelOnly="1" fieldPosition="0">
        <references count="1">
          <reference field="4" count="1" defaultSubtotal="1">
            <x v="2"/>
          </reference>
        </references>
      </pivotArea>
    </format>
    <format dxfId="82">
      <pivotArea dataOnly="0" labelOnly="1" fieldPosition="0">
        <references count="1">
          <reference field="4" count="1" defaultSubtotal="1">
            <x v="3"/>
          </reference>
        </references>
      </pivotArea>
    </format>
    <format dxfId="81">
      <pivotArea dataOnly="0" labelOnly="1" grandCol="1" outline="0" fieldPosition="0"/>
    </format>
    <format dxfId="80">
      <pivotArea field="4" type="button" dataOnly="0" labelOnly="1" outline="0" axis="axisRow" fieldPosition="0"/>
    </format>
    <format dxfId="79">
      <pivotArea dataOnly="0" labelOnly="1" fieldPosition="0">
        <references count="1">
          <reference field="4" count="0"/>
        </references>
      </pivotArea>
    </format>
    <format dxfId="7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0.xml><?xml version="1.0" encoding="utf-8"?>
<pivotTableDefinition xmlns="http://schemas.openxmlformats.org/spreadsheetml/2006/main" name="Kontingenční tabulka 89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2" colHeaderCaption="Životní pojištění">
  <location ref="A12:D15" firstHeaderRow="1" firstDataRow="3" firstDataCol="1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name="Pojištěné osoby s uzavřeným hypotečním úvěrem" axis="axisPage" dataField="1"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axis="axisCol" showAll="0" defaultSubtotal="0">
      <items count="47">
        <item x="28"/>
        <item n="Ano" sd="0"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n="Ne" sd="0"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Fields count="2">
    <field x="25"/>
    <field x="14"/>
  </colFields>
  <colItems count="3">
    <i>
      <x v="1"/>
    </i>
    <i>
      <x v="46"/>
    </i>
    <i t="grand">
      <x/>
    </i>
  </colItems>
  <pageFields count="1">
    <pageField fld="19" hier="-1"/>
  </pageFields>
  <dataFields count="1">
    <dataField name="Hypoteční úvěr" fld="19" subtotal="count" baseField="25" baseItem="1"/>
  </dataFields>
  <formats count="4">
    <format dxfId="93">
      <pivotArea field="25" type="button" dataOnly="0" labelOnly="1" outline="0" axis="axisCol" fieldPosition="0"/>
    </format>
    <format dxfId="92">
      <pivotArea dataOnly="0" labelOnly="1" fieldPosition="0">
        <references count="1">
          <reference field="25" count="1">
            <x v="1"/>
          </reference>
        </references>
      </pivotArea>
    </format>
    <format dxfId="91">
      <pivotArea dataOnly="0" labelOnly="1" fieldPosition="0">
        <references count="1">
          <reference field="25" count="1">
            <x v="46"/>
          </reference>
        </references>
      </pivotArea>
    </format>
    <format dxfId="9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1.xml><?xml version="1.0" encoding="utf-8"?>
<pivotTableDefinition xmlns="http://schemas.openxmlformats.org/spreadsheetml/2006/main" name="Kontingenční tabulka 92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2" rowHeaderCaption="Pohlaví" colHeaderCaption="Životní pojištění">
  <location ref="A22:D27" firstHeaderRow="1" firstDataRow="3" firstDataCol="1" rowPageCount="1" colPageCount="1"/>
  <pivotFields count="27">
    <pivotField axis="axisRow" subtotalCaption="Celkem"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multipleItemSelectionAllowed="1"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name="Pojištěné osoby s uzavřeným hypotečním úvěrem dle pohlaví" axis="axisPage" dataField="1"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axis="axisCol" showAll="0" defaultSubtotal="0">
      <items count="47">
        <item x="28"/>
        <item n="Ano" sd="0"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n="Ne" sd="0"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0"/>
  </rowFields>
  <rowItems count="3">
    <i>
      <x/>
    </i>
    <i>
      <x v="1"/>
    </i>
    <i t="grand">
      <x/>
    </i>
  </rowItems>
  <colFields count="2">
    <field x="25"/>
    <field x="14"/>
  </colFields>
  <colItems count="3">
    <i>
      <x v="1"/>
    </i>
    <i>
      <x v="46"/>
    </i>
    <i t="grand">
      <x/>
    </i>
  </colItems>
  <pageFields count="1">
    <pageField fld="19" hier="-1"/>
  </pageFields>
  <dataFields count="1">
    <dataField name="Hypoteční úvěr" fld="19" subtotal="count" baseField="25" baseItem="1"/>
  </dataFields>
  <formats count="10">
    <format dxfId="103">
      <pivotArea field="25" type="button" dataOnly="0" labelOnly="1" outline="0" axis="axisCol" fieldPosition="0"/>
    </format>
    <format dxfId="102">
      <pivotArea dataOnly="0" labelOnly="1" fieldPosition="0">
        <references count="1">
          <reference field="0" count="1">
            <x v="0"/>
          </reference>
        </references>
      </pivotArea>
    </format>
    <format dxfId="101">
      <pivotArea dataOnly="0" labelOnly="1" fieldPosition="0">
        <references count="1">
          <reference field="0" count="1" defaultSubtotal="1">
            <x v="0"/>
          </reference>
        </references>
      </pivotArea>
    </format>
    <format dxfId="100">
      <pivotArea dataOnly="0" labelOnly="1" fieldPosition="0">
        <references count="1">
          <reference field="0" count="1">
            <x v="1"/>
          </reference>
        </references>
      </pivotArea>
    </format>
    <format dxfId="99">
      <pivotArea dataOnly="0" labelOnly="1" fieldPosition="0">
        <references count="1">
          <reference field="0" count="1" defaultSubtotal="1">
            <x v="1"/>
          </reference>
        </references>
      </pivotArea>
    </format>
    <format dxfId="98">
      <pivotArea dataOnly="0" labelOnly="1" grandCol="1" outline="0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25" count="1">
            <x v="1"/>
          </reference>
        </references>
      </pivotArea>
    </format>
    <format dxfId="95">
      <pivotArea dataOnly="0" labelOnly="1" fieldPosition="0">
        <references count="1">
          <reference field="25" count="1">
            <x v="46"/>
          </reference>
        </references>
      </pivotArea>
    </format>
    <format dxfId="94">
      <pivotArea dataOnly="0" labelOnly="1" grandCol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6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6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2.xml><?xml version="1.0" encoding="utf-8"?>
<pivotTableDefinition xmlns="http://schemas.openxmlformats.org/spreadsheetml/2006/main" name="Kontingenční tabulka 93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 chartFormat="1" rowHeaderCaption="Rodinný stav" colHeaderCaption="Životní pojištění">
  <location ref="A31:D37" firstHeaderRow="1" firstDataRow="3" firstDataCol="1" rowPageCount="1" colPageCount="1"/>
  <pivotFields count="27">
    <pivotField showAll="0">
      <items count="3">
        <item x="0"/>
        <item x="1"/>
        <item t="default"/>
      </items>
    </pivotField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axis="axisRow" subtotalCaption="Celkem" showAll="0">
      <items count="4">
        <item x="2"/>
        <item x="1"/>
        <item x="0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>
      <items count="6">
        <item x="1"/>
        <item x="2"/>
        <item x="3"/>
        <item x="0"/>
        <item x="4"/>
        <item t="default"/>
      </items>
    </pivotField>
    <pivotField showAll="0">
      <items count="8">
        <item x="4"/>
        <item x="1"/>
        <item x="5"/>
        <item x="3"/>
        <item x="6"/>
        <item x="0"/>
        <item x="2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axis="axisCol" multipleItemSelectionAllowed="1"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x="0"/>
        <item t="default"/>
      </items>
    </pivotField>
    <pivotField showAll="0"/>
    <pivotField showAll="0"/>
    <pivotField showAll="0"/>
    <pivotField showAll="0"/>
    <pivotField name="Pojištěné osoby s uzavřeným hypotečním úvěrem dle rodinného stavu" axis="axisPage" dataField="1"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axis="axisCol" showAll="0" defaultSubtotal="0">
      <items count="47">
        <item x="28"/>
        <item n="Ano" sd="0" x="46"/>
        <item x="24"/>
        <item x="14"/>
        <item x="1"/>
        <item x="9"/>
        <item x="36"/>
        <item x="13"/>
        <item x="29"/>
        <item x="44"/>
        <item x="38"/>
        <item x="22"/>
        <item x="33"/>
        <item x="16"/>
        <item x="23"/>
        <item x="6"/>
        <item x="3"/>
        <item x="27"/>
        <item x="21"/>
        <item x="11"/>
        <item x="15"/>
        <item x="37"/>
        <item x="43"/>
        <item x="45"/>
        <item x="2"/>
        <item x="31"/>
        <item x="8"/>
        <item x="26"/>
        <item x="17"/>
        <item x="18"/>
        <item x="41"/>
        <item x="32"/>
        <item x="39"/>
        <item x="4"/>
        <item x="35"/>
        <item x="30"/>
        <item x="40"/>
        <item x="7"/>
        <item x="20"/>
        <item x="12"/>
        <item x="42"/>
        <item x="19"/>
        <item x="5"/>
        <item x="34"/>
        <item x="10"/>
        <item x="25"/>
        <item n="Ne" sd="0" x="0"/>
      </items>
    </pivotField>
    <pivotField showAll="0" defaultSubtotal="0">
      <items count="5">
        <item x="4"/>
        <item x="0"/>
        <item x="1"/>
        <item x="2"/>
        <item x="3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2">
    <field x="25"/>
    <field x="14"/>
  </colFields>
  <colItems count="3">
    <i>
      <x v="1"/>
    </i>
    <i>
      <x v="46"/>
    </i>
    <i t="grand">
      <x/>
    </i>
  </colItems>
  <pageFields count="1">
    <pageField fld="19" hier="-1"/>
  </pageFields>
  <dataFields count="1">
    <dataField name="Hypoteční úvěr" fld="19" subtotal="count" baseField="25" baseItem="1"/>
  </dataFields>
  <formats count="6">
    <format dxfId="109">
      <pivotArea field="25" type="button" dataOnly="0" labelOnly="1" outline="0" axis="axisCol" fieldPosition="0"/>
    </format>
    <format dxfId="108">
      <pivotArea dataOnly="0" labelOnly="1" grandCol="1" outline="0" fieldPosition="0"/>
    </format>
    <format dxfId="107">
      <pivotArea field="2" type="button" dataOnly="0" labelOnly="1" outline="0" axis="axisRow" fieldPosition="0"/>
    </format>
    <format dxfId="106">
      <pivotArea dataOnly="0" labelOnly="1" fieldPosition="0">
        <references count="1">
          <reference field="25" count="1">
            <x v="1"/>
          </reference>
        </references>
      </pivotArea>
    </format>
    <format dxfId="105">
      <pivotArea dataOnly="0" labelOnly="1" fieldPosition="0">
        <references count="1">
          <reference field="25" count="1">
            <x v="46"/>
          </reference>
        </references>
      </pivotArea>
    </format>
    <format dxfId="104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3.xml><?xml version="1.0" encoding="utf-8"?>
<pivotTableDefinition xmlns="http://schemas.openxmlformats.org/spreadsheetml/2006/main" name="Kontingenční tabulka 9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D5:D6" firstHeaderRow="1" firstDataRow="1" firstDataCol="0" rowPageCount="1" colPageCount="1"/>
  <pivotFields count="27">
    <pivotField showAll="0"/>
    <pivotField showAll="0">
      <items count="37">
        <item x="35"/>
        <item x="1"/>
        <item x="30"/>
        <item x="29"/>
        <item x="13"/>
        <item x="8"/>
        <item x="4"/>
        <item x="5"/>
        <item x="7"/>
        <item x="6"/>
        <item x="10"/>
        <item x="34"/>
        <item x="17"/>
        <item x="23"/>
        <item x="20"/>
        <item x="24"/>
        <item x="28"/>
        <item x="14"/>
        <item x="11"/>
        <item x="18"/>
        <item x="25"/>
        <item x="15"/>
        <item x="16"/>
        <item x="27"/>
        <item x="26"/>
        <item x="9"/>
        <item x="12"/>
        <item x="32"/>
        <item x="21"/>
        <item x="2"/>
        <item x="31"/>
        <item x="0"/>
        <item x="33"/>
        <item x="3"/>
        <item x="19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97">
        <item x="62"/>
        <item x="23"/>
        <item x="29"/>
        <item x="47"/>
        <item x="8"/>
        <item x="27"/>
        <item x="1"/>
        <item x="67"/>
        <item x="14"/>
        <item x="76"/>
        <item x="25"/>
        <item x="9"/>
        <item x="64"/>
        <item x="92"/>
        <item x="95"/>
        <item x="22"/>
        <item x="78"/>
        <item x="43"/>
        <item x="73"/>
        <item x="50"/>
        <item x="31"/>
        <item x="36"/>
        <item x="46"/>
        <item x="81"/>
        <item x="24"/>
        <item x="7"/>
        <item x="3"/>
        <item x="59"/>
        <item x="42"/>
        <item x="41"/>
        <item x="11"/>
        <item x="12"/>
        <item x="19"/>
        <item x="28"/>
        <item x="77"/>
        <item x="90"/>
        <item x="93"/>
        <item x="2"/>
        <item x="66"/>
        <item x="80"/>
        <item x="52"/>
        <item x="13"/>
        <item x="6"/>
        <item x="48"/>
        <item x="45"/>
        <item x="58"/>
        <item x="83"/>
        <item x="82"/>
        <item x="32"/>
        <item x="33"/>
        <item x="89"/>
        <item x="26"/>
        <item x="18"/>
        <item x="21"/>
        <item x="85"/>
        <item x="60"/>
        <item x="49"/>
        <item x="17"/>
        <item x="15"/>
        <item x="30"/>
        <item x="91"/>
        <item x="88"/>
        <item x="86"/>
        <item x="71"/>
        <item x="55"/>
        <item x="79"/>
        <item x="44"/>
        <item x="40"/>
        <item x="34"/>
        <item x="69"/>
        <item x="57"/>
        <item x="4"/>
        <item x="38"/>
        <item x="75"/>
        <item x="72"/>
        <item x="68"/>
        <item x="65"/>
        <item x="53"/>
        <item x="51"/>
        <item x="39"/>
        <item x="84"/>
        <item x="10"/>
        <item x="37"/>
        <item x="94"/>
        <item x="20"/>
        <item x="87"/>
        <item x="35"/>
        <item x="5"/>
        <item x="74"/>
        <item x="16"/>
        <item x="56"/>
        <item x="54"/>
        <item x="61"/>
        <item x="63"/>
        <item x="70"/>
        <item h="1" x="0"/>
        <item t="default"/>
      </items>
    </pivotField>
    <pivotField showAll="0"/>
    <pivotField showAll="0"/>
    <pivotField showAll="0"/>
    <pivotField showAll="0"/>
    <pivotField multipleItemSelectionAllowed="1" showAll="0">
      <items count="35">
        <item x="8"/>
        <item x="33"/>
        <item x="32"/>
        <item x="13"/>
        <item x="28"/>
        <item x="7"/>
        <item x="24"/>
        <item x="4"/>
        <item x="30"/>
        <item x="9"/>
        <item x="22"/>
        <item x="11"/>
        <item x="16"/>
        <item x="6"/>
        <item x="27"/>
        <item x="14"/>
        <item x="29"/>
        <item x="20"/>
        <item x="3"/>
        <item x="15"/>
        <item x="31"/>
        <item x="2"/>
        <item x="17"/>
        <item x="5"/>
        <item x="10"/>
        <item x="21"/>
        <item x="19"/>
        <item x="25"/>
        <item x="18"/>
        <item x="26"/>
        <item x="1"/>
        <item x="12"/>
        <item x="23"/>
        <item h="1" x="0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showAll="0" defaultSubtotal="0">
      <items count="5">
        <item x="4"/>
        <item x="0"/>
        <item x="1"/>
        <item x="2"/>
        <item x="3"/>
      </items>
    </pivotField>
  </pivotFields>
  <rowItems count="1">
    <i/>
  </rowItems>
  <colItems count="1">
    <i/>
  </colItems>
  <pageFields count="1">
    <pageField fld="14" hier="-1"/>
  </pageFields>
  <dataFields count="1">
    <dataField name="Celkový počet životních pojištění" fld="14" subtotal="count" baseField="0" baseItem="0"/>
  </dataFields>
  <formats count="2">
    <format dxfId="111">
      <pivotArea dataOnly="0" labelOnly="1" outline="0" axis="axisValues" fieldPosition="0"/>
    </format>
    <format dxfId="11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55" Type="http://schemas.openxmlformats.org/officeDocument/2006/relationships/pivotTable" Target="../pivotTables/pivotTable55.xml"/><Relationship Id="rId63" Type="http://schemas.openxmlformats.org/officeDocument/2006/relationships/printerSettings" Target="../printerSettings/printerSettings3.bin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9" Type="http://schemas.openxmlformats.org/officeDocument/2006/relationships/pivotTable" Target="../pivotTables/pivotTable29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3" Type="http://schemas.openxmlformats.org/officeDocument/2006/relationships/pivotTable" Target="../pivotTables/pivotTable53.xml"/><Relationship Id="rId58" Type="http://schemas.openxmlformats.org/officeDocument/2006/relationships/pivotTable" Target="../pivotTables/pivotTable58.xml"/><Relationship Id="rId5" Type="http://schemas.openxmlformats.org/officeDocument/2006/relationships/pivotTable" Target="../pivotTables/pivotTable5.xml"/><Relationship Id="rId61" Type="http://schemas.openxmlformats.org/officeDocument/2006/relationships/pivotTable" Target="../pivotTables/pivotTable61.xml"/><Relationship Id="rId19" Type="http://schemas.openxmlformats.org/officeDocument/2006/relationships/pivotTable" Target="../pivotTables/pivotTable1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56" Type="http://schemas.openxmlformats.org/officeDocument/2006/relationships/pivotTable" Target="../pivotTables/pivotTable56.xml"/><Relationship Id="rId64" Type="http://schemas.openxmlformats.org/officeDocument/2006/relationships/drawing" Target="../drawings/drawing1.xml"/><Relationship Id="rId8" Type="http://schemas.openxmlformats.org/officeDocument/2006/relationships/pivotTable" Target="../pivotTables/pivotTable8.xml"/><Relationship Id="rId51" Type="http://schemas.openxmlformats.org/officeDocument/2006/relationships/pivotTable" Target="../pivotTables/pivotTable51.xml"/><Relationship Id="rId3" Type="http://schemas.openxmlformats.org/officeDocument/2006/relationships/pivotTable" Target="../pivotTables/pivotTable3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59" Type="http://schemas.openxmlformats.org/officeDocument/2006/relationships/pivotTable" Target="../pivotTables/pivotTable59.xml"/><Relationship Id="rId20" Type="http://schemas.openxmlformats.org/officeDocument/2006/relationships/pivotTable" Target="../pivotTables/pivotTable20.xml"/><Relationship Id="rId41" Type="http://schemas.openxmlformats.org/officeDocument/2006/relationships/pivotTable" Target="../pivotTables/pivotTable41.xml"/><Relationship Id="rId54" Type="http://schemas.openxmlformats.org/officeDocument/2006/relationships/pivotTable" Target="../pivotTables/pivotTable54.xml"/><Relationship Id="rId62" Type="http://schemas.openxmlformats.org/officeDocument/2006/relationships/pivotTable" Target="../pivotTables/pivotTable6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57" Type="http://schemas.openxmlformats.org/officeDocument/2006/relationships/pivotTable" Target="../pivotTables/pivotTable57.xml"/><Relationship Id="rId10" Type="http://schemas.openxmlformats.org/officeDocument/2006/relationships/pivotTable" Target="../pivotTables/pivotTable10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52" Type="http://schemas.openxmlformats.org/officeDocument/2006/relationships/pivotTable" Target="../pivotTables/pivotTable52.xml"/><Relationship Id="rId60" Type="http://schemas.openxmlformats.org/officeDocument/2006/relationships/pivotTable" Target="../pivotTables/pivotTable6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0.xml"/><Relationship Id="rId3" Type="http://schemas.openxmlformats.org/officeDocument/2006/relationships/pivotTable" Target="../pivotTables/pivotTable65.xml"/><Relationship Id="rId7" Type="http://schemas.openxmlformats.org/officeDocument/2006/relationships/pivotTable" Target="../pivotTables/pivotTable69.xml"/><Relationship Id="rId2" Type="http://schemas.openxmlformats.org/officeDocument/2006/relationships/pivotTable" Target="../pivotTables/pivotTable64.xml"/><Relationship Id="rId1" Type="http://schemas.openxmlformats.org/officeDocument/2006/relationships/pivotTable" Target="../pivotTables/pivotTable63.xml"/><Relationship Id="rId6" Type="http://schemas.openxmlformats.org/officeDocument/2006/relationships/pivotTable" Target="../pivotTables/pivotTable68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67.xml"/><Relationship Id="rId10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66.xml"/><Relationship Id="rId9" Type="http://schemas.openxmlformats.org/officeDocument/2006/relationships/pivotTable" Target="../pivotTables/pivotTable7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4.xml"/><Relationship Id="rId7" Type="http://schemas.openxmlformats.org/officeDocument/2006/relationships/drawing" Target="../drawings/drawing3.xml"/><Relationship Id="rId2" Type="http://schemas.openxmlformats.org/officeDocument/2006/relationships/pivotTable" Target="../pivotTables/pivotTable73.xml"/><Relationship Id="rId1" Type="http://schemas.openxmlformats.org/officeDocument/2006/relationships/pivotTable" Target="../pivotTables/pivotTable72.xml"/><Relationship Id="rId6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76.xml"/><Relationship Id="rId4" Type="http://schemas.openxmlformats.org/officeDocument/2006/relationships/pivotTable" Target="../pivotTables/pivotTable7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78.xml"/><Relationship Id="rId1" Type="http://schemas.openxmlformats.org/officeDocument/2006/relationships/pivotTable" Target="../pivotTables/pivotTable7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6.xml"/><Relationship Id="rId3" Type="http://schemas.openxmlformats.org/officeDocument/2006/relationships/pivotTable" Target="../pivotTables/pivotTable81.xml"/><Relationship Id="rId7" Type="http://schemas.openxmlformats.org/officeDocument/2006/relationships/pivotTable" Target="../pivotTables/pivotTable85.xml"/><Relationship Id="rId2" Type="http://schemas.openxmlformats.org/officeDocument/2006/relationships/pivotTable" Target="../pivotTables/pivotTable80.xml"/><Relationship Id="rId1" Type="http://schemas.openxmlformats.org/officeDocument/2006/relationships/pivotTable" Target="../pivotTables/pivotTable79.xml"/><Relationship Id="rId6" Type="http://schemas.openxmlformats.org/officeDocument/2006/relationships/pivotTable" Target="../pivotTables/pivotTable84.xml"/><Relationship Id="rId11" Type="http://schemas.openxmlformats.org/officeDocument/2006/relationships/drawing" Target="../drawings/drawing5.xml"/><Relationship Id="rId5" Type="http://schemas.openxmlformats.org/officeDocument/2006/relationships/pivotTable" Target="../pivotTables/pivotTable83.xml"/><Relationship Id="rId10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82.xml"/><Relationship Id="rId9" Type="http://schemas.openxmlformats.org/officeDocument/2006/relationships/pivotTable" Target="../pivotTables/pivotTable8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0.xml"/><Relationship Id="rId7" Type="http://schemas.openxmlformats.org/officeDocument/2006/relationships/drawing" Target="../drawings/drawing6.xml"/><Relationship Id="rId2" Type="http://schemas.openxmlformats.org/officeDocument/2006/relationships/pivotTable" Target="../pivotTables/pivotTable89.xml"/><Relationship Id="rId1" Type="http://schemas.openxmlformats.org/officeDocument/2006/relationships/pivotTable" Target="../pivotTables/pivotTable88.xml"/><Relationship Id="rId6" Type="http://schemas.openxmlformats.org/officeDocument/2006/relationships/pivotTable" Target="../pivotTables/pivotTable93.xml"/><Relationship Id="rId5" Type="http://schemas.openxmlformats.org/officeDocument/2006/relationships/pivotTable" Target="../pivotTables/pivotTable92.xml"/><Relationship Id="rId4" Type="http://schemas.openxmlformats.org/officeDocument/2006/relationships/pivotTable" Target="../pivotTables/pivotTable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topLeftCell="R1" zoomScaleNormal="100" workbookViewId="0">
      <pane ySplit="1" topLeftCell="A158" activePane="bottomLeft" state="frozen"/>
      <selection pane="bottomLeft" sqref="A1:X176"/>
    </sheetView>
  </sheetViews>
  <sheetFormatPr defaultRowHeight="15" x14ac:dyDescent="0.25"/>
  <cols>
    <col min="1" max="1" width="7.42578125" style="1" bestFit="1" customWidth="1"/>
    <col min="2" max="2" width="4.42578125" style="1" bestFit="1" customWidth="1"/>
    <col min="3" max="3" width="13.140625" style="1" bestFit="1" customWidth="1"/>
    <col min="4" max="4" width="23" style="1" bestFit="1" customWidth="1"/>
    <col min="5" max="5" width="9.85546875" style="1" bestFit="1" customWidth="1"/>
    <col min="6" max="6" width="7" style="1" bestFit="1" customWidth="1"/>
    <col min="7" max="7" width="7.140625" style="1" bestFit="1" customWidth="1"/>
    <col min="8" max="8" width="7.42578125" style="1" bestFit="1" customWidth="1"/>
    <col min="9" max="9" width="19.140625" style="1" bestFit="1" customWidth="1"/>
    <col min="10" max="10" width="39.85546875" style="1" bestFit="1" customWidth="1"/>
    <col min="11" max="11" width="11.140625" style="1" bestFit="1" customWidth="1"/>
    <col min="12" max="12" width="14.28515625" style="1" bestFit="1" customWidth="1"/>
    <col min="13" max="13" width="15.42578125" style="1" bestFit="1" customWidth="1"/>
    <col min="14" max="14" width="6.140625" style="1" bestFit="1" customWidth="1"/>
    <col min="15" max="15" width="15.42578125" style="1" bestFit="1" customWidth="1"/>
    <col min="16" max="16" width="25.28515625" style="1" bestFit="1" customWidth="1"/>
    <col min="17" max="17" width="20.85546875" style="1" bestFit="1" customWidth="1"/>
    <col min="18" max="18" width="25.7109375" style="1" bestFit="1" customWidth="1"/>
    <col min="19" max="19" width="15.7109375" style="1" bestFit="1" customWidth="1"/>
    <col min="20" max="20" width="20" style="1" bestFit="1" customWidth="1"/>
    <col min="21" max="21" width="19.5703125" style="1" bestFit="1" customWidth="1"/>
    <col min="22" max="22" width="7.5703125" style="1" bestFit="1" customWidth="1"/>
    <col min="23" max="23" width="18.85546875" style="1" bestFit="1" customWidth="1"/>
    <col min="24" max="24" width="26.7109375" style="1" bestFit="1" customWidth="1"/>
    <col min="25" max="25" width="19.5703125" style="1" bestFit="1" customWidth="1"/>
    <col min="26" max="16384" width="9.140625" style="1"/>
  </cols>
  <sheetData>
    <row r="1" spans="1:25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27</v>
      </c>
      <c r="M1" s="8" t="s">
        <v>11</v>
      </c>
      <c r="N1" s="8" t="s">
        <v>29</v>
      </c>
      <c r="O1" s="8" t="s">
        <v>12</v>
      </c>
      <c r="P1" s="8" t="s">
        <v>42</v>
      </c>
      <c r="Q1" s="8" t="s">
        <v>43</v>
      </c>
      <c r="R1" s="8" t="s">
        <v>18</v>
      </c>
      <c r="S1" s="8" t="s">
        <v>25</v>
      </c>
      <c r="T1" s="8" t="s">
        <v>13</v>
      </c>
      <c r="U1" s="8" t="s">
        <v>14</v>
      </c>
      <c r="V1" s="8" t="s">
        <v>15</v>
      </c>
      <c r="W1" s="8" t="s">
        <v>16</v>
      </c>
      <c r="X1" s="8" t="s">
        <v>17</v>
      </c>
      <c r="Y1" s="8" t="s">
        <v>108</v>
      </c>
    </row>
    <row r="2" spans="1:25" x14ac:dyDescent="0.25">
      <c r="A2" s="1" t="s">
        <v>20</v>
      </c>
      <c r="B2" s="1">
        <v>53</v>
      </c>
      <c r="C2" s="1" t="s">
        <v>37</v>
      </c>
      <c r="D2" s="1" t="s">
        <v>40</v>
      </c>
      <c r="E2" s="1">
        <v>2</v>
      </c>
      <c r="F2" s="1">
        <v>14000</v>
      </c>
      <c r="G2" s="1">
        <v>18700</v>
      </c>
      <c r="H2" s="1">
        <f>F2-G2</f>
        <v>-4700</v>
      </c>
      <c r="I2" s="1" t="s">
        <v>34</v>
      </c>
      <c r="J2" s="1" t="s">
        <v>51</v>
      </c>
      <c r="K2" s="1" t="s">
        <v>21</v>
      </c>
      <c r="L2" s="1">
        <v>1500000</v>
      </c>
      <c r="M2" s="1">
        <v>1000</v>
      </c>
      <c r="N2" s="1" t="s">
        <v>30</v>
      </c>
      <c r="O2" s="1" t="s">
        <v>30</v>
      </c>
      <c r="P2" s="1">
        <v>1380</v>
      </c>
      <c r="Q2" s="1">
        <v>550000</v>
      </c>
      <c r="R2" s="1" t="s">
        <v>30</v>
      </c>
      <c r="S2" s="1" t="s">
        <v>30</v>
      </c>
      <c r="T2" s="1" t="s">
        <v>30</v>
      </c>
      <c r="U2" s="1" t="s">
        <v>30</v>
      </c>
      <c r="V2" s="1" t="s">
        <v>30</v>
      </c>
      <c r="W2" s="1" t="s">
        <v>30</v>
      </c>
      <c r="X2" s="1" t="s">
        <v>30</v>
      </c>
    </row>
    <row r="3" spans="1:25" x14ac:dyDescent="0.25">
      <c r="A3" s="1" t="s">
        <v>20</v>
      </c>
      <c r="B3" s="1">
        <v>23</v>
      </c>
      <c r="C3" s="1" t="s">
        <v>38</v>
      </c>
      <c r="D3" s="1" t="s">
        <v>40</v>
      </c>
      <c r="E3" s="1">
        <v>0</v>
      </c>
      <c r="F3" s="1">
        <v>10500</v>
      </c>
      <c r="G3" s="1">
        <v>7200</v>
      </c>
      <c r="H3" s="1">
        <f t="shared" ref="H3:H38" si="0">F3-G3</f>
        <v>3300</v>
      </c>
      <c r="I3" s="1" t="s">
        <v>22</v>
      </c>
      <c r="J3" s="1" t="s">
        <v>48</v>
      </c>
      <c r="K3" s="1" t="s">
        <v>26</v>
      </c>
      <c r="L3" s="1">
        <v>20000</v>
      </c>
      <c r="M3" s="1">
        <v>300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>
        <v>1700</v>
      </c>
      <c r="T3" s="1" t="s">
        <v>30</v>
      </c>
      <c r="U3" s="1" t="s">
        <v>30</v>
      </c>
      <c r="V3" s="1" t="s">
        <v>30</v>
      </c>
      <c r="W3" s="1" t="s">
        <v>30</v>
      </c>
      <c r="X3" s="1" t="s">
        <v>30</v>
      </c>
    </row>
    <row r="4" spans="1:25" x14ac:dyDescent="0.25">
      <c r="A4" s="1" t="s">
        <v>19</v>
      </c>
      <c r="B4" s="1">
        <v>51</v>
      </c>
      <c r="C4" s="1" t="s">
        <v>37</v>
      </c>
      <c r="D4" s="1" t="s">
        <v>40</v>
      </c>
      <c r="E4" s="1">
        <v>2</v>
      </c>
      <c r="F4" s="1">
        <v>15000</v>
      </c>
      <c r="G4" s="1">
        <v>10000</v>
      </c>
      <c r="H4" s="1">
        <f t="shared" si="0"/>
        <v>5000</v>
      </c>
      <c r="I4" s="1" t="s">
        <v>22</v>
      </c>
      <c r="J4" s="1" t="s">
        <v>50</v>
      </c>
      <c r="K4" s="1" t="s">
        <v>26</v>
      </c>
      <c r="L4" s="1">
        <v>30000</v>
      </c>
      <c r="M4" s="1">
        <v>500</v>
      </c>
      <c r="N4" s="1" t="s">
        <v>30</v>
      </c>
      <c r="O4" s="1">
        <v>350</v>
      </c>
      <c r="P4" s="1">
        <v>1300</v>
      </c>
      <c r="Q4" s="1" t="s">
        <v>30</v>
      </c>
      <c r="R4" s="1" t="s">
        <v>30</v>
      </c>
      <c r="S4" s="1">
        <v>1500</v>
      </c>
      <c r="T4" s="1" t="s">
        <v>30</v>
      </c>
      <c r="U4" s="1" t="s">
        <v>30</v>
      </c>
      <c r="V4" s="1" t="s">
        <v>30</v>
      </c>
      <c r="W4" s="1" t="s">
        <v>30</v>
      </c>
      <c r="X4" s="1" t="s">
        <v>30</v>
      </c>
    </row>
    <row r="5" spans="1:25" x14ac:dyDescent="0.25">
      <c r="A5" s="1" t="s">
        <v>20</v>
      </c>
      <c r="B5" s="1">
        <v>62</v>
      </c>
      <c r="C5" s="1" t="s">
        <v>37</v>
      </c>
      <c r="D5" s="1" t="s">
        <v>41</v>
      </c>
      <c r="E5" s="1">
        <v>1</v>
      </c>
      <c r="F5" s="1">
        <v>33000</v>
      </c>
      <c r="G5" s="1">
        <v>15000</v>
      </c>
      <c r="H5" s="1">
        <f t="shared" si="0"/>
        <v>18000</v>
      </c>
      <c r="I5" s="1" t="s">
        <v>22</v>
      </c>
      <c r="J5" s="1" t="s">
        <v>51</v>
      </c>
      <c r="K5" s="1" t="s">
        <v>21</v>
      </c>
      <c r="L5" s="1">
        <v>0</v>
      </c>
      <c r="M5" s="1">
        <v>500</v>
      </c>
      <c r="N5" s="1" t="s">
        <v>30</v>
      </c>
      <c r="O5" s="1" t="s">
        <v>30</v>
      </c>
      <c r="P5" s="1" t="s">
        <v>30</v>
      </c>
      <c r="Q5" s="1" t="s">
        <v>30</v>
      </c>
      <c r="R5" s="1" t="s">
        <v>30</v>
      </c>
      <c r="S5" s="1" t="s">
        <v>30</v>
      </c>
      <c r="T5" s="1" t="s">
        <v>30</v>
      </c>
      <c r="U5" s="1" t="s">
        <v>30</v>
      </c>
      <c r="V5" s="1" t="s">
        <v>30</v>
      </c>
      <c r="W5" s="1">
        <v>372</v>
      </c>
      <c r="X5" s="1" t="s">
        <v>30</v>
      </c>
    </row>
    <row r="6" spans="1:25" x14ac:dyDescent="0.25">
      <c r="A6" s="1" t="s">
        <v>20</v>
      </c>
      <c r="B6" s="1">
        <v>28</v>
      </c>
      <c r="C6" s="1" t="s">
        <v>38</v>
      </c>
      <c r="D6" s="1" t="s">
        <v>41</v>
      </c>
      <c r="E6" s="1">
        <v>0</v>
      </c>
      <c r="F6" s="1">
        <v>0</v>
      </c>
      <c r="G6" s="1">
        <v>0</v>
      </c>
      <c r="H6" s="1">
        <f t="shared" si="0"/>
        <v>0</v>
      </c>
      <c r="I6" s="1" t="s">
        <v>36</v>
      </c>
      <c r="J6" s="1" t="s">
        <v>49</v>
      </c>
      <c r="K6" s="1" t="s">
        <v>33</v>
      </c>
      <c r="L6" s="1">
        <v>0</v>
      </c>
      <c r="M6" s="1">
        <v>300</v>
      </c>
      <c r="N6" s="1" t="s">
        <v>30</v>
      </c>
      <c r="O6" s="1" t="s">
        <v>30</v>
      </c>
      <c r="P6" s="1" t="s">
        <v>30</v>
      </c>
      <c r="Q6" s="1" t="s">
        <v>30</v>
      </c>
      <c r="R6" s="1" t="s">
        <v>30</v>
      </c>
      <c r="S6" s="1" t="s">
        <v>30</v>
      </c>
      <c r="T6" s="1" t="s">
        <v>30</v>
      </c>
      <c r="U6" s="1" t="s">
        <v>30</v>
      </c>
      <c r="V6" s="1" t="s">
        <v>30</v>
      </c>
      <c r="W6" s="1" t="s">
        <v>30</v>
      </c>
      <c r="X6" s="1" t="s">
        <v>30</v>
      </c>
    </row>
    <row r="7" spans="1:25" x14ac:dyDescent="0.25">
      <c r="A7" s="1" t="s">
        <v>20</v>
      </c>
      <c r="B7" s="1">
        <v>29</v>
      </c>
      <c r="C7" s="1" t="s">
        <v>38</v>
      </c>
      <c r="D7" s="1" t="s">
        <v>40</v>
      </c>
      <c r="E7" s="1">
        <v>0</v>
      </c>
      <c r="F7" s="1">
        <v>35000</v>
      </c>
      <c r="G7" s="1">
        <v>24000</v>
      </c>
      <c r="H7" s="1">
        <f t="shared" si="0"/>
        <v>11000</v>
      </c>
      <c r="I7" s="1" t="s">
        <v>35</v>
      </c>
      <c r="J7" s="1" t="s">
        <v>45</v>
      </c>
      <c r="K7" s="1" t="s">
        <v>26</v>
      </c>
      <c r="L7" s="1">
        <v>30000</v>
      </c>
      <c r="M7" s="1">
        <v>1000</v>
      </c>
      <c r="N7" s="1" t="s">
        <v>30</v>
      </c>
      <c r="O7" s="1">
        <v>350</v>
      </c>
      <c r="P7" s="1" t="s">
        <v>30</v>
      </c>
      <c r="Q7" s="1" t="s">
        <v>30</v>
      </c>
      <c r="R7" s="1" t="s">
        <v>30</v>
      </c>
      <c r="S7" s="1" t="s">
        <v>30</v>
      </c>
      <c r="T7" s="1" t="s">
        <v>30</v>
      </c>
      <c r="U7" s="1">
        <v>150000</v>
      </c>
      <c r="V7" s="1" t="s">
        <v>30</v>
      </c>
      <c r="W7" s="1" t="s">
        <v>30</v>
      </c>
      <c r="X7" s="1" t="s">
        <v>30</v>
      </c>
    </row>
    <row r="8" spans="1:25" s="2" customFormat="1" x14ac:dyDescent="0.25">
      <c r="A8" s="2" t="s">
        <v>20</v>
      </c>
      <c r="B8" s="2">
        <v>31</v>
      </c>
      <c r="C8" s="2" t="s">
        <v>37</v>
      </c>
      <c r="D8" s="2" t="s">
        <v>41</v>
      </c>
      <c r="E8" s="2">
        <v>1</v>
      </c>
      <c r="F8" s="2">
        <v>34000</v>
      </c>
      <c r="G8" s="2">
        <v>28000</v>
      </c>
      <c r="H8" s="2">
        <f t="shared" si="0"/>
        <v>6000</v>
      </c>
      <c r="I8" s="2" t="s">
        <v>35</v>
      </c>
      <c r="J8" s="2" t="s">
        <v>51</v>
      </c>
      <c r="K8" s="2" t="s">
        <v>21</v>
      </c>
      <c r="L8" s="2">
        <v>150000</v>
      </c>
      <c r="M8" s="2">
        <v>1000</v>
      </c>
      <c r="N8" s="2" t="s">
        <v>30</v>
      </c>
      <c r="O8" s="2" t="s">
        <v>30</v>
      </c>
      <c r="P8" s="2" t="s">
        <v>30</v>
      </c>
      <c r="Q8" s="2" t="s">
        <v>30</v>
      </c>
      <c r="R8" s="2" t="s">
        <v>30</v>
      </c>
      <c r="S8" s="2" t="s">
        <v>30</v>
      </c>
      <c r="T8" s="2">
        <v>1750000</v>
      </c>
      <c r="U8" s="2" t="s">
        <v>30</v>
      </c>
      <c r="V8" s="2" t="s">
        <v>30</v>
      </c>
      <c r="W8" s="2">
        <v>250</v>
      </c>
      <c r="X8" s="2">
        <v>300</v>
      </c>
    </row>
    <row r="9" spans="1:25" s="2" customFormat="1" x14ac:dyDescent="0.25">
      <c r="A9" s="2" t="s">
        <v>19</v>
      </c>
      <c r="B9" s="2">
        <v>30</v>
      </c>
      <c r="C9" s="2" t="s">
        <v>37</v>
      </c>
      <c r="D9" s="2" t="s">
        <v>41</v>
      </c>
      <c r="E9" s="2">
        <v>1</v>
      </c>
      <c r="F9" s="2">
        <v>34000</v>
      </c>
      <c r="G9" s="2">
        <v>28000</v>
      </c>
      <c r="H9" s="2">
        <f t="shared" si="0"/>
        <v>6000</v>
      </c>
      <c r="I9" s="2" t="s">
        <v>35</v>
      </c>
      <c r="J9" s="2" t="s">
        <v>51</v>
      </c>
      <c r="K9" s="2" t="s">
        <v>21</v>
      </c>
      <c r="L9" s="2">
        <v>150000</v>
      </c>
      <c r="M9" s="2">
        <v>300</v>
      </c>
      <c r="N9" s="2" t="s">
        <v>30</v>
      </c>
      <c r="O9" s="2" t="s">
        <v>30</v>
      </c>
      <c r="P9" s="2" t="s">
        <v>30</v>
      </c>
      <c r="Q9" s="2" t="s">
        <v>30</v>
      </c>
      <c r="R9" s="2" t="s">
        <v>30</v>
      </c>
      <c r="S9" s="2" t="s">
        <v>30</v>
      </c>
      <c r="T9" s="2">
        <v>1750000</v>
      </c>
      <c r="U9" s="2" t="s">
        <v>30</v>
      </c>
      <c r="V9" s="2" t="s">
        <v>30</v>
      </c>
      <c r="W9" s="2" t="s">
        <v>30</v>
      </c>
      <c r="X9" s="2" t="s">
        <v>30</v>
      </c>
    </row>
    <row r="10" spans="1:25" x14ac:dyDescent="0.25">
      <c r="A10" s="1" t="s">
        <v>19</v>
      </c>
      <c r="B10" s="1">
        <v>27</v>
      </c>
      <c r="C10" s="1" t="s">
        <v>38</v>
      </c>
      <c r="D10" s="1" t="s">
        <v>41</v>
      </c>
      <c r="E10" s="1">
        <v>1</v>
      </c>
      <c r="F10" s="1">
        <v>7600</v>
      </c>
      <c r="G10" s="1">
        <v>7600</v>
      </c>
      <c r="H10" s="1">
        <f t="shared" si="0"/>
        <v>0</v>
      </c>
      <c r="I10" s="1" t="s">
        <v>22</v>
      </c>
      <c r="J10" s="1" t="s">
        <v>31</v>
      </c>
      <c r="K10" s="1" t="s">
        <v>21</v>
      </c>
      <c r="L10" s="1">
        <v>0</v>
      </c>
      <c r="M10" s="1">
        <v>300</v>
      </c>
      <c r="N10" s="1" t="s">
        <v>30</v>
      </c>
      <c r="O10" s="1">
        <v>742</v>
      </c>
      <c r="P10" s="1" t="s">
        <v>30</v>
      </c>
      <c r="Q10" s="1" t="s">
        <v>30</v>
      </c>
      <c r="R10" s="1" t="s">
        <v>30</v>
      </c>
      <c r="S10" s="1" t="s">
        <v>30</v>
      </c>
      <c r="T10" s="1" t="s">
        <v>30</v>
      </c>
      <c r="U10" s="1" t="s">
        <v>30</v>
      </c>
      <c r="V10" s="1" t="s">
        <v>30</v>
      </c>
      <c r="W10" s="1" t="s">
        <v>30</v>
      </c>
      <c r="X10" s="1" t="s">
        <v>30</v>
      </c>
    </row>
    <row r="11" spans="1:25" x14ac:dyDescent="0.25">
      <c r="A11" s="1" t="s">
        <v>20</v>
      </c>
      <c r="B11" s="1">
        <v>28</v>
      </c>
      <c r="C11" s="1" t="s">
        <v>38</v>
      </c>
      <c r="D11" s="1" t="s">
        <v>40</v>
      </c>
      <c r="E11" s="1">
        <v>0</v>
      </c>
      <c r="F11" s="1">
        <v>13200</v>
      </c>
      <c r="G11" s="1">
        <v>9600</v>
      </c>
      <c r="H11" s="1">
        <f t="shared" si="0"/>
        <v>3600</v>
      </c>
      <c r="I11" s="1" t="s">
        <v>36</v>
      </c>
      <c r="J11" s="1" t="s">
        <v>48</v>
      </c>
      <c r="K11" s="1" t="s">
        <v>33</v>
      </c>
      <c r="L11" s="1">
        <v>10000</v>
      </c>
      <c r="M11" s="1">
        <v>300</v>
      </c>
      <c r="N11" s="1" t="s">
        <v>30</v>
      </c>
      <c r="O11" s="1">
        <v>666</v>
      </c>
      <c r="P11" s="1">
        <v>500</v>
      </c>
      <c r="Q11" s="1" t="s">
        <v>30</v>
      </c>
      <c r="R11" s="1" t="s">
        <v>30</v>
      </c>
      <c r="S11" s="1" t="s">
        <v>30</v>
      </c>
      <c r="T11" s="1" t="s">
        <v>30</v>
      </c>
      <c r="U11" s="1" t="s">
        <v>30</v>
      </c>
      <c r="V11" s="1" t="s">
        <v>30</v>
      </c>
      <c r="W11" s="1" t="s">
        <v>30</v>
      </c>
      <c r="X11" s="1" t="s">
        <v>30</v>
      </c>
    </row>
    <row r="12" spans="1:25" x14ac:dyDescent="0.25">
      <c r="A12" s="1" t="s">
        <v>20</v>
      </c>
      <c r="B12" s="1">
        <v>47</v>
      </c>
      <c r="C12" s="1" t="s">
        <v>38</v>
      </c>
      <c r="D12" s="1" t="s">
        <v>41</v>
      </c>
      <c r="E12" s="1">
        <v>2</v>
      </c>
      <c r="F12" s="1">
        <v>30000</v>
      </c>
      <c r="G12" s="1">
        <v>36000</v>
      </c>
      <c r="H12" s="1">
        <f t="shared" si="0"/>
        <v>-6000</v>
      </c>
      <c r="I12" s="1" t="s">
        <v>32</v>
      </c>
      <c r="J12" s="1" t="s">
        <v>48</v>
      </c>
      <c r="K12" s="1" t="s">
        <v>21</v>
      </c>
      <c r="L12" s="1">
        <v>0</v>
      </c>
      <c r="M12" s="1">
        <v>500</v>
      </c>
      <c r="N12" s="1" t="s">
        <v>30</v>
      </c>
      <c r="O12" s="1">
        <v>1295</v>
      </c>
      <c r="P12" s="1" t="s">
        <v>30</v>
      </c>
      <c r="Q12" s="1" t="s">
        <v>30</v>
      </c>
      <c r="R12" s="1" t="s">
        <v>30</v>
      </c>
      <c r="S12" s="1" t="s">
        <v>30</v>
      </c>
      <c r="T12" s="1" t="s">
        <v>30</v>
      </c>
      <c r="U12" s="1" t="s">
        <v>30</v>
      </c>
      <c r="V12" s="1" t="s">
        <v>30</v>
      </c>
      <c r="W12" s="1">
        <v>300</v>
      </c>
      <c r="X12" s="1">
        <v>300</v>
      </c>
    </row>
    <row r="13" spans="1:25" s="2" customFormat="1" x14ac:dyDescent="0.25">
      <c r="A13" s="2" t="s">
        <v>20</v>
      </c>
      <c r="B13" s="2">
        <v>32</v>
      </c>
      <c r="C13" s="2" t="s">
        <v>37</v>
      </c>
      <c r="D13" s="2" t="s">
        <v>41</v>
      </c>
      <c r="E13" s="2">
        <v>1</v>
      </c>
      <c r="F13" s="2">
        <v>30000</v>
      </c>
      <c r="G13" s="2">
        <v>32400</v>
      </c>
      <c r="H13" s="2">
        <f t="shared" si="0"/>
        <v>-2400</v>
      </c>
      <c r="I13" s="2" t="s">
        <v>35</v>
      </c>
      <c r="J13" s="2" t="s">
        <v>51</v>
      </c>
      <c r="K13" s="2" t="s">
        <v>26</v>
      </c>
      <c r="L13" s="2">
        <v>25000</v>
      </c>
      <c r="M13" s="2" t="s">
        <v>30</v>
      </c>
      <c r="N13" s="2" t="s">
        <v>30</v>
      </c>
      <c r="O13" s="2">
        <v>1791</v>
      </c>
      <c r="P13" s="2" t="s">
        <v>30</v>
      </c>
      <c r="Q13" s="2" t="s">
        <v>30</v>
      </c>
      <c r="R13" s="2" t="s">
        <v>30</v>
      </c>
      <c r="S13" s="2" t="s">
        <v>30</v>
      </c>
      <c r="T13" s="2" t="s">
        <v>30</v>
      </c>
      <c r="U13" s="2" t="s">
        <v>30</v>
      </c>
      <c r="V13" s="2" t="s">
        <v>30</v>
      </c>
      <c r="W13" s="2" t="s">
        <v>30</v>
      </c>
      <c r="X13" s="2" t="s">
        <v>30</v>
      </c>
    </row>
    <row r="14" spans="1:25" s="2" customFormat="1" x14ac:dyDescent="0.25">
      <c r="A14" s="2" t="s">
        <v>19</v>
      </c>
      <c r="B14" s="2">
        <v>28</v>
      </c>
      <c r="C14" s="2" t="s">
        <v>37</v>
      </c>
      <c r="D14" s="2" t="s">
        <v>41</v>
      </c>
      <c r="E14" s="2">
        <v>1</v>
      </c>
      <c r="F14" s="2">
        <v>7600</v>
      </c>
      <c r="G14" s="2">
        <v>7600</v>
      </c>
      <c r="H14" s="2">
        <f t="shared" si="0"/>
        <v>0</v>
      </c>
      <c r="I14" s="2" t="s">
        <v>35</v>
      </c>
      <c r="J14" s="2" t="s">
        <v>31</v>
      </c>
      <c r="K14" s="2" t="s">
        <v>26</v>
      </c>
      <c r="L14" s="2">
        <v>25000</v>
      </c>
      <c r="M14" s="2" t="s">
        <v>30</v>
      </c>
      <c r="N14" s="2" t="s">
        <v>30</v>
      </c>
      <c r="O14" s="2" t="s">
        <v>30</v>
      </c>
      <c r="P14" s="2" t="s">
        <v>30</v>
      </c>
      <c r="Q14" s="2" t="s">
        <v>30</v>
      </c>
      <c r="R14" s="2" t="s">
        <v>30</v>
      </c>
      <c r="S14" s="2" t="s">
        <v>30</v>
      </c>
      <c r="T14" s="2" t="s">
        <v>30</v>
      </c>
      <c r="U14" s="2" t="s">
        <v>30</v>
      </c>
      <c r="V14" s="2" t="s">
        <v>30</v>
      </c>
      <c r="W14" s="2" t="s">
        <v>30</v>
      </c>
      <c r="X14" s="2" t="s">
        <v>30</v>
      </c>
    </row>
    <row r="15" spans="1:25" x14ac:dyDescent="0.25">
      <c r="A15" s="1" t="s">
        <v>20</v>
      </c>
      <c r="B15" s="1">
        <v>28</v>
      </c>
      <c r="C15" s="1" t="s">
        <v>38</v>
      </c>
      <c r="D15" s="1" t="s">
        <v>40</v>
      </c>
      <c r="E15" s="1">
        <v>0</v>
      </c>
      <c r="F15" s="1">
        <v>21000</v>
      </c>
      <c r="G15" s="1">
        <v>10000</v>
      </c>
      <c r="H15" s="1">
        <f t="shared" si="0"/>
        <v>11000</v>
      </c>
      <c r="I15" s="1" t="s">
        <v>35</v>
      </c>
      <c r="J15" s="1" t="s">
        <v>51</v>
      </c>
      <c r="K15" s="1" t="s">
        <v>24</v>
      </c>
      <c r="L15" s="1">
        <v>10000</v>
      </c>
      <c r="M15" s="1">
        <v>600</v>
      </c>
      <c r="N15" s="1" t="s">
        <v>30</v>
      </c>
      <c r="O15" s="1">
        <v>782</v>
      </c>
      <c r="P15" s="1">
        <v>2000</v>
      </c>
      <c r="Q15" s="1" t="s">
        <v>30</v>
      </c>
      <c r="R15" s="1" t="s">
        <v>30</v>
      </c>
      <c r="S15" s="1">
        <v>500</v>
      </c>
      <c r="T15" s="1">
        <v>1100000</v>
      </c>
      <c r="U15" s="1" t="s">
        <v>30</v>
      </c>
      <c r="V15" s="1" t="s">
        <v>30</v>
      </c>
      <c r="W15" s="1">
        <v>100</v>
      </c>
      <c r="X15" s="1" t="s">
        <v>30</v>
      </c>
    </row>
    <row r="16" spans="1:25" x14ac:dyDescent="0.25">
      <c r="A16" s="1" t="s">
        <v>19</v>
      </c>
      <c r="B16" s="1">
        <v>27</v>
      </c>
      <c r="C16" s="1" t="s">
        <v>38</v>
      </c>
      <c r="D16" s="1" t="s">
        <v>41</v>
      </c>
      <c r="E16" s="1">
        <v>0</v>
      </c>
      <c r="F16" s="1">
        <v>23000</v>
      </c>
      <c r="G16" s="1">
        <v>15000</v>
      </c>
      <c r="H16" s="1">
        <f t="shared" si="0"/>
        <v>8000</v>
      </c>
      <c r="I16" s="1" t="s">
        <v>35</v>
      </c>
      <c r="J16" s="1" t="s">
        <v>51</v>
      </c>
      <c r="K16" s="1" t="s">
        <v>21</v>
      </c>
      <c r="L16" s="1">
        <v>100000</v>
      </c>
      <c r="M16" s="1" t="s">
        <v>30</v>
      </c>
      <c r="N16" s="1" t="s">
        <v>30</v>
      </c>
      <c r="O16" s="1">
        <v>660</v>
      </c>
      <c r="P16" s="1">
        <v>500</v>
      </c>
      <c r="Q16" s="1" t="s">
        <v>30</v>
      </c>
      <c r="R16" s="1" t="s">
        <v>30</v>
      </c>
      <c r="S16" s="1" t="s">
        <v>30</v>
      </c>
      <c r="T16" s="1" t="s">
        <v>30</v>
      </c>
      <c r="U16" s="1" t="s">
        <v>30</v>
      </c>
      <c r="V16" s="1" t="s">
        <v>30</v>
      </c>
      <c r="W16" s="1" t="s">
        <v>30</v>
      </c>
      <c r="X16" s="1">
        <v>250</v>
      </c>
    </row>
    <row r="17" spans="1:24" s="2" customFormat="1" x14ac:dyDescent="0.25">
      <c r="A17" s="2" t="s">
        <v>20</v>
      </c>
      <c r="B17" s="2">
        <v>40</v>
      </c>
      <c r="C17" s="2" t="s">
        <v>38</v>
      </c>
      <c r="D17" s="2" t="s">
        <v>41</v>
      </c>
      <c r="E17" s="2">
        <v>2</v>
      </c>
      <c r="F17" s="2">
        <v>25000</v>
      </c>
      <c r="G17" s="2">
        <v>20000</v>
      </c>
      <c r="H17" s="2">
        <f t="shared" si="0"/>
        <v>5000</v>
      </c>
      <c r="I17" s="2" t="s">
        <v>22</v>
      </c>
      <c r="J17" s="2" t="s">
        <v>44</v>
      </c>
      <c r="K17" s="2" t="s">
        <v>21</v>
      </c>
      <c r="L17" s="2">
        <v>0</v>
      </c>
      <c r="M17" s="2">
        <v>500</v>
      </c>
      <c r="N17" s="2" t="s">
        <v>30</v>
      </c>
      <c r="O17" s="2">
        <v>319</v>
      </c>
      <c r="P17" s="2" t="s">
        <v>30</v>
      </c>
      <c r="Q17" s="2" t="s">
        <v>30</v>
      </c>
      <c r="R17" s="2" t="s">
        <v>30</v>
      </c>
      <c r="S17" s="2" t="s">
        <v>30</v>
      </c>
      <c r="T17" s="2">
        <v>1000000</v>
      </c>
      <c r="U17" s="2" t="s">
        <v>30</v>
      </c>
      <c r="V17" s="2" t="s">
        <v>30</v>
      </c>
      <c r="W17" s="2" t="s">
        <v>30</v>
      </c>
      <c r="X17" s="2" t="s">
        <v>30</v>
      </c>
    </row>
    <row r="18" spans="1:24" s="2" customFormat="1" x14ac:dyDescent="0.25">
      <c r="A18" s="2" t="s">
        <v>19</v>
      </c>
      <c r="B18" s="2">
        <v>40</v>
      </c>
      <c r="C18" s="2" t="s">
        <v>39</v>
      </c>
      <c r="D18" s="2" t="s">
        <v>41</v>
      </c>
      <c r="E18" s="2">
        <v>2</v>
      </c>
      <c r="F18" s="2">
        <v>23800</v>
      </c>
      <c r="G18" s="2">
        <v>20000</v>
      </c>
      <c r="H18" s="2">
        <f t="shared" si="0"/>
        <v>3800</v>
      </c>
      <c r="I18" s="2" t="s">
        <v>34</v>
      </c>
      <c r="J18" s="2" t="s">
        <v>44</v>
      </c>
      <c r="K18" s="2" t="s">
        <v>21</v>
      </c>
      <c r="L18" s="2">
        <v>0</v>
      </c>
      <c r="M18" s="2" t="s">
        <v>30</v>
      </c>
      <c r="N18" s="2" t="s">
        <v>30</v>
      </c>
      <c r="O18" s="2">
        <v>500</v>
      </c>
      <c r="P18" s="2" t="s">
        <v>30</v>
      </c>
      <c r="Q18" s="2" t="s">
        <v>30</v>
      </c>
      <c r="R18" s="2" t="s">
        <v>30</v>
      </c>
      <c r="S18" s="2" t="s">
        <v>30</v>
      </c>
      <c r="T18" s="2">
        <v>1000000</v>
      </c>
      <c r="U18" s="2" t="s">
        <v>30</v>
      </c>
      <c r="V18" s="2" t="s">
        <v>30</v>
      </c>
      <c r="W18" s="2">
        <v>65</v>
      </c>
      <c r="X18" s="2" t="s">
        <v>30</v>
      </c>
    </row>
    <row r="19" spans="1:24" x14ac:dyDescent="0.25">
      <c r="A19" s="1" t="s">
        <v>20</v>
      </c>
      <c r="B19" s="3">
        <v>48</v>
      </c>
      <c r="C19" s="1" t="s">
        <v>38</v>
      </c>
      <c r="D19" s="1" t="s">
        <v>23</v>
      </c>
      <c r="E19" s="1">
        <v>0</v>
      </c>
      <c r="F19" s="3">
        <v>21000</v>
      </c>
      <c r="G19" s="3">
        <v>19270</v>
      </c>
      <c r="H19" s="1">
        <f t="shared" si="0"/>
        <v>1730</v>
      </c>
      <c r="I19" s="3" t="s">
        <v>35</v>
      </c>
      <c r="J19" s="3" t="s">
        <v>51</v>
      </c>
      <c r="K19" s="3" t="s">
        <v>26</v>
      </c>
      <c r="L19" s="3">
        <v>0</v>
      </c>
      <c r="M19" s="3">
        <v>300</v>
      </c>
      <c r="N19" s="3" t="s">
        <v>30</v>
      </c>
      <c r="O19" s="3">
        <v>1537</v>
      </c>
      <c r="P19" s="1" t="s">
        <v>30</v>
      </c>
      <c r="Q19" s="1" t="s">
        <v>30</v>
      </c>
      <c r="R19" s="1" t="s">
        <v>30</v>
      </c>
      <c r="S19" s="1" t="s">
        <v>30</v>
      </c>
      <c r="T19" s="1" t="s">
        <v>30</v>
      </c>
      <c r="U19" s="1" t="s">
        <v>30</v>
      </c>
      <c r="V19" s="1" t="s">
        <v>30</v>
      </c>
      <c r="W19" s="1" t="s">
        <v>30</v>
      </c>
      <c r="X19" s="1" t="s">
        <v>30</v>
      </c>
    </row>
    <row r="20" spans="1:24" x14ac:dyDescent="0.25">
      <c r="A20" s="1" t="s">
        <v>20</v>
      </c>
      <c r="B20" s="3">
        <v>26</v>
      </c>
      <c r="C20" s="1" t="s">
        <v>38</v>
      </c>
      <c r="D20" s="1" t="s">
        <v>23</v>
      </c>
      <c r="E20" s="1">
        <v>0</v>
      </c>
      <c r="F20" s="3">
        <v>40000</v>
      </c>
      <c r="G20" s="3">
        <v>28000</v>
      </c>
      <c r="H20" s="1">
        <f t="shared" si="0"/>
        <v>12000</v>
      </c>
      <c r="I20" s="3" t="s">
        <v>22</v>
      </c>
      <c r="J20" s="1" t="s">
        <v>44</v>
      </c>
      <c r="K20" s="3" t="s">
        <v>24</v>
      </c>
      <c r="L20" s="3">
        <v>0</v>
      </c>
      <c r="M20" s="3" t="s">
        <v>30</v>
      </c>
      <c r="N20" s="3" t="s">
        <v>30</v>
      </c>
      <c r="O20" s="3" t="s">
        <v>30</v>
      </c>
      <c r="P20" s="3" t="s">
        <v>30</v>
      </c>
      <c r="Q20" s="3" t="s">
        <v>30</v>
      </c>
      <c r="R20" s="3" t="s">
        <v>30</v>
      </c>
      <c r="S20" s="1" t="s">
        <v>30</v>
      </c>
      <c r="T20" s="1" t="s">
        <v>30</v>
      </c>
      <c r="U20" s="1" t="s">
        <v>30</v>
      </c>
      <c r="V20" s="3" t="s">
        <v>30</v>
      </c>
      <c r="W20" s="1" t="s">
        <v>30</v>
      </c>
      <c r="X20" s="1" t="s">
        <v>30</v>
      </c>
    </row>
    <row r="21" spans="1:24" s="2" customFormat="1" x14ac:dyDescent="0.25">
      <c r="A21" s="2" t="s">
        <v>19</v>
      </c>
      <c r="B21" s="2">
        <v>31</v>
      </c>
      <c r="C21" s="2" t="s">
        <v>37</v>
      </c>
      <c r="D21" s="2" t="s">
        <v>40</v>
      </c>
      <c r="E21" s="2">
        <v>1</v>
      </c>
      <c r="F21" s="2">
        <v>7600</v>
      </c>
      <c r="G21" s="2">
        <v>7600</v>
      </c>
      <c r="H21" s="2">
        <f t="shared" si="0"/>
        <v>0</v>
      </c>
      <c r="I21" s="2" t="s">
        <v>35</v>
      </c>
      <c r="J21" s="2" t="s">
        <v>31</v>
      </c>
      <c r="K21" s="2" t="s">
        <v>26</v>
      </c>
      <c r="L21" s="2">
        <v>20000</v>
      </c>
      <c r="M21" s="2">
        <v>100</v>
      </c>
      <c r="N21" s="2" t="s">
        <v>30</v>
      </c>
      <c r="O21" s="2">
        <v>690</v>
      </c>
      <c r="P21" s="2" t="s">
        <v>30</v>
      </c>
      <c r="Q21" s="2" t="s">
        <v>30</v>
      </c>
      <c r="R21" s="2" t="s">
        <v>30</v>
      </c>
      <c r="S21" s="2" t="s">
        <v>30</v>
      </c>
      <c r="T21" s="2">
        <v>525000</v>
      </c>
      <c r="U21" s="2" t="s">
        <v>30</v>
      </c>
      <c r="V21" s="2" t="s">
        <v>30</v>
      </c>
      <c r="W21" s="2" t="s">
        <v>30</v>
      </c>
      <c r="X21" s="2" t="s">
        <v>30</v>
      </c>
    </row>
    <row r="22" spans="1:24" s="2" customFormat="1" x14ac:dyDescent="0.25">
      <c r="A22" s="2" t="s">
        <v>20</v>
      </c>
      <c r="B22" s="2">
        <v>32</v>
      </c>
      <c r="C22" s="2" t="s">
        <v>37</v>
      </c>
      <c r="D22" s="2" t="s">
        <v>40</v>
      </c>
      <c r="E22" s="2">
        <v>1</v>
      </c>
      <c r="F22" s="2">
        <v>23000</v>
      </c>
      <c r="G22" s="2">
        <v>32400</v>
      </c>
      <c r="H22" s="2">
        <f t="shared" si="0"/>
        <v>-9400</v>
      </c>
      <c r="I22" s="2" t="s">
        <v>22</v>
      </c>
      <c r="J22" s="2" t="s">
        <v>48</v>
      </c>
      <c r="K22" s="2" t="s">
        <v>26</v>
      </c>
      <c r="L22" s="2">
        <v>20000</v>
      </c>
      <c r="M22" s="2">
        <v>500</v>
      </c>
      <c r="N22" s="2" t="s">
        <v>30</v>
      </c>
      <c r="O22" s="2">
        <v>695</v>
      </c>
      <c r="P22" s="2" t="s">
        <v>30</v>
      </c>
      <c r="Q22" s="2" t="s">
        <v>30</v>
      </c>
      <c r="R22" s="2" t="s">
        <v>30</v>
      </c>
      <c r="S22" s="2">
        <v>500</v>
      </c>
      <c r="T22" s="2">
        <v>525000</v>
      </c>
      <c r="U22" s="2" t="s">
        <v>30</v>
      </c>
      <c r="V22" s="2" t="s">
        <v>30</v>
      </c>
      <c r="W22" s="2">
        <v>95</v>
      </c>
      <c r="X22" s="2">
        <v>380</v>
      </c>
    </row>
    <row r="23" spans="1:24" s="4" customFormat="1" x14ac:dyDescent="0.25">
      <c r="A23" s="4" t="s">
        <v>20</v>
      </c>
      <c r="B23" s="4">
        <v>27</v>
      </c>
      <c r="C23" s="4" t="s">
        <v>38</v>
      </c>
      <c r="D23" s="4" t="s">
        <v>41</v>
      </c>
      <c r="E23" s="4">
        <v>0</v>
      </c>
      <c r="F23" s="4">
        <v>34000</v>
      </c>
      <c r="G23" s="4">
        <v>10300</v>
      </c>
      <c r="H23" s="4">
        <f t="shared" si="0"/>
        <v>23700</v>
      </c>
      <c r="I23" s="4" t="s">
        <v>22</v>
      </c>
      <c r="J23" s="4" t="s">
        <v>45</v>
      </c>
      <c r="K23" s="4" t="s">
        <v>26</v>
      </c>
      <c r="L23" s="4">
        <v>75000</v>
      </c>
      <c r="M23" s="4">
        <v>100</v>
      </c>
      <c r="N23" s="4" t="s">
        <v>28</v>
      </c>
      <c r="O23" s="4">
        <v>1295</v>
      </c>
      <c r="P23" s="4">
        <v>500</v>
      </c>
      <c r="Q23" s="4" t="s">
        <v>30</v>
      </c>
      <c r="R23" s="4" t="s">
        <v>30</v>
      </c>
      <c r="S23" s="4">
        <v>1500</v>
      </c>
      <c r="T23" s="4" t="s">
        <v>30</v>
      </c>
      <c r="U23" s="4">
        <v>15000</v>
      </c>
      <c r="V23" s="4" t="s">
        <v>30</v>
      </c>
      <c r="W23" s="4" t="s">
        <v>30</v>
      </c>
      <c r="X23" s="4" t="s">
        <v>30</v>
      </c>
    </row>
    <row r="24" spans="1:24" s="4" customFormat="1" x14ac:dyDescent="0.25">
      <c r="A24" s="4" t="s">
        <v>19</v>
      </c>
      <c r="B24" s="4">
        <v>28</v>
      </c>
      <c r="C24" s="4" t="s">
        <v>38</v>
      </c>
      <c r="D24" s="4" t="s">
        <v>41</v>
      </c>
      <c r="E24" s="4">
        <v>0</v>
      </c>
      <c r="F24" s="4">
        <v>22500</v>
      </c>
      <c r="G24" s="4">
        <v>10300</v>
      </c>
      <c r="H24" s="4">
        <f t="shared" si="0"/>
        <v>12200</v>
      </c>
      <c r="I24" s="4" t="s">
        <v>35</v>
      </c>
      <c r="J24" s="4" t="s">
        <v>51</v>
      </c>
      <c r="K24" s="4" t="s">
        <v>26</v>
      </c>
      <c r="L24" s="4">
        <v>75000</v>
      </c>
      <c r="M24" s="4">
        <v>300</v>
      </c>
      <c r="N24" s="4" t="s">
        <v>28</v>
      </c>
      <c r="O24" s="4">
        <v>780</v>
      </c>
      <c r="P24" s="4">
        <v>500</v>
      </c>
      <c r="Q24" s="4" t="s">
        <v>30</v>
      </c>
      <c r="R24" s="4" t="s">
        <v>30</v>
      </c>
      <c r="S24" s="4">
        <v>2400</v>
      </c>
      <c r="T24" s="4" t="s">
        <v>30</v>
      </c>
      <c r="U24" s="4">
        <v>15000</v>
      </c>
      <c r="V24" s="4" t="s">
        <v>30</v>
      </c>
      <c r="W24" s="4" t="s">
        <v>30</v>
      </c>
      <c r="X24" s="4" t="s">
        <v>30</v>
      </c>
    </row>
    <row r="25" spans="1:24" x14ac:dyDescent="0.25">
      <c r="A25" s="1" t="s">
        <v>19</v>
      </c>
      <c r="B25" s="1">
        <v>26</v>
      </c>
      <c r="C25" s="1" t="s">
        <v>38</v>
      </c>
      <c r="D25" s="1" t="s">
        <v>23</v>
      </c>
      <c r="E25" s="1">
        <v>0</v>
      </c>
      <c r="F25" s="1">
        <v>21000</v>
      </c>
      <c r="G25" s="1">
        <v>15000</v>
      </c>
      <c r="H25" s="1">
        <f t="shared" si="0"/>
        <v>6000</v>
      </c>
      <c r="I25" s="1" t="s">
        <v>22</v>
      </c>
      <c r="J25" s="1" t="s">
        <v>51</v>
      </c>
      <c r="K25" s="1" t="s">
        <v>24</v>
      </c>
      <c r="L25" s="1">
        <v>0</v>
      </c>
      <c r="M25" s="1">
        <v>200</v>
      </c>
      <c r="N25" s="1" t="s">
        <v>30</v>
      </c>
      <c r="O25" s="1">
        <v>400</v>
      </c>
      <c r="P25" s="1" t="s">
        <v>30</v>
      </c>
      <c r="Q25" s="1" t="s">
        <v>30</v>
      </c>
      <c r="R25" s="1" t="s">
        <v>30</v>
      </c>
      <c r="S25" s="1" t="s">
        <v>30</v>
      </c>
      <c r="T25" s="1" t="s">
        <v>30</v>
      </c>
      <c r="U25" s="1" t="s">
        <v>30</v>
      </c>
      <c r="V25" s="1" t="s">
        <v>30</v>
      </c>
      <c r="W25" s="1" t="s">
        <v>30</v>
      </c>
      <c r="X25" s="1" t="s">
        <v>30</v>
      </c>
    </row>
    <row r="26" spans="1:24" x14ac:dyDescent="0.25">
      <c r="A26" s="1" t="s">
        <v>19</v>
      </c>
      <c r="B26" s="1">
        <v>32</v>
      </c>
      <c r="C26" s="1" t="s">
        <v>38</v>
      </c>
      <c r="D26" s="1" t="s">
        <v>23</v>
      </c>
      <c r="E26" s="1">
        <v>0</v>
      </c>
      <c r="F26" s="1">
        <v>22000</v>
      </c>
      <c r="G26" s="1">
        <v>12000</v>
      </c>
      <c r="H26" s="1">
        <f t="shared" si="0"/>
        <v>10000</v>
      </c>
      <c r="I26" s="1" t="s">
        <v>35</v>
      </c>
      <c r="J26" s="1" t="s">
        <v>50</v>
      </c>
      <c r="K26" s="1" t="s">
        <v>26</v>
      </c>
      <c r="L26" s="1">
        <v>0</v>
      </c>
      <c r="M26" s="1">
        <v>350</v>
      </c>
      <c r="N26" s="1" t="s">
        <v>30</v>
      </c>
      <c r="O26" s="1">
        <v>974</v>
      </c>
      <c r="P26" s="1" t="s">
        <v>30</v>
      </c>
      <c r="Q26" s="1" t="s">
        <v>30</v>
      </c>
      <c r="R26" s="1" t="s">
        <v>30</v>
      </c>
      <c r="S26" s="1" t="s">
        <v>30</v>
      </c>
      <c r="T26" s="1">
        <v>1000000</v>
      </c>
      <c r="U26" s="1" t="s">
        <v>30</v>
      </c>
      <c r="V26" s="1" t="s">
        <v>30</v>
      </c>
      <c r="W26" s="1">
        <v>172</v>
      </c>
      <c r="X26" s="1">
        <v>198</v>
      </c>
    </row>
    <row r="27" spans="1:24" x14ac:dyDescent="0.25">
      <c r="A27" s="1" t="s">
        <v>20</v>
      </c>
      <c r="B27" s="1">
        <v>39</v>
      </c>
      <c r="C27" s="1" t="s">
        <v>37</v>
      </c>
      <c r="D27" s="1" t="s">
        <v>41</v>
      </c>
      <c r="E27" s="1">
        <v>2</v>
      </c>
      <c r="F27" s="1">
        <v>67000</v>
      </c>
      <c r="G27" s="1">
        <v>41000</v>
      </c>
      <c r="H27" s="1">
        <f t="shared" si="0"/>
        <v>26000</v>
      </c>
      <c r="I27" s="1" t="s">
        <v>35</v>
      </c>
      <c r="J27" s="1" t="s">
        <v>51</v>
      </c>
      <c r="K27" s="1" t="s">
        <v>21</v>
      </c>
      <c r="L27" s="1">
        <v>300000</v>
      </c>
      <c r="M27" s="1">
        <v>1500</v>
      </c>
      <c r="N27" s="1" t="s">
        <v>30</v>
      </c>
      <c r="O27" s="1">
        <v>1809</v>
      </c>
      <c r="P27" s="1">
        <v>6100</v>
      </c>
      <c r="Q27" s="1" t="s">
        <v>30</v>
      </c>
      <c r="R27" s="1" t="s">
        <v>30</v>
      </c>
      <c r="S27" s="1" t="s">
        <v>30</v>
      </c>
      <c r="T27" s="1" t="s">
        <v>30</v>
      </c>
      <c r="U27" s="1" t="s">
        <v>30</v>
      </c>
      <c r="V27" s="1" t="s">
        <v>30</v>
      </c>
      <c r="W27" s="1">
        <v>150</v>
      </c>
      <c r="X27" s="1">
        <v>375</v>
      </c>
    </row>
    <row r="28" spans="1:24" s="2" customFormat="1" x14ac:dyDescent="0.25">
      <c r="A28" s="2" t="s">
        <v>20</v>
      </c>
      <c r="B28" s="2">
        <v>43</v>
      </c>
      <c r="C28" s="2" t="s">
        <v>37</v>
      </c>
      <c r="D28" s="2" t="s">
        <v>40</v>
      </c>
      <c r="E28" s="2">
        <v>2</v>
      </c>
      <c r="F28" s="2">
        <v>30000</v>
      </c>
      <c r="G28" s="2">
        <v>10000</v>
      </c>
      <c r="H28" s="2">
        <f t="shared" si="0"/>
        <v>20000</v>
      </c>
      <c r="I28" s="2" t="s">
        <v>22</v>
      </c>
      <c r="J28" s="2" t="s">
        <v>50</v>
      </c>
      <c r="K28" s="2" t="s">
        <v>26</v>
      </c>
      <c r="L28" s="2">
        <v>125000</v>
      </c>
      <c r="M28" s="2">
        <v>1000</v>
      </c>
      <c r="N28" s="2" t="s">
        <v>30</v>
      </c>
      <c r="O28" s="2" t="s">
        <v>30</v>
      </c>
      <c r="P28" s="2" t="s">
        <v>30</v>
      </c>
      <c r="Q28" s="2" t="s">
        <v>30</v>
      </c>
      <c r="R28" s="2" t="s">
        <v>30</v>
      </c>
      <c r="S28" s="2">
        <v>1700</v>
      </c>
      <c r="T28" s="2" t="s">
        <v>30</v>
      </c>
      <c r="U28" s="2" t="s">
        <v>30</v>
      </c>
      <c r="V28" s="2" t="s">
        <v>30</v>
      </c>
      <c r="W28" s="2">
        <v>350</v>
      </c>
      <c r="X28" s="2">
        <v>355</v>
      </c>
    </row>
    <row r="29" spans="1:24" s="2" customFormat="1" x14ac:dyDescent="0.25">
      <c r="A29" s="2" t="s">
        <v>19</v>
      </c>
      <c r="B29" s="2">
        <v>44</v>
      </c>
      <c r="C29" s="2" t="s">
        <v>37</v>
      </c>
      <c r="D29" s="2" t="s">
        <v>40</v>
      </c>
      <c r="E29" s="2">
        <v>2</v>
      </c>
      <c r="F29" s="2">
        <v>12000</v>
      </c>
      <c r="G29" s="2">
        <v>10000</v>
      </c>
      <c r="H29" s="2">
        <f t="shared" si="0"/>
        <v>2000</v>
      </c>
      <c r="I29" s="2" t="s">
        <v>22</v>
      </c>
      <c r="J29" s="2" t="s">
        <v>51</v>
      </c>
      <c r="K29" s="2" t="s">
        <v>26</v>
      </c>
      <c r="L29" s="2">
        <v>125000</v>
      </c>
      <c r="M29" s="2">
        <v>1000</v>
      </c>
      <c r="N29" s="2" t="s">
        <v>30</v>
      </c>
      <c r="O29" s="2" t="s">
        <v>30</v>
      </c>
      <c r="P29" s="2" t="s">
        <v>30</v>
      </c>
      <c r="Q29" s="2" t="s">
        <v>30</v>
      </c>
      <c r="R29" s="2" t="s">
        <v>30</v>
      </c>
      <c r="S29" s="2">
        <v>1700</v>
      </c>
      <c r="T29" s="2" t="s">
        <v>30</v>
      </c>
      <c r="U29" s="2" t="s">
        <v>30</v>
      </c>
      <c r="V29" s="2" t="s">
        <v>30</v>
      </c>
      <c r="W29" s="2" t="s">
        <v>30</v>
      </c>
      <c r="X29" s="2" t="s">
        <v>30</v>
      </c>
    </row>
    <row r="30" spans="1:24" s="4" customFormat="1" x14ac:dyDescent="0.25">
      <c r="A30" s="4" t="s">
        <v>20</v>
      </c>
      <c r="B30" s="4">
        <v>32</v>
      </c>
      <c r="C30" s="4" t="s">
        <v>38</v>
      </c>
      <c r="D30" s="4" t="s">
        <v>40</v>
      </c>
      <c r="E30" s="4">
        <v>1</v>
      </c>
      <c r="F30" s="4">
        <v>35000</v>
      </c>
      <c r="G30" s="4">
        <v>17800</v>
      </c>
      <c r="H30" s="4">
        <f t="shared" si="0"/>
        <v>17200</v>
      </c>
      <c r="I30" s="4" t="s">
        <v>35</v>
      </c>
      <c r="J30" s="4" t="s">
        <v>51</v>
      </c>
      <c r="K30" s="4" t="s">
        <v>21</v>
      </c>
      <c r="L30" s="4">
        <v>35000</v>
      </c>
      <c r="M30" s="4">
        <v>300</v>
      </c>
      <c r="N30" s="4" t="s">
        <v>30</v>
      </c>
      <c r="O30" s="4">
        <v>950</v>
      </c>
      <c r="P30" s="4">
        <v>2500</v>
      </c>
      <c r="Q30" s="4" t="s">
        <v>30</v>
      </c>
      <c r="R30" s="4" t="s">
        <v>30</v>
      </c>
      <c r="S30" s="4" t="s">
        <v>30</v>
      </c>
      <c r="T30" s="4">
        <v>1150000</v>
      </c>
      <c r="U30" s="4" t="s">
        <v>30</v>
      </c>
      <c r="V30" s="4" t="s">
        <v>30</v>
      </c>
      <c r="W30" s="4">
        <v>213</v>
      </c>
      <c r="X30" s="4">
        <v>380</v>
      </c>
    </row>
    <row r="31" spans="1:24" s="4" customFormat="1" x14ac:dyDescent="0.25">
      <c r="A31" s="4" t="s">
        <v>19</v>
      </c>
      <c r="B31" s="4">
        <v>32</v>
      </c>
      <c r="C31" s="4" t="s">
        <v>38</v>
      </c>
      <c r="D31" s="4" t="s">
        <v>40</v>
      </c>
      <c r="E31" s="4">
        <v>1</v>
      </c>
      <c r="F31" s="4">
        <v>7600</v>
      </c>
      <c r="G31" s="4">
        <v>7600</v>
      </c>
      <c r="H31" s="4">
        <f t="shared" si="0"/>
        <v>0</v>
      </c>
      <c r="I31" s="4" t="s">
        <v>35</v>
      </c>
      <c r="J31" s="4" t="s">
        <v>31</v>
      </c>
      <c r="K31" s="4" t="s">
        <v>21</v>
      </c>
      <c r="L31" s="4">
        <v>35000</v>
      </c>
      <c r="M31" s="4">
        <v>300</v>
      </c>
      <c r="N31" s="4" t="s">
        <v>30</v>
      </c>
      <c r="O31" s="4">
        <v>895</v>
      </c>
      <c r="P31" s="4" t="s">
        <v>30</v>
      </c>
      <c r="Q31" s="4" t="s">
        <v>30</v>
      </c>
      <c r="R31" s="4" t="s">
        <v>30</v>
      </c>
      <c r="S31" s="4" t="s">
        <v>30</v>
      </c>
      <c r="T31" s="4">
        <v>1150000</v>
      </c>
      <c r="U31" s="4" t="s">
        <v>30</v>
      </c>
      <c r="V31" s="4" t="s">
        <v>30</v>
      </c>
      <c r="W31" s="4" t="s">
        <v>30</v>
      </c>
      <c r="X31" s="4" t="s">
        <v>30</v>
      </c>
    </row>
    <row r="32" spans="1:24" x14ac:dyDescent="0.25">
      <c r="A32" s="1" t="s">
        <v>19</v>
      </c>
      <c r="B32" s="1">
        <v>28</v>
      </c>
      <c r="C32" s="1" t="s">
        <v>38</v>
      </c>
      <c r="D32" s="1" t="s">
        <v>23</v>
      </c>
      <c r="E32" s="1">
        <v>0</v>
      </c>
      <c r="F32" s="1">
        <v>23000</v>
      </c>
      <c r="G32" s="1">
        <v>17950</v>
      </c>
      <c r="H32" s="1">
        <f t="shared" si="0"/>
        <v>5050</v>
      </c>
      <c r="I32" s="1" t="s">
        <v>35</v>
      </c>
      <c r="J32" s="1" t="s">
        <v>51</v>
      </c>
      <c r="K32" s="1" t="s">
        <v>24</v>
      </c>
      <c r="L32" s="1">
        <v>5000</v>
      </c>
      <c r="M32" s="1">
        <v>300</v>
      </c>
      <c r="N32" s="1" t="s">
        <v>30</v>
      </c>
      <c r="O32" s="1">
        <v>700</v>
      </c>
      <c r="P32" s="1">
        <v>1000</v>
      </c>
      <c r="Q32" s="1" t="s">
        <v>30</v>
      </c>
      <c r="R32" s="1" t="s">
        <v>30</v>
      </c>
      <c r="S32" s="1" t="s">
        <v>30</v>
      </c>
      <c r="T32" s="1" t="s">
        <v>30</v>
      </c>
      <c r="U32" s="1">
        <v>52000</v>
      </c>
      <c r="V32" s="1" t="s">
        <v>30</v>
      </c>
      <c r="W32" s="1" t="s">
        <v>30</v>
      </c>
      <c r="X32" s="1" t="s">
        <v>30</v>
      </c>
    </row>
    <row r="33" spans="1:24" x14ac:dyDescent="0.25">
      <c r="A33" s="1" t="s">
        <v>19</v>
      </c>
      <c r="B33" s="1">
        <v>39</v>
      </c>
      <c r="C33" s="1" t="s">
        <v>39</v>
      </c>
      <c r="D33" s="1" t="s">
        <v>40</v>
      </c>
      <c r="E33" s="1">
        <v>1</v>
      </c>
      <c r="F33" s="1">
        <v>17000</v>
      </c>
      <c r="G33" s="1">
        <v>9000</v>
      </c>
      <c r="H33" s="1">
        <f t="shared" si="0"/>
        <v>8000</v>
      </c>
      <c r="I33" s="1" t="s">
        <v>22</v>
      </c>
      <c r="J33" s="1" t="s">
        <v>50</v>
      </c>
      <c r="K33" s="1" t="s">
        <v>26</v>
      </c>
      <c r="L33" s="1">
        <v>30000</v>
      </c>
      <c r="M33" s="1">
        <v>300</v>
      </c>
      <c r="N33" s="1" t="s">
        <v>30</v>
      </c>
      <c r="O33" s="1">
        <v>1728</v>
      </c>
      <c r="P33" s="1">
        <v>600</v>
      </c>
      <c r="Q33" s="1" t="s">
        <v>30</v>
      </c>
      <c r="R33" s="1" t="s">
        <v>30</v>
      </c>
      <c r="S33" s="1">
        <v>400</v>
      </c>
      <c r="T33" s="1" t="s">
        <v>30</v>
      </c>
      <c r="U33" s="1" t="s">
        <v>30</v>
      </c>
      <c r="V33" s="1" t="s">
        <v>30</v>
      </c>
      <c r="W33" s="1">
        <v>64</v>
      </c>
      <c r="X33" s="1" t="s">
        <v>30</v>
      </c>
    </row>
    <row r="34" spans="1:24" x14ac:dyDescent="0.25">
      <c r="A34" s="1" t="s">
        <v>20</v>
      </c>
      <c r="B34" s="1">
        <v>28</v>
      </c>
      <c r="C34" s="1" t="s">
        <v>38</v>
      </c>
      <c r="D34" s="1" t="s">
        <v>23</v>
      </c>
      <c r="E34" s="1">
        <v>0</v>
      </c>
      <c r="F34" s="1">
        <v>25000</v>
      </c>
      <c r="G34" s="1">
        <v>15000</v>
      </c>
      <c r="H34" s="1">
        <f t="shared" si="0"/>
        <v>10000</v>
      </c>
      <c r="I34" s="1" t="s">
        <v>35</v>
      </c>
      <c r="J34" s="1" t="s">
        <v>51</v>
      </c>
      <c r="K34" s="1" t="s">
        <v>24</v>
      </c>
      <c r="L34" s="1">
        <v>80000</v>
      </c>
      <c r="M34" s="1" t="s">
        <v>30</v>
      </c>
      <c r="N34" s="1" t="s">
        <v>30</v>
      </c>
      <c r="O34" s="1">
        <v>900</v>
      </c>
      <c r="P34" s="1">
        <v>500</v>
      </c>
      <c r="Q34" s="1" t="s">
        <v>30</v>
      </c>
      <c r="R34" s="1" t="s">
        <v>30</v>
      </c>
      <c r="S34" s="1" t="s">
        <v>30</v>
      </c>
      <c r="T34" s="1" t="s">
        <v>30</v>
      </c>
      <c r="U34" s="1" t="s">
        <v>30</v>
      </c>
      <c r="V34" s="1" t="s">
        <v>30</v>
      </c>
      <c r="W34" s="1" t="s">
        <v>30</v>
      </c>
      <c r="X34" s="1" t="s">
        <v>30</v>
      </c>
    </row>
    <row r="35" spans="1:24" x14ac:dyDescent="0.25">
      <c r="A35" s="1" t="s">
        <v>20</v>
      </c>
      <c r="B35" s="1">
        <v>39</v>
      </c>
      <c r="C35" s="1" t="s">
        <v>38</v>
      </c>
      <c r="D35" s="1" t="s">
        <v>41</v>
      </c>
      <c r="E35" s="1">
        <v>0</v>
      </c>
      <c r="F35" s="1">
        <v>24000</v>
      </c>
      <c r="G35" s="1">
        <v>17000</v>
      </c>
      <c r="H35" s="1">
        <f t="shared" si="0"/>
        <v>7000</v>
      </c>
      <c r="I35" s="1" t="s">
        <v>34</v>
      </c>
      <c r="J35" s="1" t="s">
        <v>48</v>
      </c>
      <c r="K35" s="1" t="s">
        <v>26</v>
      </c>
      <c r="L35" s="1">
        <v>20000</v>
      </c>
      <c r="M35" s="1">
        <v>300</v>
      </c>
      <c r="N35" s="1" t="s">
        <v>30</v>
      </c>
      <c r="O35" s="1">
        <v>542</v>
      </c>
      <c r="P35" s="1" t="s">
        <v>30</v>
      </c>
      <c r="Q35" s="1" t="s">
        <v>30</v>
      </c>
      <c r="R35" s="1" t="s">
        <v>30</v>
      </c>
      <c r="S35" s="1" t="s">
        <v>30</v>
      </c>
      <c r="T35" s="1">
        <v>630000</v>
      </c>
      <c r="U35" s="1" t="s">
        <v>30</v>
      </c>
      <c r="V35" s="1" t="s">
        <v>30</v>
      </c>
      <c r="W35" s="1">
        <v>141</v>
      </c>
      <c r="X35" s="1">
        <v>372</v>
      </c>
    </row>
    <row r="36" spans="1:24" s="2" customFormat="1" x14ac:dyDescent="0.25">
      <c r="A36" s="2" t="s">
        <v>20</v>
      </c>
      <c r="B36" s="2">
        <v>34</v>
      </c>
      <c r="C36" s="2" t="s">
        <v>37</v>
      </c>
      <c r="D36" s="2" t="s">
        <v>41</v>
      </c>
      <c r="E36" s="2">
        <v>1</v>
      </c>
      <c r="F36" s="2">
        <v>18000</v>
      </c>
      <c r="G36" s="2">
        <v>15770</v>
      </c>
      <c r="H36" s="2">
        <f t="shared" si="0"/>
        <v>2230</v>
      </c>
      <c r="I36" s="2" t="s">
        <v>22</v>
      </c>
      <c r="J36" s="2" t="s">
        <v>48</v>
      </c>
      <c r="K36" s="2" t="s">
        <v>26</v>
      </c>
      <c r="L36" s="2">
        <v>20000</v>
      </c>
      <c r="M36" s="2" t="s">
        <v>30</v>
      </c>
      <c r="N36" s="2" t="s">
        <v>30</v>
      </c>
      <c r="O36" s="2">
        <v>250</v>
      </c>
      <c r="P36" s="2">
        <v>500</v>
      </c>
      <c r="Q36" s="2" t="s">
        <v>30</v>
      </c>
      <c r="R36" s="2" t="s">
        <v>30</v>
      </c>
      <c r="S36" s="2" t="s">
        <v>30</v>
      </c>
      <c r="T36" s="2">
        <v>404500</v>
      </c>
      <c r="U36" s="2" t="s">
        <v>30</v>
      </c>
      <c r="V36" s="2" t="s">
        <v>30</v>
      </c>
      <c r="W36" s="2">
        <v>221</v>
      </c>
      <c r="X36" s="2">
        <v>280</v>
      </c>
    </row>
    <row r="37" spans="1:24" s="2" customFormat="1" x14ac:dyDescent="0.25">
      <c r="A37" s="2" t="s">
        <v>19</v>
      </c>
      <c r="B37" s="2">
        <v>32</v>
      </c>
      <c r="C37" s="2" t="s">
        <v>37</v>
      </c>
      <c r="D37" s="2" t="s">
        <v>41</v>
      </c>
      <c r="E37" s="2">
        <v>1</v>
      </c>
      <c r="F37" s="2">
        <v>7600</v>
      </c>
      <c r="G37" s="2">
        <v>7600</v>
      </c>
      <c r="H37" s="2">
        <f t="shared" si="0"/>
        <v>0</v>
      </c>
      <c r="I37" s="2" t="s">
        <v>22</v>
      </c>
      <c r="J37" s="2" t="s">
        <v>31</v>
      </c>
      <c r="K37" s="2" t="s">
        <v>26</v>
      </c>
      <c r="L37" s="2">
        <v>20000</v>
      </c>
      <c r="M37" s="2" t="s">
        <v>30</v>
      </c>
      <c r="N37" s="2" t="s">
        <v>30</v>
      </c>
      <c r="O37" s="2" t="s">
        <v>30</v>
      </c>
      <c r="P37" s="2" t="s">
        <v>30</v>
      </c>
      <c r="Q37" s="2" t="s">
        <v>30</v>
      </c>
      <c r="R37" s="2" t="s">
        <v>30</v>
      </c>
      <c r="S37" s="2" t="s">
        <v>30</v>
      </c>
      <c r="T37" s="2">
        <v>404500</v>
      </c>
      <c r="U37" s="2" t="s">
        <v>30</v>
      </c>
      <c r="V37" s="2" t="s">
        <v>30</v>
      </c>
      <c r="W37" s="2" t="s">
        <v>30</v>
      </c>
      <c r="X37" s="2" t="s">
        <v>30</v>
      </c>
    </row>
    <row r="38" spans="1:24" x14ac:dyDescent="0.25">
      <c r="A38" s="1" t="s">
        <v>20</v>
      </c>
      <c r="B38" s="1">
        <v>41</v>
      </c>
      <c r="C38" s="1" t="s">
        <v>38</v>
      </c>
      <c r="D38" s="1" t="s">
        <v>40</v>
      </c>
      <c r="E38" s="1">
        <v>0</v>
      </c>
      <c r="F38" s="1">
        <v>15000</v>
      </c>
      <c r="G38" s="1">
        <v>8000</v>
      </c>
      <c r="H38" s="1">
        <f t="shared" si="0"/>
        <v>7000</v>
      </c>
      <c r="I38" s="1" t="s">
        <v>34</v>
      </c>
      <c r="J38" s="1" t="s">
        <v>48</v>
      </c>
      <c r="K38" s="1" t="s">
        <v>26</v>
      </c>
      <c r="L38" s="1">
        <v>0</v>
      </c>
      <c r="M38" s="1">
        <v>100</v>
      </c>
      <c r="N38" s="1" t="s">
        <v>30</v>
      </c>
      <c r="O38" s="1">
        <v>650</v>
      </c>
      <c r="P38" s="1" t="s">
        <v>30</v>
      </c>
      <c r="Q38" s="1" t="s">
        <v>30</v>
      </c>
      <c r="R38" s="1" t="s">
        <v>30</v>
      </c>
      <c r="S38" s="1" t="s">
        <v>30</v>
      </c>
      <c r="T38" s="1">
        <v>49000</v>
      </c>
      <c r="U38" s="1">
        <v>294055</v>
      </c>
      <c r="V38" s="1" t="s">
        <v>30</v>
      </c>
      <c r="W38" s="1" t="s">
        <v>30</v>
      </c>
      <c r="X38" s="1" t="s">
        <v>30</v>
      </c>
    </row>
    <row r="39" spans="1:24" x14ac:dyDescent="0.25">
      <c r="A39" s="1" t="s">
        <v>19</v>
      </c>
      <c r="B39" s="1">
        <v>23</v>
      </c>
      <c r="C39" s="1" t="s">
        <v>38</v>
      </c>
      <c r="D39" s="1" t="s">
        <v>41</v>
      </c>
      <c r="E39" s="1">
        <v>0</v>
      </c>
      <c r="F39" s="1">
        <v>17200</v>
      </c>
      <c r="G39" s="1">
        <v>9350</v>
      </c>
      <c r="H39" s="1">
        <f t="shared" ref="H39:H78" si="1">F39-G39</f>
        <v>7850</v>
      </c>
      <c r="I39" s="1" t="s">
        <v>22</v>
      </c>
      <c r="J39" s="1" t="s">
        <v>50</v>
      </c>
      <c r="K39" s="1" t="s">
        <v>33</v>
      </c>
      <c r="L39" s="1">
        <v>0</v>
      </c>
      <c r="M39" s="1" t="s">
        <v>30</v>
      </c>
      <c r="N39" s="1" t="s">
        <v>30</v>
      </c>
      <c r="O39" s="1">
        <v>430</v>
      </c>
      <c r="P39" s="1" t="s">
        <v>30</v>
      </c>
      <c r="Q39" s="1" t="s">
        <v>30</v>
      </c>
      <c r="R39" s="1" t="s">
        <v>30</v>
      </c>
      <c r="S39" s="1" t="s">
        <v>30</v>
      </c>
      <c r="T39" s="1" t="s">
        <v>30</v>
      </c>
      <c r="U39" s="1" t="s">
        <v>30</v>
      </c>
      <c r="V39" s="1" t="s">
        <v>30</v>
      </c>
      <c r="W39" s="1" t="s">
        <v>30</v>
      </c>
      <c r="X39" s="1" t="s">
        <v>30</v>
      </c>
    </row>
    <row r="40" spans="1:24" x14ac:dyDescent="0.25">
      <c r="A40" s="1" t="s">
        <v>20</v>
      </c>
      <c r="B40" s="1">
        <v>34</v>
      </c>
      <c r="C40" s="1" t="s">
        <v>38</v>
      </c>
      <c r="D40" s="1" t="s">
        <v>41</v>
      </c>
      <c r="E40" s="1">
        <v>0</v>
      </c>
      <c r="F40" s="1">
        <v>26500</v>
      </c>
      <c r="G40" s="1">
        <v>20550</v>
      </c>
      <c r="H40" s="1">
        <f t="shared" si="1"/>
        <v>5950</v>
      </c>
      <c r="I40" s="1" t="s">
        <v>34</v>
      </c>
      <c r="J40" s="1" t="s">
        <v>48</v>
      </c>
      <c r="K40" s="1" t="s">
        <v>33</v>
      </c>
      <c r="L40" s="1">
        <v>0</v>
      </c>
      <c r="M40" s="1">
        <v>300</v>
      </c>
      <c r="N40" s="1" t="s">
        <v>30</v>
      </c>
      <c r="O40" s="1">
        <v>890</v>
      </c>
      <c r="P40" s="1">
        <v>500</v>
      </c>
      <c r="Q40" s="1" t="s">
        <v>30</v>
      </c>
      <c r="R40" s="1" t="s">
        <v>30</v>
      </c>
      <c r="S40" s="1" t="s">
        <v>30</v>
      </c>
      <c r="T40" s="1" t="s">
        <v>30</v>
      </c>
      <c r="U40" s="1" t="s">
        <v>30</v>
      </c>
      <c r="V40" s="1" t="s">
        <v>30</v>
      </c>
      <c r="W40" s="1" t="s">
        <v>30</v>
      </c>
      <c r="X40" s="1">
        <v>222</v>
      </c>
    </row>
    <row r="41" spans="1:24" s="2" customFormat="1" x14ac:dyDescent="0.25">
      <c r="A41" s="2" t="s">
        <v>20</v>
      </c>
      <c r="B41" s="2">
        <v>44</v>
      </c>
      <c r="C41" s="2" t="s">
        <v>37</v>
      </c>
      <c r="D41" s="2" t="s">
        <v>40</v>
      </c>
      <c r="E41" s="2">
        <v>2</v>
      </c>
      <c r="F41" s="2">
        <v>30000</v>
      </c>
      <c r="G41" s="2">
        <v>15600</v>
      </c>
      <c r="H41" s="2">
        <f t="shared" si="1"/>
        <v>14400</v>
      </c>
      <c r="I41" s="2" t="s">
        <v>22</v>
      </c>
      <c r="J41" s="2" t="s">
        <v>48</v>
      </c>
      <c r="K41" s="2" t="s">
        <v>21</v>
      </c>
      <c r="L41" s="2">
        <v>20000</v>
      </c>
      <c r="M41" s="2">
        <v>500</v>
      </c>
      <c r="N41" s="2" t="s">
        <v>30</v>
      </c>
      <c r="O41" s="2" t="s">
        <v>30</v>
      </c>
      <c r="P41" s="2" t="s">
        <v>30</v>
      </c>
      <c r="Q41" s="2">
        <v>500000</v>
      </c>
      <c r="R41" s="2">
        <v>600000</v>
      </c>
      <c r="S41" s="2">
        <v>1700</v>
      </c>
      <c r="T41" s="2">
        <v>572500</v>
      </c>
      <c r="U41" s="2" t="s">
        <v>30</v>
      </c>
      <c r="V41" s="2" t="s">
        <v>30</v>
      </c>
      <c r="W41" s="2">
        <v>370</v>
      </c>
      <c r="X41" s="2">
        <v>210</v>
      </c>
    </row>
    <row r="42" spans="1:24" s="2" customFormat="1" x14ac:dyDescent="0.25">
      <c r="A42" s="2" t="s">
        <v>19</v>
      </c>
      <c r="B42" s="2">
        <v>47</v>
      </c>
      <c r="C42" s="2" t="s">
        <v>37</v>
      </c>
      <c r="D42" s="2" t="s">
        <v>40</v>
      </c>
      <c r="E42" s="2">
        <v>2</v>
      </c>
      <c r="F42" s="2">
        <v>17000</v>
      </c>
      <c r="G42" s="2">
        <v>15600</v>
      </c>
      <c r="H42" s="2">
        <f t="shared" si="1"/>
        <v>1400</v>
      </c>
      <c r="I42" s="2" t="s">
        <v>22</v>
      </c>
      <c r="J42" s="2" t="s">
        <v>50</v>
      </c>
      <c r="K42" s="2" t="s">
        <v>21</v>
      </c>
      <c r="L42" s="2">
        <v>20000</v>
      </c>
      <c r="M42" s="2">
        <v>100</v>
      </c>
      <c r="N42" s="2" t="s">
        <v>30</v>
      </c>
      <c r="O42" s="2" t="s">
        <v>30</v>
      </c>
      <c r="P42" s="2" t="s">
        <v>30</v>
      </c>
      <c r="Q42" s="2" t="s">
        <v>30</v>
      </c>
      <c r="R42" s="2">
        <v>600000</v>
      </c>
      <c r="S42" s="2" t="s">
        <v>30</v>
      </c>
      <c r="T42" s="2">
        <v>572500</v>
      </c>
      <c r="U42" s="2" t="s">
        <v>30</v>
      </c>
      <c r="V42" s="2" t="s">
        <v>30</v>
      </c>
      <c r="W42" s="2" t="s">
        <v>30</v>
      </c>
      <c r="X42" s="2" t="s">
        <v>30</v>
      </c>
    </row>
    <row r="43" spans="1:24" x14ac:dyDescent="0.25">
      <c r="A43" s="1" t="s">
        <v>19</v>
      </c>
      <c r="B43" s="1">
        <v>63</v>
      </c>
      <c r="C43" s="1" t="s">
        <v>37</v>
      </c>
      <c r="D43" s="1" t="s">
        <v>23</v>
      </c>
      <c r="E43" s="1">
        <v>2</v>
      </c>
      <c r="F43" s="1">
        <v>40398</v>
      </c>
      <c r="G43" s="1">
        <v>13000</v>
      </c>
      <c r="H43" s="1">
        <f t="shared" si="1"/>
        <v>27398</v>
      </c>
      <c r="I43" s="1" t="s">
        <v>35</v>
      </c>
      <c r="J43" s="1" t="s">
        <v>50</v>
      </c>
      <c r="K43" s="1" t="s">
        <v>26</v>
      </c>
      <c r="L43" s="1">
        <v>400000</v>
      </c>
      <c r="M43" s="1">
        <v>1000</v>
      </c>
      <c r="N43" s="1" t="s">
        <v>30</v>
      </c>
      <c r="O43" s="1">
        <v>324</v>
      </c>
      <c r="P43" s="1" t="s">
        <v>30</v>
      </c>
      <c r="Q43" s="1">
        <v>100000</v>
      </c>
      <c r="R43" s="1">
        <v>2000000</v>
      </c>
      <c r="S43" s="1" t="s">
        <v>30</v>
      </c>
      <c r="T43" s="1" t="s">
        <v>30</v>
      </c>
      <c r="U43" s="1" t="s">
        <v>30</v>
      </c>
      <c r="V43" s="1" t="s">
        <v>30</v>
      </c>
      <c r="W43" s="1">
        <v>610</v>
      </c>
      <c r="X43" s="1" t="s">
        <v>30</v>
      </c>
    </row>
    <row r="44" spans="1:24" x14ac:dyDescent="0.25">
      <c r="A44" s="1" t="s">
        <v>19</v>
      </c>
      <c r="B44" s="1">
        <v>36</v>
      </c>
      <c r="C44" s="1" t="s">
        <v>38</v>
      </c>
      <c r="D44" s="1" t="s">
        <v>23</v>
      </c>
      <c r="E44" s="1">
        <v>0</v>
      </c>
      <c r="F44" s="1">
        <v>40000</v>
      </c>
      <c r="G44" s="1">
        <v>20000</v>
      </c>
      <c r="H44" s="1">
        <f t="shared" si="1"/>
        <v>20000</v>
      </c>
      <c r="I44" s="1" t="s">
        <v>35</v>
      </c>
      <c r="J44" s="1" t="s">
        <v>44</v>
      </c>
      <c r="K44" s="1" t="s">
        <v>26</v>
      </c>
      <c r="L44" s="1">
        <v>200000</v>
      </c>
      <c r="M44" s="1">
        <v>500</v>
      </c>
      <c r="N44" s="1" t="s">
        <v>30</v>
      </c>
      <c r="O44" s="1">
        <v>710</v>
      </c>
      <c r="P44" s="1" t="s">
        <v>30</v>
      </c>
      <c r="Q44" s="1" t="s">
        <v>30</v>
      </c>
      <c r="R44" s="1">
        <v>2000000</v>
      </c>
      <c r="S44" s="1" t="s">
        <v>30</v>
      </c>
      <c r="T44" s="1" t="s">
        <v>30</v>
      </c>
      <c r="U44" s="1" t="s">
        <v>30</v>
      </c>
      <c r="V44" s="1" t="s">
        <v>30</v>
      </c>
      <c r="W44" s="1">
        <v>394</v>
      </c>
      <c r="X44" s="1" t="s">
        <v>30</v>
      </c>
    </row>
    <row r="45" spans="1:24" x14ac:dyDescent="0.25">
      <c r="A45" s="1" t="s">
        <v>19</v>
      </c>
      <c r="B45" s="1">
        <v>48</v>
      </c>
      <c r="C45" s="1" t="s">
        <v>39</v>
      </c>
      <c r="D45" s="1" t="s">
        <v>23</v>
      </c>
      <c r="E45" s="1">
        <v>1</v>
      </c>
      <c r="F45" s="1">
        <v>29000</v>
      </c>
      <c r="G45" s="1">
        <v>19070</v>
      </c>
      <c r="H45" s="1">
        <f t="shared" si="1"/>
        <v>9930</v>
      </c>
      <c r="I45" s="1" t="s">
        <v>22</v>
      </c>
      <c r="J45" s="1" t="s">
        <v>45</v>
      </c>
      <c r="K45" s="1" t="s">
        <v>26</v>
      </c>
      <c r="L45" s="1">
        <v>35000</v>
      </c>
      <c r="M45" s="1">
        <v>300</v>
      </c>
      <c r="N45" s="1" t="s">
        <v>28</v>
      </c>
      <c r="O45" s="1">
        <v>650</v>
      </c>
      <c r="P45" s="1" t="s">
        <v>30</v>
      </c>
      <c r="Q45" s="1" t="s">
        <v>30</v>
      </c>
      <c r="R45" s="1" t="s">
        <v>30</v>
      </c>
      <c r="S45" s="1">
        <v>300</v>
      </c>
      <c r="T45" s="1" t="s">
        <v>30</v>
      </c>
      <c r="U45" s="1">
        <v>550000</v>
      </c>
      <c r="V45" s="1" t="s">
        <v>30</v>
      </c>
      <c r="W45" s="1">
        <v>314</v>
      </c>
      <c r="X45" s="1">
        <v>208</v>
      </c>
    </row>
    <row r="46" spans="1:24" x14ac:dyDescent="0.25">
      <c r="A46" s="1" t="s">
        <v>20</v>
      </c>
      <c r="B46" s="1">
        <v>30</v>
      </c>
      <c r="C46" s="1" t="s">
        <v>38</v>
      </c>
      <c r="D46" s="1" t="s">
        <v>40</v>
      </c>
      <c r="E46" s="1">
        <v>0</v>
      </c>
      <c r="F46" s="1">
        <v>16000</v>
      </c>
      <c r="G46" s="1">
        <v>11000</v>
      </c>
      <c r="H46" s="1">
        <f t="shared" si="1"/>
        <v>5000</v>
      </c>
      <c r="I46" s="1" t="s">
        <v>35</v>
      </c>
      <c r="J46" s="1" t="s">
        <v>48</v>
      </c>
      <c r="K46" s="1" t="s">
        <v>26</v>
      </c>
      <c r="L46" s="1">
        <v>0</v>
      </c>
      <c r="M46" s="1">
        <v>300</v>
      </c>
      <c r="N46" s="1" t="s">
        <v>30</v>
      </c>
      <c r="O46" s="1" t="s">
        <v>30</v>
      </c>
      <c r="P46" s="1">
        <v>700</v>
      </c>
      <c r="Q46" s="1" t="s">
        <v>30</v>
      </c>
      <c r="R46" s="1" t="s">
        <v>30</v>
      </c>
      <c r="S46" s="1" t="s">
        <v>30</v>
      </c>
      <c r="T46" s="1" t="s">
        <v>30</v>
      </c>
      <c r="U46" s="1" t="s">
        <v>30</v>
      </c>
      <c r="V46" s="1" t="s">
        <v>30</v>
      </c>
      <c r="W46" s="1" t="s">
        <v>30</v>
      </c>
      <c r="X46" s="1" t="s">
        <v>30</v>
      </c>
    </row>
    <row r="47" spans="1:24" s="2" customFormat="1" x14ac:dyDescent="0.25">
      <c r="A47" s="2" t="s">
        <v>20</v>
      </c>
      <c r="B47" s="2">
        <v>50</v>
      </c>
      <c r="C47" s="2" t="s">
        <v>37</v>
      </c>
      <c r="D47" s="2" t="s">
        <v>41</v>
      </c>
      <c r="E47" s="2">
        <v>1</v>
      </c>
      <c r="F47" s="2">
        <v>35000</v>
      </c>
      <c r="G47" s="2">
        <v>7500</v>
      </c>
      <c r="H47" s="2">
        <f t="shared" si="1"/>
        <v>27500</v>
      </c>
      <c r="I47" s="2" t="s">
        <v>34</v>
      </c>
      <c r="J47" s="2" t="s">
        <v>48</v>
      </c>
      <c r="K47" s="2" t="s">
        <v>21</v>
      </c>
      <c r="L47" s="2">
        <v>55000</v>
      </c>
      <c r="M47" s="2">
        <v>300</v>
      </c>
      <c r="N47" s="2" t="s">
        <v>30</v>
      </c>
      <c r="O47" s="2">
        <v>300</v>
      </c>
      <c r="P47" s="2" t="s">
        <v>30</v>
      </c>
      <c r="Q47" s="2">
        <v>100000</v>
      </c>
      <c r="R47" s="2" t="s">
        <v>30</v>
      </c>
      <c r="S47" s="2" t="s">
        <v>30</v>
      </c>
      <c r="T47" s="2" t="s">
        <v>30</v>
      </c>
      <c r="U47" s="2" t="s">
        <v>30</v>
      </c>
      <c r="V47" s="2" t="s">
        <v>30</v>
      </c>
      <c r="W47" s="2">
        <v>300</v>
      </c>
      <c r="X47" s="2">
        <v>600</v>
      </c>
    </row>
    <row r="48" spans="1:24" s="2" customFormat="1" x14ac:dyDescent="0.25">
      <c r="A48" s="2" t="s">
        <v>19</v>
      </c>
      <c r="B48" s="2">
        <v>48</v>
      </c>
      <c r="C48" s="2" t="s">
        <v>37</v>
      </c>
      <c r="D48" s="2" t="s">
        <v>41</v>
      </c>
      <c r="E48" s="2">
        <v>1</v>
      </c>
      <c r="F48" s="2">
        <v>15000</v>
      </c>
      <c r="G48" s="2">
        <v>7500</v>
      </c>
      <c r="H48" s="2">
        <f t="shared" si="1"/>
        <v>7500</v>
      </c>
      <c r="I48" s="2" t="s">
        <v>22</v>
      </c>
      <c r="J48" s="2" t="s">
        <v>51</v>
      </c>
      <c r="K48" s="2" t="s">
        <v>21</v>
      </c>
      <c r="L48" s="2">
        <v>55000</v>
      </c>
      <c r="M48" s="2">
        <v>300</v>
      </c>
      <c r="N48" s="2" t="s">
        <v>28</v>
      </c>
      <c r="O48" s="2" t="s">
        <v>30</v>
      </c>
      <c r="P48" s="2">
        <v>500</v>
      </c>
      <c r="Q48" s="2" t="s">
        <v>30</v>
      </c>
      <c r="R48" s="2" t="s">
        <v>30</v>
      </c>
      <c r="S48" s="2" t="s">
        <v>30</v>
      </c>
      <c r="T48" s="2" t="s">
        <v>30</v>
      </c>
      <c r="U48" s="2" t="s">
        <v>30</v>
      </c>
      <c r="V48" s="2" t="s">
        <v>30</v>
      </c>
      <c r="W48" s="2" t="s">
        <v>30</v>
      </c>
      <c r="X48" s="2" t="s">
        <v>30</v>
      </c>
    </row>
    <row r="49" spans="1:24" x14ac:dyDescent="0.25">
      <c r="A49" s="1" t="s">
        <v>19</v>
      </c>
      <c r="B49" s="1">
        <v>28</v>
      </c>
      <c r="C49" s="1" t="s">
        <v>38</v>
      </c>
      <c r="D49" s="1" t="s">
        <v>40</v>
      </c>
      <c r="E49" s="1">
        <v>0</v>
      </c>
      <c r="F49" s="1">
        <v>25000</v>
      </c>
      <c r="G49" s="1">
        <v>10000</v>
      </c>
      <c r="H49" s="1">
        <f t="shared" si="1"/>
        <v>15000</v>
      </c>
      <c r="I49" s="1" t="s">
        <v>35</v>
      </c>
      <c r="J49" s="1" t="s">
        <v>51</v>
      </c>
      <c r="K49" s="1" t="s">
        <v>24</v>
      </c>
      <c r="L49" s="1">
        <v>30000</v>
      </c>
      <c r="M49" s="1">
        <v>300</v>
      </c>
      <c r="N49" s="1" t="s">
        <v>30</v>
      </c>
      <c r="O49" s="1">
        <v>1000</v>
      </c>
      <c r="P49" s="1">
        <v>1500</v>
      </c>
      <c r="Q49" s="1" t="s">
        <v>30</v>
      </c>
      <c r="R49" s="1" t="s">
        <v>30</v>
      </c>
      <c r="S49" s="1">
        <v>1700</v>
      </c>
      <c r="T49" s="1" t="s">
        <v>30</v>
      </c>
      <c r="U49" s="1" t="s">
        <v>30</v>
      </c>
      <c r="V49" s="1" t="s">
        <v>30</v>
      </c>
      <c r="W49" s="1" t="s">
        <v>30</v>
      </c>
      <c r="X49" s="1">
        <v>250</v>
      </c>
    </row>
    <row r="50" spans="1:24" x14ac:dyDescent="0.25">
      <c r="A50" s="1" t="s">
        <v>19</v>
      </c>
      <c r="B50" s="1">
        <v>29</v>
      </c>
      <c r="C50" s="1" t="s">
        <v>38</v>
      </c>
      <c r="D50" s="1" t="s">
        <v>41</v>
      </c>
      <c r="E50" s="1">
        <v>0</v>
      </c>
      <c r="F50" s="1">
        <v>20000</v>
      </c>
      <c r="G50" s="1">
        <v>17000</v>
      </c>
      <c r="H50" s="1">
        <f t="shared" si="1"/>
        <v>3000</v>
      </c>
      <c r="I50" s="1" t="s">
        <v>36</v>
      </c>
      <c r="J50" s="1" t="s">
        <v>51</v>
      </c>
      <c r="K50" s="1" t="s">
        <v>26</v>
      </c>
      <c r="L50" s="1">
        <v>30000</v>
      </c>
      <c r="M50" s="1">
        <v>100</v>
      </c>
      <c r="N50" s="1" t="s">
        <v>30</v>
      </c>
      <c r="O50" s="1" t="s">
        <v>30</v>
      </c>
      <c r="P50" s="1" t="s">
        <v>30</v>
      </c>
      <c r="Q50" s="1" t="s">
        <v>30</v>
      </c>
      <c r="R50" s="1" t="s">
        <v>30</v>
      </c>
      <c r="S50" s="1">
        <v>100</v>
      </c>
      <c r="T50" s="1">
        <v>1215000</v>
      </c>
      <c r="U50" s="1" t="s">
        <v>30</v>
      </c>
      <c r="V50" s="1" t="s">
        <v>30</v>
      </c>
      <c r="W50" s="1">
        <v>120</v>
      </c>
      <c r="X50" s="1">
        <v>200</v>
      </c>
    </row>
    <row r="51" spans="1:24" s="2" customFormat="1" x14ac:dyDescent="0.25">
      <c r="A51" s="2" t="s">
        <v>20</v>
      </c>
      <c r="B51" s="2">
        <v>65</v>
      </c>
      <c r="C51" s="2" t="s">
        <v>37</v>
      </c>
      <c r="D51" s="2" t="s">
        <v>40</v>
      </c>
      <c r="E51" s="2">
        <v>1</v>
      </c>
      <c r="F51" s="2">
        <v>32000</v>
      </c>
      <c r="G51" s="2">
        <v>18200</v>
      </c>
      <c r="H51" s="2">
        <f t="shared" si="1"/>
        <v>13800</v>
      </c>
      <c r="I51" s="2" t="s">
        <v>34</v>
      </c>
      <c r="J51" s="2" t="s">
        <v>48</v>
      </c>
      <c r="K51" s="2" t="s">
        <v>26</v>
      </c>
      <c r="L51" s="2">
        <v>10000</v>
      </c>
      <c r="M51" s="2" t="s">
        <v>30</v>
      </c>
      <c r="N51" s="2" t="s">
        <v>30</v>
      </c>
      <c r="O51" s="2" t="s">
        <v>30</v>
      </c>
      <c r="P51" s="2" t="s">
        <v>30</v>
      </c>
      <c r="Q51" s="2" t="s">
        <v>30</v>
      </c>
      <c r="R51" s="2" t="s">
        <v>30</v>
      </c>
      <c r="S51" s="2" t="s">
        <v>30</v>
      </c>
      <c r="T51" s="2" t="s">
        <v>30</v>
      </c>
      <c r="U51" s="2" t="s">
        <v>30</v>
      </c>
      <c r="V51" s="2" t="s">
        <v>30</v>
      </c>
      <c r="W51" s="2" t="s">
        <v>30</v>
      </c>
      <c r="X51" s="2" t="s">
        <v>30</v>
      </c>
    </row>
    <row r="52" spans="1:24" s="2" customFormat="1" x14ac:dyDescent="0.25">
      <c r="A52" s="2" t="s">
        <v>19</v>
      </c>
      <c r="B52" s="2">
        <v>32</v>
      </c>
      <c r="C52" s="2" t="s">
        <v>37</v>
      </c>
      <c r="D52" s="2" t="s">
        <v>40</v>
      </c>
      <c r="E52" s="2">
        <v>1</v>
      </c>
      <c r="F52" s="2">
        <v>6800</v>
      </c>
      <c r="G52" s="2">
        <v>6800</v>
      </c>
      <c r="H52" s="2">
        <f t="shared" si="1"/>
        <v>0</v>
      </c>
      <c r="I52" s="2" t="s">
        <v>22</v>
      </c>
      <c r="J52" s="2" t="s">
        <v>31</v>
      </c>
      <c r="K52" s="2" t="s">
        <v>26</v>
      </c>
      <c r="L52" s="2">
        <v>10000</v>
      </c>
      <c r="M52" s="2">
        <v>300</v>
      </c>
      <c r="N52" s="2" t="s">
        <v>30</v>
      </c>
      <c r="O52" s="2">
        <v>595</v>
      </c>
      <c r="P52" s="2">
        <v>1100</v>
      </c>
      <c r="Q52" s="2" t="s">
        <v>30</v>
      </c>
      <c r="R52" s="2" t="s">
        <v>30</v>
      </c>
      <c r="S52" s="2" t="s">
        <v>30</v>
      </c>
      <c r="T52" s="2" t="s">
        <v>30</v>
      </c>
      <c r="U52" s="2" t="s">
        <v>30</v>
      </c>
      <c r="V52" s="2" t="s">
        <v>30</v>
      </c>
      <c r="W52" s="2" t="s">
        <v>30</v>
      </c>
      <c r="X52" s="2" t="s">
        <v>30</v>
      </c>
    </row>
    <row r="53" spans="1:24" s="3" customFormat="1" x14ac:dyDescent="0.25">
      <c r="A53" s="3" t="s">
        <v>20</v>
      </c>
      <c r="B53" s="3">
        <v>30</v>
      </c>
      <c r="C53" s="3" t="s">
        <v>38</v>
      </c>
      <c r="D53" s="3" t="s">
        <v>40</v>
      </c>
      <c r="E53" s="3">
        <v>0</v>
      </c>
      <c r="F53" s="3">
        <v>23000</v>
      </c>
      <c r="G53" s="3">
        <v>15000</v>
      </c>
      <c r="H53" s="3">
        <f t="shared" si="1"/>
        <v>8000</v>
      </c>
      <c r="I53" s="3" t="s">
        <v>22</v>
      </c>
      <c r="J53" s="3" t="s">
        <v>48</v>
      </c>
      <c r="K53" s="3" t="s">
        <v>24</v>
      </c>
      <c r="L53" s="3">
        <v>0</v>
      </c>
      <c r="M53" s="3" t="s">
        <v>30</v>
      </c>
      <c r="N53" s="3" t="s">
        <v>30</v>
      </c>
      <c r="O53" s="3">
        <v>840</v>
      </c>
      <c r="P53" s="3" t="s">
        <v>30</v>
      </c>
      <c r="Q53" s="3" t="s">
        <v>30</v>
      </c>
      <c r="R53" s="3" t="s">
        <v>30</v>
      </c>
      <c r="S53" s="3" t="s">
        <v>30</v>
      </c>
      <c r="T53" s="3" t="s">
        <v>30</v>
      </c>
      <c r="U53" s="3">
        <v>230000</v>
      </c>
      <c r="V53" s="3" t="s">
        <v>30</v>
      </c>
      <c r="W53" s="3" t="s">
        <v>30</v>
      </c>
      <c r="X53" s="3" t="s">
        <v>30</v>
      </c>
    </row>
    <row r="54" spans="1:24" s="3" customFormat="1" x14ac:dyDescent="0.25">
      <c r="A54" s="3" t="s">
        <v>20</v>
      </c>
      <c r="B54" s="3">
        <v>28</v>
      </c>
      <c r="C54" s="3" t="s">
        <v>38</v>
      </c>
      <c r="D54" s="3" t="s">
        <v>41</v>
      </c>
      <c r="E54" s="3">
        <v>0</v>
      </c>
      <c r="F54" s="3">
        <v>20000</v>
      </c>
      <c r="G54" s="3">
        <v>13200</v>
      </c>
      <c r="H54" s="3">
        <f t="shared" si="1"/>
        <v>6800</v>
      </c>
      <c r="I54" s="3" t="s">
        <v>34</v>
      </c>
      <c r="J54" s="3" t="s">
        <v>48</v>
      </c>
      <c r="K54" s="3" t="s">
        <v>33</v>
      </c>
      <c r="L54" s="3">
        <v>0</v>
      </c>
      <c r="M54" s="3" t="s">
        <v>30</v>
      </c>
      <c r="N54" s="3" t="s">
        <v>30</v>
      </c>
      <c r="O54" s="3" t="s">
        <v>30</v>
      </c>
      <c r="P54" s="3" t="s">
        <v>30</v>
      </c>
      <c r="Q54" s="3" t="s">
        <v>30</v>
      </c>
      <c r="R54" s="3" t="s">
        <v>30</v>
      </c>
      <c r="S54" s="3" t="s">
        <v>30</v>
      </c>
      <c r="T54" s="3" t="s">
        <v>30</v>
      </c>
      <c r="U54" s="3" t="s">
        <v>30</v>
      </c>
      <c r="V54" s="3" t="s">
        <v>30</v>
      </c>
      <c r="W54" s="3" t="s">
        <v>30</v>
      </c>
      <c r="X54" s="3" t="s">
        <v>30</v>
      </c>
    </row>
    <row r="55" spans="1:24" s="2" customFormat="1" x14ac:dyDescent="0.25">
      <c r="A55" s="2" t="s">
        <v>19</v>
      </c>
      <c r="B55" s="2">
        <v>35</v>
      </c>
      <c r="C55" s="2" t="s">
        <v>37</v>
      </c>
      <c r="D55" s="2" t="s">
        <v>23</v>
      </c>
      <c r="E55" s="2">
        <v>1</v>
      </c>
      <c r="F55" s="2">
        <v>8500</v>
      </c>
      <c r="G55" s="2">
        <v>8500</v>
      </c>
      <c r="H55" s="2">
        <f t="shared" si="1"/>
        <v>0</v>
      </c>
      <c r="I55" s="2" t="s">
        <v>22</v>
      </c>
      <c r="J55" s="2" t="s">
        <v>31</v>
      </c>
      <c r="K55" s="2" t="s">
        <v>26</v>
      </c>
      <c r="L55" s="2">
        <v>135000</v>
      </c>
      <c r="M55" s="2">
        <v>500</v>
      </c>
      <c r="N55" s="2" t="s">
        <v>28</v>
      </c>
      <c r="O55" s="2">
        <v>850</v>
      </c>
      <c r="P55" s="2" t="s">
        <v>30</v>
      </c>
      <c r="Q55" s="2" t="s">
        <v>30</v>
      </c>
      <c r="R55" s="2" t="s">
        <v>30</v>
      </c>
      <c r="S55" s="2" t="s">
        <v>30</v>
      </c>
      <c r="T55" s="2" t="s">
        <v>30</v>
      </c>
      <c r="U55" s="2" t="s">
        <v>30</v>
      </c>
      <c r="V55" s="2" t="s">
        <v>30</v>
      </c>
      <c r="W55" s="2" t="s">
        <v>30</v>
      </c>
      <c r="X55" s="2" t="s">
        <v>30</v>
      </c>
    </row>
    <row r="56" spans="1:24" s="2" customFormat="1" x14ac:dyDescent="0.25">
      <c r="A56" s="2" t="s">
        <v>20</v>
      </c>
      <c r="B56" s="2">
        <v>37</v>
      </c>
      <c r="C56" s="2" t="s">
        <v>37</v>
      </c>
      <c r="D56" s="2" t="s">
        <v>23</v>
      </c>
      <c r="E56" s="2">
        <v>1</v>
      </c>
      <c r="F56" s="2">
        <v>30000</v>
      </c>
      <c r="G56" s="2">
        <v>11500</v>
      </c>
      <c r="H56" s="2">
        <f t="shared" si="1"/>
        <v>18500</v>
      </c>
      <c r="I56" s="2" t="s">
        <v>22</v>
      </c>
      <c r="J56" s="2" t="s">
        <v>51</v>
      </c>
      <c r="K56" s="2" t="s">
        <v>26</v>
      </c>
      <c r="L56" s="2">
        <v>135000</v>
      </c>
      <c r="M56" s="2">
        <v>500</v>
      </c>
      <c r="N56" s="2" t="s">
        <v>28</v>
      </c>
      <c r="O56" s="2">
        <v>1200</v>
      </c>
      <c r="P56" s="2">
        <v>1500</v>
      </c>
      <c r="Q56" s="2" t="s">
        <v>30</v>
      </c>
      <c r="R56" s="2" t="s">
        <v>30</v>
      </c>
      <c r="S56" s="2" t="s">
        <v>30</v>
      </c>
      <c r="T56" s="2" t="s">
        <v>30</v>
      </c>
      <c r="U56" s="2" t="s">
        <v>30</v>
      </c>
      <c r="V56" s="2" t="s">
        <v>30</v>
      </c>
      <c r="W56" s="2" t="s">
        <v>30</v>
      </c>
      <c r="X56" s="2">
        <v>350</v>
      </c>
    </row>
    <row r="57" spans="1:24" s="3" customFormat="1" x14ac:dyDescent="0.25">
      <c r="A57" s="3" t="s">
        <v>20</v>
      </c>
      <c r="B57" s="3">
        <v>23</v>
      </c>
      <c r="C57" s="3" t="s">
        <v>38</v>
      </c>
      <c r="D57" s="3" t="s">
        <v>23</v>
      </c>
      <c r="E57" s="3">
        <v>0</v>
      </c>
      <c r="F57" s="3">
        <v>16000</v>
      </c>
      <c r="G57" s="3">
        <v>8000</v>
      </c>
      <c r="H57" s="3">
        <f t="shared" si="1"/>
        <v>8000</v>
      </c>
      <c r="I57" s="3" t="s">
        <v>34</v>
      </c>
      <c r="J57" s="3" t="s">
        <v>48</v>
      </c>
      <c r="K57" s="3" t="s">
        <v>33</v>
      </c>
      <c r="L57" s="3">
        <v>0</v>
      </c>
      <c r="M57" s="3">
        <v>500</v>
      </c>
      <c r="N57" s="3" t="s">
        <v>30</v>
      </c>
      <c r="O57" s="3">
        <v>1790</v>
      </c>
      <c r="P57" s="3" t="s">
        <v>30</v>
      </c>
      <c r="Q57" s="3" t="s">
        <v>30</v>
      </c>
      <c r="R57" s="3" t="s">
        <v>30</v>
      </c>
      <c r="S57" s="3" t="s">
        <v>30</v>
      </c>
      <c r="T57" s="3" t="s">
        <v>30</v>
      </c>
      <c r="U57" s="3" t="s">
        <v>30</v>
      </c>
      <c r="V57" s="3" t="s">
        <v>30</v>
      </c>
      <c r="W57" s="3">
        <v>124</v>
      </c>
      <c r="X57" s="3" t="s">
        <v>30</v>
      </c>
    </row>
    <row r="58" spans="1:24" s="3" customFormat="1" x14ac:dyDescent="0.25">
      <c r="A58" s="3" t="s">
        <v>19</v>
      </c>
      <c r="B58" s="3">
        <v>29</v>
      </c>
      <c r="C58" s="3" t="s">
        <v>38</v>
      </c>
      <c r="D58" s="3" t="s">
        <v>23</v>
      </c>
      <c r="E58" s="3">
        <v>0</v>
      </c>
      <c r="F58" s="3">
        <v>25000</v>
      </c>
      <c r="G58" s="3">
        <v>23000</v>
      </c>
      <c r="H58" s="3">
        <f t="shared" si="1"/>
        <v>2000</v>
      </c>
      <c r="I58" s="3" t="s">
        <v>36</v>
      </c>
      <c r="J58" s="3" t="s">
        <v>48</v>
      </c>
      <c r="K58" s="3" t="s">
        <v>24</v>
      </c>
      <c r="L58" s="3">
        <v>300000</v>
      </c>
      <c r="M58" s="3">
        <v>500</v>
      </c>
      <c r="N58" s="3" t="s">
        <v>30</v>
      </c>
      <c r="O58" s="3">
        <v>600</v>
      </c>
      <c r="P58" s="3" t="s">
        <v>30</v>
      </c>
      <c r="Q58" s="3" t="s">
        <v>30</v>
      </c>
      <c r="R58" s="3" t="s">
        <v>30</v>
      </c>
      <c r="S58" s="3" t="s">
        <v>30</v>
      </c>
      <c r="T58" s="3" t="s">
        <v>30</v>
      </c>
      <c r="U58" s="3" t="s">
        <v>30</v>
      </c>
      <c r="V58" s="3" t="s">
        <v>30</v>
      </c>
      <c r="W58" s="3" t="s">
        <v>30</v>
      </c>
      <c r="X58" s="3" t="s">
        <v>30</v>
      </c>
    </row>
    <row r="59" spans="1:24" s="2" customFormat="1" x14ac:dyDescent="0.25">
      <c r="A59" s="2" t="s">
        <v>19</v>
      </c>
      <c r="B59" s="2">
        <v>42</v>
      </c>
      <c r="C59" s="2" t="s">
        <v>37</v>
      </c>
      <c r="D59" s="2" t="s">
        <v>41</v>
      </c>
      <c r="E59" s="2">
        <v>2</v>
      </c>
      <c r="F59" s="2">
        <v>15400</v>
      </c>
      <c r="G59" s="2">
        <v>15000</v>
      </c>
      <c r="H59" s="2">
        <f t="shared" si="1"/>
        <v>400</v>
      </c>
      <c r="I59" s="2" t="s">
        <v>22</v>
      </c>
      <c r="J59" s="2" t="s">
        <v>51</v>
      </c>
      <c r="K59" s="2" t="s">
        <v>26</v>
      </c>
      <c r="L59" s="2">
        <v>5000</v>
      </c>
      <c r="M59" s="2">
        <v>200</v>
      </c>
      <c r="N59" s="2" t="s">
        <v>30</v>
      </c>
      <c r="O59" s="2" t="s">
        <v>30</v>
      </c>
      <c r="P59" s="2" t="s">
        <v>30</v>
      </c>
      <c r="Q59" s="2" t="s">
        <v>30</v>
      </c>
      <c r="R59" s="2" t="s">
        <v>30</v>
      </c>
      <c r="S59" s="2" t="s">
        <v>30</v>
      </c>
      <c r="T59" s="2" t="s">
        <v>30</v>
      </c>
      <c r="U59" s="2" t="s">
        <v>30</v>
      </c>
      <c r="V59" s="2" t="s">
        <v>30</v>
      </c>
      <c r="W59" s="2" t="s">
        <v>30</v>
      </c>
      <c r="X59" s="2" t="s">
        <v>30</v>
      </c>
    </row>
    <row r="60" spans="1:24" s="2" customFormat="1" x14ac:dyDescent="0.25">
      <c r="A60" s="2" t="s">
        <v>20</v>
      </c>
      <c r="B60" s="2">
        <v>46</v>
      </c>
      <c r="C60" s="2" t="s">
        <v>37</v>
      </c>
      <c r="D60" s="2" t="s">
        <v>41</v>
      </c>
      <c r="E60" s="2">
        <v>2</v>
      </c>
      <c r="F60" s="2">
        <v>22000</v>
      </c>
      <c r="G60" s="2">
        <v>15000</v>
      </c>
      <c r="H60" s="2">
        <f t="shared" si="1"/>
        <v>7000</v>
      </c>
      <c r="I60" s="2" t="s">
        <v>22</v>
      </c>
      <c r="J60" s="2" t="s">
        <v>48</v>
      </c>
      <c r="K60" s="2" t="s">
        <v>26</v>
      </c>
      <c r="L60" s="2">
        <v>5000</v>
      </c>
      <c r="M60" s="2">
        <v>100</v>
      </c>
      <c r="N60" s="2" t="s">
        <v>30</v>
      </c>
      <c r="O60" s="2" t="s">
        <v>30</v>
      </c>
      <c r="P60" s="2" t="s">
        <v>30</v>
      </c>
      <c r="Q60" s="2" t="s">
        <v>30</v>
      </c>
      <c r="R60" s="2" t="s">
        <v>30</v>
      </c>
      <c r="S60" s="2">
        <v>1500</v>
      </c>
      <c r="T60" s="2" t="s">
        <v>30</v>
      </c>
      <c r="U60" s="2" t="s">
        <v>30</v>
      </c>
      <c r="V60" s="2" t="s">
        <v>30</v>
      </c>
      <c r="W60" s="2" t="s">
        <v>30</v>
      </c>
      <c r="X60" s="2">
        <v>358</v>
      </c>
    </row>
    <row r="61" spans="1:24" s="3" customFormat="1" x14ac:dyDescent="0.25">
      <c r="A61" s="3" t="s">
        <v>20</v>
      </c>
      <c r="B61" s="3">
        <v>36</v>
      </c>
      <c r="C61" s="3" t="s">
        <v>38</v>
      </c>
      <c r="D61" s="3" t="s">
        <v>23</v>
      </c>
      <c r="E61" s="3">
        <v>1</v>
      </c>
      <c r="F61" s="3">
        <v>21000</v>
      </c>
      <c r="G61" s="3">
        <v>21000</v>
      </c>
      <c r="H61" s="3">
        <f t="shared" si="1"/>
        <v>0</v>
      </c>
      <c r="I61" s="3" t="s">
        <v>22</v>
      </c>
      <c r="J61" s="3" t="s">
        <v>48</v>
      </c>
      <c r="K61" s="3" t="s">
        <v>24</v>
      </c>
      <c r="L61" s="3">
        <v>0</v>
      </c>
      <c r="M61" s="3">
        <v>100</v>
      </c>
      <c r="N61" s="3" t="s">
        <v>30</v>
      </c>
      <c r="O61" s="3">
        <v>1600</v>
      </c>
      <c r="P61" s="3">
        <v>500</v>
      </c>
      <c r="Q61" s="3" t="s">
        <v>30</v>
      </c>
      <c r="R61" s="3" t="s">
        <v>30</v>
      </c>
      <c r="S61" s="3">
        <v>200</v>
      </c>
      <c r="T61" s="3" t="s">
        <v>30</v>
      </c>
      <c r="U61" s="3" t="s">
        <v>30</v>
      </c>
      <c r="V61" s="3" t="s">
        <v>30</v>
      </c>
      <c r="W61" s="3" t="s">
        <v>30</v>
      </c>
      <c r="X61" s="3" t="s">
        <v>30</v>
      </c>
    </row>
    <row r="62" spans="1:24" s="3" customFormat="1" x14ac:dyDescent="0.25">
      <c r="A62" s="3" t="s">
        <v>19</v>
      </c>
      <c r="B62" s="3">
        <v>31</v>
      </c>
      <c r="C62" s="3" t="s">
        <v>38</v>
      </c>
      <c r="D62" s="3" t="s">
        <v>41</v>
      </c>
      <c r="E62" s="3">
        <v>0</v>
      </c>
      <c r="F62" s="3">
        <v>18000</v>
      </c>
      <c r="G62" s="3">
        <v>11000</v>
      </c>
      <c r="H62" s="3">
        <f t="shared" si="1"/>
        <v>7000</v>
      </c>
      <c r="I62" s="3" t="s">
        <v>22</v>
      </c>
      <c r="J62" s="3" t="s">
        <v>50</v>
      </c>
      <c r="K62" s="3" t="s">
        <v>21</v>
      </c>
      <c r="L62" s="3">
        <v>0</v>
      </c>
      <c r="M62" s="3">
        <v>100</v>
      </c>
      <c r="N62" s="3" t="s">
        <v>30</v>
      </c>
      <c r="O62" s="3">
        <v>1200</v>
      </c>
      <c r="P62" s="3" t="s">
        <v>30</v>
      </c>
      <c r="Q62" s="3" t="s">
        <v>30</v>
      </c>
      <c r="R62" s="3" t="s">
        <v>30</v>
      </c>
      <c r="S62" s="3" t="s">
        <v>30</v>
      </c>
      <c r="T62" s="3" t="s">
        <v>30</v>
      </c>
      <c r="U62" s="3">
        <v>150000</v>
      </c>
      <c r="V62" s="3" t="s">
        <v>30</v>
      </c>
      <c r="W62" s="3">
        <v>130</v>
      </c>
      <c r="X62" s="3">
        <v>390</v>
      </c>
    </row>
    <row r="63" spans="1:24" s="2" customFormat="1" x14ac:dyDescent="0.25">
      <c r="A63" s="2" t="s">
        <v>19</v>
      </c>
      <c r="B63" s="2">
        <v>30</v>
      </c>
      <c r="C63" s="2" t="s">
        <v>37</v>
      </c>
      <c r="D63" s="2" t="s">
        <v>41</v>
      </c>
      <c r="E63" s="2">
        <v>2</v>
      </c>
      <c r="F63" s="2">
        <v>15000</v>
      </c>
      <c r="G63" s="2">
        <v>13100</v>
      </c>
      <c r="H63" s="2">
        <f t="shared" si="1"/>
        <v>1900</v>
      </c>
      <c r="I63" s="2" t="s">
        <v>22</v>
      </c>
      <c r="J63" s="2" t="s">
        <v>31</v>
      </c>
      <c r="K63" s="2" t="s">
        <v>21</v>
      </c>
      <c r="L63" s="2">
        <v>15000</v>
      </c>
      <c r="M63" s="2">
        <v>100</v>
      </c>
      <c r="N63" s="2" t="s">
        <v>30</v>
      </c>
      <c r="O63" s="2">
        <v>1300</v>
      </c>
      <c r="P63" s="2" t="s">
        <v>30</v>
      </c>
      <c r="Q63" s="2" t="s">
        <v>30</v>
      </c>
      <c r="R63" s="2" t="s">
        <v>30</v>
      </c>
      <c r="S63" s="2" t="s">
        <v>30</v>
      </c>
      <c r="T63" s="2">
        <v>600000</v>
      </c>
      <c r="U63" s="2" t="s">
        <v>30</v>
      </c>
      <c r="V63" s="2" t="s">
        <v>30</v>
      </c>
      <c r="W63" s="2" t="s">
        <v>30</v>
      </c>
      <c r="X63" s="2" t="s">
        <v>30</v>
      </c>
    </row>
    <row r="64" spans="1:24" s="2" customFormat="1" x14ac:dyDescent="0.25">
      <c r="A64" s="2" t="s">
        <v>20</v>
      </c>
      <c r="B64" s="2">
        <v>35</v>
      </c>
      <c r="C64" s="2" t="s">
        <v>37</v>
      </c>
      <c r="D64" s="2" t="s">
        <v>41</v>
      </c>
      <c r="E64" s="2">
        <v>2</v>
      </c>
      <c r="F64" s="2">
        <v>21000</v>
      </c>
      <c r="G64" s="2">
        <v>13100</v>
      </c>
      <c r="H64" s="2">
        <f t="shared" si="1"/>
        <v>7900</v>
      </c>
      <c r="I64" s="2" t="s">
        <v>36</v>
      </c>
      <c r="J64" s="2" t="s">
        <v>50</v>
      </c>
      <c r="K64" s="2" t="s">
        <v>21</v>
      </c>
      <c r="L64" s="2">
        <v>15000</v>
      </c>
      <c r="M64" s="2" t="s">
        <v>30</v>
      </c>
      <c r="N64" s="2" t="s">
        <v>30</v>
      </c>
      <c r="O64" s="2">
        <v>1500</v>
      </c>
      <c r="P64" s="2" t="s">
        <v>30</v>
      </c>
      <c r="Q64" s="2" t="s">
        <v>30</v>
      </c>
      <c r="R64" s="2" t="s">
        <v>30</v>
      </c>
      <c r="S64" s="2" t="s">
        <v>30</v>
      </c>
      <c r="T64" s="2">
        <v>600000</v>
      </c>
      <c r="U64" s="2" t="s">
        <v>30</v>
      </c>
      <c r="V64" s="2" t="s">
        <v>30</v>
      </c>
      <c r="W64" s="2">
        <v>190</v>
      </c>
      <c r="X64" s="2">
        <v>288</v>
      </c>
    </row>
    <row r="65" spans="1:24" s="4" customFormat="1" x14ac:dyDescent="0.25">
      <c r="A65" s="4" t="s">
        <v>20</v>
      </c>
      <c r="B65" s="4">
        <v>45</v>
      </c>
      <c r="C65" s="4" t="s">
        <v>38</v>
      </c>
      <c r="D65" s="4" t="s">
        <v>41</v>
      </c>
      <c r="E65" s="4">
        <v>1</v>
      </c>
      <c r="F65" s="4">
        <v>68000</v>
      </c>
      <c r="G65" s="4">
        <v>19675</v>
      </c>
      <c r="H65" s="4">
        <f t="shared" si="1"/>
        <v>48325</v>
      </c>
      <c r="I65" s="4" t="s">
        <v>22</v>
      </c>
      <c r="J65" s="4" t="s">
        <v>44</v>
      </c>
      <c r="K65" s="4" t="s">
        <v>21</v>
      </c>
      <c r="L65" s="4">
        <v>45000</v>
      </c>
      <c r="M65" s="4">
        <v>300</v>
      </c>
      <c r="N65" s="4" t="s">
        <v>30</v>
      </c>
      <c r="O65" s="4">
        <v>1180</v>
      </c>
      <c r="P65" s="4" t="s">
        <v>30</v>
      </c>
      <c r="Q65" s="4" t="s">
        <v>30</v>
      </c>
      <c r="R65" s="4" t="s">
        <v>30</v>
      </c>
      <c r="S65" s="4" t="s">
        <v>30</v>
      </c>
      <c r="T65" s="4">
        <v>2100000</v>
      </c>
      <c r="U65" s="4" t="s">
        <v>30</v>
      </c>
      <c r="V65" s="4" t="s">
        <v>30</v>
      </c>
      <c r="W65" s="4">
        <v>550</v>
      </c>
      <c r="X65" s="4">
        <v>1200</v>
      </c>
    </row>
    <row r="66" spans="1:24" s="4" customFormat="1" x14ac:dyDescent="0.25">
      <c r="A66" s="4" t="s">
        <v>19</v>
      </c>
      <c r="B66" s="4">
        <v>38</v>
      </c>
      <c r="C66" s="4" t="s">
        <v>38</v>
      </c>
      <c r="D66" s="4" t="s">
        <v>41</v>
      </c>
      <c r="E66" s="4">
        <v>1</v>
      </c>
      <c r="F66" s="4">
        <v>25500</v>
      </c>
      <c r="G66" s="4">
        <v>19675</v>
      </c>
      <c r="H66" s="4">
        <f t="shared" si="1"/>
        <v>5825</v>
      </c>
      <c r="I66" s="4" t="s">
        <v>22</v>
      </c>
      <c r="J66" s="4" t="s">
        <v>31</v>
      </c>
      <c r="K66" s="4" t="s">
        <v>21</v>
      </c>
      <c r="L66" s="4">
        <v>45000</v>
      </c>
      <c r="M66" s="4">
        <v>200</v>
      </c>
      <c r="N66" s="4" t="s">
        <v>30</v>
      </c>
      <c r="O66" s="4">
        <v>680</v>
      </c>
      <c r="P66" s="4" t="s">
        <v>30</v>
      </c>
      <c r="Q66" s="4" t="s">
        <v>30</v>
      </c>
      <c r="R66" s="4" t="s">
        <v>30</v>
      </c>
      <c r="S66" s="4" t="s">
        <v>30</v>
      </c>
      <c r="T66" s="4">
        <v>263000</v>
      </c>
      <c r="U66" s="4" t="s">
        <v>30</v>
      </c>
      <c r="V66" s="4" t="s">
        <v>30</v>
      </c>
      <c r="W66" s="4" t="s">
        <v>30</v>
      </c>
      <c r="X66" s="4" t="s">
        <v>30</v>
      </c>
    </row>
    <row r="67" spans="1:24" s="3" customFormat="1" x14ac:dyDescent="0.25">
      <c r="A67" s="3" t="s">
        <v>19</v>
      </c>
      <c r="B67" s="3">
        <v>28</v>
      </c>
      <c r="C67" s="3" t="s">
        <v>38</v>
      </c>
      <c r="D67" s="3" t="s">
        <v>40</v>
      </c>
      <c r="E67" s="3">
        <v>0</v>
      </c>
      <c r="F67" s="3">
        <v>17200</v>
      </c>
      <c r="G67" s="3">
        <v>9300</v>
      </c>
      <c r="H67" s="3">
        <f t="shared" si="1"/>
        <v>7900</v>
      </c>
      <c r="I67" s="3" t="s">
        <v>35</v>
      </c>
      <c r="J67" s="3" t="s">
        <v>51</v>
      </c>
      <c r="K67" s="3" t="s">
        <v>24</v>
      </c>
      <c r="L67" s="3">
        <v>170000</v>
      </c>
      <c r="M67" s="3">
        <v>300</v>
      </c>
      <c r="N67" s="3" t="s">
        <v>30</v>
      </c>
      <c r="O67" s="3">
        <v>675</v>
      </c>
      <c r="P67" s="3" t="s">
        <v>30</v>
      </c>
      <c r="Q67" s="3" t="s">
        <v>30</v>
      </c>
      <c r="R67" s="3" t="s">
        <v>30</v>
      </c>
      <c r="S67" s="3">
        <v>1500</v>
      </c>
      <c r="T67" s="3" t="s">
        <v>30</v>
      </c>
      <c r="U67" s="3" t="s">
        <v>30</v>
      </c>
      <c r="V67" s="3" t="s">
        <v>30</v>
      </c>
      <c r="W67" s="3">
        <v>199</v>
      </c>
      <c r="X67" s="3" t="s">
        <v>30</v>
      </c>
    </row>
    <row r="68" spans="1:24" s="2" customFormat="1" x14ac:dyDescent="0.25">
      <c r="A68" s="2" t="s">
        <v>20</v>
      </c>
      <c r="B68" s="2">
        <v>48</v>
      </c>
      <c r="C68" s="2" t="s">
        <v>37</v>
      </c>
      <c r="D68" s="2" t="s">
        <v>41</v>
      </c>
      <c r="E68" s="2">
        <v>2</v>
      </c>
      <c r="F68" s="2">
        <v>30000</v>
      </c>
      <c r="G68" s="2">
        <v>27620</v>
      </c>
      <c r="H68" s="2">
        <f t="shared" si="1"/>
        <v>2380</v>
      </c>
      <c r="I68" s="2" t="s">
        <v>32</v>
      </c>
      <c r="J68" s="2" t="s">
        <v>48</v>
      </c>
      <c r="K68" s="2" t="s">
        <v>21</v>
      </c>
      <c r="L68" s="2">
        <v>7500</v>
      </c>
      <c r="M68" s="2">
        <v>500</v>
      </c>
      <c r="N68" s="2" t="s">
        <v>30</v>
      </c>
      <c r="O68" s="2">
        <v>1295</v>
      </c>
      <c r="P68" s="2" t="s">
        <v>30</v>
      </c>
      <c r="Q68" s="2" t="s">
        <v>30</v>
      </c>
      <c r="R68" s="2" t="s">
        <v>30</v>
      </c>
      <c r="S68" s="2" t="s">
        <v>30</v>
      </c>
      <c r="T68" s="2" t="s">
        <v>30</v>
      </c>
      <c r="U68" s="2" t="s">
        <v>30</v>
      </c>
      <c r="V68" s="2" t="s">
        <v>30</v>
      </c>
      <c r="W68" s="2" t="s">
        <v>30</v>
      </c>
      <c r="X68" s="2" t="s">
        <v>30</v>
      </c>
    </row>
    <row r="69" spans="1:24" s="2" customFormat="1" x14ac:dyDescent="0.25">
      <c r="A69" s="2" t="s">
        <v>19</v>
      </c>
      <c r="B69" s="2">
        <v>35</v>
      </c>
      <c r="C69" s="2" t="s">
        <v>37</v>
      </c>
      <c r="D69" s="2" t="s">
        <v>41</v>
      </c>
      <c r="E69" s="2">
        <v>2</v>
      </c>
      <c r="F69" s="2">
        <v>8500</v>
      </c>
      <c r="G69" s="2">
        <v>8500</v>
      </c>
      <c r="H69" s="2">
        <f t="shared" si="1"/>
        <v>0</v>
      </c>
      <c r="I69" s="2" t="s">
        <v>36</v>
      </c>
      <c r="J69" s="2" t="s">
        <v>31</v>
      </c>
      <c r="K69" s="2" t="s">
        <v>21</v>
      </c>
      <c r="L69" s="2">
        <v>7500</v>
      </c>
      <c r="M69" s="2">
        <v>100</v>
      </c>
      <c r="N69" s="2" t="s">
        <v>30</v>
      </c>
      <c r="O69" s="2">
        <v>890</v>
      </c>
      <c r="P69" s="2" t="s">
        <v>30</v>
      </c>
      <c r="Q69" s="2" t="s">
        <v>30</v>
      </c>
      <c r="R69" s="2" t="s">
        <v>30</v>
      </c>
      <c r="S69" s="2">
        <v>1000</v>
      </c>
      <c r="T69" s="2" t="s">
        <v>30</v>
      </c>
      <c r="U69" s="2" t="s">
        <v>30</v>
      </c>
      <c r="V69" s="2" t="s">
        <v>30</v>
      </c>
      <c r="W69" s="2" t="s">
        <v>30</v>
      </c>
      <c r="X69" s="2" t="s">
        <v>30</v>
      </c>
    </row>
    <row r="70" spans="1:24" s="3" customFormat="1" x14ac:dyDescent="0.25">
      <c r="A70" s="3" t="s">
        <v>20</v>
      </c>
      <c r="B70" s="3">
        <v>29</v>
      </c>
      <c r="C70" s="3" t="s">
        <v>38</v>
      </c>
      <c r="D70" s="3" t="s">
        <v>40</v>
      </c>
      <c r="E70" s="3">
        <v>0</v>
      </c>
      <c r="F70" s="3">
        <v>13000</v>
      </c>
      <c r="G70" s="3">
        <v>5600</v>
      </c>
      <c r="H70" s="3">
        <f t="shared" si="1"/>
        <v>7400</v>
      </c>
      <c r="I70" s="3" t="s">
        <v>35</v>
      </c>
      <c r="J70" s="3" t="s">
        <v>51</v>
      </c>
      <c r="K70" s="3" t="s">
        <v>33</v>
      </c>
      <c r="L70" s="3">
        <v>0</v>
      </c>
      <c r="M70" s="3">
        <v>500</v>
      </c>
      <c r="N70" s="3" t="s">
        <v>30</v>
      </c>
      <c r="O70" s="3">
        <v>780</v>
      </c>
      <c r="P70" s="3" t="s">
        <v>30</v>
      </c>
      <c r="Q70" s="3" t="s">
        <v>30</v>
      </c>
      <c r="R70" s="3" t="s">
        <v>30</v>
      </c>
      <c r="S70" s="3" t="s">
        <v>30</v>
      </c>
      <c r="T70" s="3" t="s">
        <v>30</v>
      </c>
      <c r="U70" s="3" t="s">
        <v>30</v>
      </c>
      <c r="V70" s="3" t="s">
        <v>30</v>
      </c>
      <c r="W70" s="3" t="s">
        <v>30</v>
      </c>
      <c r="X70" s="3" t="s">
        <v>30</v>
      </c>
    </row>
    <row r="71" spans="1:24" s="3" customFormat="1" x14ac:dyDescent="0.25">
      <c r="A71" s="3" t="s">
        <v>19</v>
      </c>
      <c r="B71" s="3">
        <v>50</v>
      </c>
      <c r="C71" s="3" t="s">
        <v>39</v>
      </c>
      <c r="D71" s="3" t="s">
        <v>41</v>
      </c>
      <c r="E71" s="3">
        <v>1</v>
      </c>
      <c r="F71" s="3">
        <v>26000</v>
      </c>
      <c r="G71" s="3">
        <v>17000</v>
      </c>
      <c r="H71" s="3">
        <f t="shared" si="1"/>
        <v>9000</v>
      </c>
      <c r="I71" s="3" t="s">
        <v>22</v>
      </c>
      <c r="J71" s="3" t="s">
        <v>50</v>
      </c>
      <c r="K71" s="3" t="s">
        <v>21</v>
      </c>
      <c r="L71" s="3">
        <v>500000</v>
      </c>
      <c r="M71" s="3">
        <v>1000</v>
      </c>
      <c r="N71" s="3" t="s">
        <v>28</v>
      </c>
      <c r="O71" s="3">
        <v>950</v>
      </c>
      <c r="P71" s="3">
        <v>1500</v>
      </c>
      <c r="Q71" s="3" t="s">
        <v>30</v>
      </c>
      <c r="R71" s="3" t="s">
        <v>30</v>
      </c>
      <c r="S71" s="3">
        <v>100</v>
      </c>
      <c r="T71" s="3" t="s">
        <v>30</v>
      </c>
      <c r="U71" s="3" t="s">
        <v>30</v>
      </c>
      <c r="V71" s="3" t="s">
        <v>30</v>
      </c>
      <c r="W71" s="3" t="s">
        <v>30</v>
      </c>
      <c r="X71" s="3" t="s">
        <v>30</v>
      </c>
    </row>
    <row r="72" spans="1:24" s="3" customFormat="1" x14ac:dyDescent="0.25">
      <c r="A72" s="3" t="s">
        <v>20</v>
      </c>
      <c r="B72" s="3">
        <v>28</v>
      </c>
      <c r="C72" s="3" t="s">
        <v>38</v>
      </c>
      <c r="D72" s="3" t="s">
        <v>41</v>
      </c>
      <c r="E72" s="3">
        <v>0</v>
      </c>
      <c r="F72" s="3">
        <v>27000</v>
      </c>
      <c r="G72" s="3">
        <v>13700</v>
      </c>
      <c r="H72" s="3">
        <f t="shared" si="1"/>
        <v>13300</v>
      </c>
      <c r="I72" s="3" t="s">
        <v>22</v>
      </c>
      <c r="J72" s="3" t="s">
        <v>48</v>
      </c>
      <c r="K72" s="3" t="s">
        <v>33</v>
      </c>
      <c r="L72" s="3">
        <v>0</v>
      </c>
      <c r="M72" s="3" t="s">
        <v>30</v>
      </c>
      <c r="N72" s="3" t="s">
        <v>30</v>
      </c>
      <c r="O72" s="3">
        <v>558</v>
      </c>
      <c r="P72" s="3" t="s">
        <v>30</v>
      </c>
      <c r="Q72" s="3" t="s">
        <v>30</v>
      </c>
      <c r="R72" s="3" t="s">
        <v>30</v>
      </c>
      <c r="S72" s="3" t="s">
        <v>30</v>
      </c>
      <c r="T72" s="3" t="s">
        <v>30</v>
      </c>
      <c r="U72" s="3">
        <v>470000</v>
      </c>
      <c r="V72" s="3" t="s">
        <v>30</v>
      </c>
      <c r="W72" s="3" t="s">
        <v>30</v>
      </c>
      <c r="X72" s="3">
        <v>330</v>
      </c>
    </row>
    <row r="73" spans="1:24" s="3" customFormat="1" x14ac:dyDescent="0.25">
      <c r="A73" s="3" t="s">
        <v>20</v>
      </c>
      <c r="B73" s="3">
        <v>35</v>
      </c>
      <c r="C73" s="3" t="s">
        <v>39</v>
      </c>
      <c r="D73" s="3" t="s">
        <v>40</v>
      </c>
      <c r="E73" s="3">
        <v>2</v>
      </c>
      <c r="F73" s="3">
        <v>21000</v>
      </c>
      <c r="G73" s="3">
        <v>17850</v>
      </c>
      <c r="H73" s="3">
        <f t="shared" si="1"/>
        <v>3150</v>
      </c>
      <c r="I73" s="3" t="s">
        <v>22</v>
      </c>
      <c r="J73" s="3" t="s">
        <v>50</v>
      </c>
      <c r="K73" s="3" t="s">
        <v>24</v>
      </c>
      <c r="L73" s="3">
        <v>0</v>
      </c>
      <c r="M73" s="3" t="s">
        <v>30</v>
      </c>
      <c r="N73" s="3" t="s">
        <v>30</v>
      </c>
      <c r="O73" s="3" t="s">
        <v>30</v>
      </c>
      <c r="P73" s="3" t="s">
        <v>30</v>
      </c>
      <c r="Q73" s="3" t="s">
        <v>30</v>
      </c>
      <c r="R73" s="3" t="s">
        <v>30</v>
      </c>
      <c r="S73" s="3" t="s">
        <v>30</v>
      </c>
      <c r="T73" s="3" t="s">
        <v>30</v>
      </c>
      <c r="U73" s="3">
        <v>150000</v>
      </c>
      <c r="V73" s="3" t="s">
        <v>30</v>
      </c>
      <c r="W73" s="3" t="s">
        <v>30</v>
      </c>
      <c r="X73" s="3" t="s">
        <v>30</v>
      </c>
    </row>
    <row r="74" spans="1:24" s="3" customFormat="1" x14ac:dyDescent="0.25">
      <c r="A74" s="3" t="s">
        <v>19</v>
      </c>
      <c r="B74" s="3">
        <v>47</v>
      </c>
      <c r="C74" s="3" t="s">
        <v>39</v>
      </c>
      <c r="D74" s="3" t="s">
        <v>40</v>
      </c>
      <c r="E74" s="3">
        <v>2</v>
      </c>
      <c r="F74" s="3">
        <v>35000</v>
      </c>
      <c r="G74" s="3">
        <v>32000</v>
      </c>
      <c r="H74" s="3">
        <f t="shared" si="1"/>
        <v>3000</v>
      </c>
      <c r="I74" s="3" t="s">
        <v>22</v>
      </c>
      <c r="J74" s="3" t="s">
        <v>50</v>
      </c>
      <c r="K74" s="3" t="s">
        <v>21</v>
      </c>
      <c r="L74" s="3">
        <v>110000</v>
      </c>
      <c r="M74" s="3">
        <v>500</v>
      </c>
      <c r="N74" s="3" t="s">
        <v>28</v>
      </c>
      <c r="O74" s="3">
        <v>500</v>
      </c>
      <c r="P74" s="3">
        <v>1000</v>
      </c>
      <c r="Q74" s="3" t="s">
        <v>30</v>
      </c>
      <c r="R74" s="3" t="s">
        <v>30</v>
      </c>
      <c r="S74" s="3" t="s">
        <v>30</v>
      </c>
      <c r="T74" s="3" t="s">
        <v>30</v>
      </c>
      <c r="U74" s="3" t="s">
        <v>30</v>
      </c>
      <c r="V74" s="3" t="s">
        <v>30</v>
      </c>
      <c r="W74" s="3">
        <v>366</v>
      </c>
      <c r="X74" s="3" t="s">
        <v>30</v>
      </c>
    </row>
    <row r="75" spans="1:24" s="3" customFormat="1" x14ac:dyDescent="0.25">
      <c r="A75" s="3" t="s">
        <v>20</v>
      </c>
      <c r="B75" s="3">
        <v>38</v>
      </c>
      <c r="C75" s="3" t="s">
        <v>37</v>
      </c>
      <c r="D75" s="3" t="s">
        <v>41</v>
      </c>
      <c r="E75" s="3">
        <v>2</v>
      </c>
      <c r="F75" s="3">
        <v>25000</v>
      </c>
      <c r="G75" s="3">
        <v>25000</v>
      </c>
      <c r="H75" s="3">
        <f t="shared" si="1"/>
        <v>0</v>
      </c>
      <c r="I75" s="3" t="s">
        <v>34</v>
      </c>
      <c r="J75" s="3" t="s">
        <v>48</v>
      </c>
      <c r="K75" s="3" t="s">
        <v>21</v>
      </c>
      <c r="L75" s="3">
        <v>0</v>
      </c>
      <c r="M75" s="3">
        <v>200</v>
      </c>
      <c r="N75" s="3" t="s">
        <v>30</v>
      </c>
      <c r="O75" s="3">
        <v>1170</v>
      </c>
      <c r="P75" s="3">
        <v>800</v>
      </c>
      <c r="Q75" s="3" t="s">
        <v>30</v>
      </c>
      <c r="R75" s="3" t="s">
        <v>30</v>
      </c>
      <c r="S75" s="3" t="s">
        <v>30</v>
      </c>
      <c r="T75" s="3">
        <v>700000</v>
      </c>
      <c r="U75" s="3" t="s">
        <v>30</v>
      </c>
      <c r="V75" s="3" t="s">
        <v>30</v>
      </c>
      <c r="W75" s="3" t="s">
        <v>30</v>
      </c>
      <c r="X75" s="3" t="s">
        <v>30</v>
      </c>
    </row>
    <row r="76" spans="1:24" s="4" customFormat="1" x14ac:dyDescent="0.25">
      <c r="A76" s="4" t="s">
        <v>20</v>
      </c>
      <c r="B76" s="4">
        <v>29</v>
      </c>
      <c r="C76" s="4" t="s">
        <v>37</v>
      </c>
      <c r="D76" s="4" t="s">
        <v>41</v>
      </c>
      <c r="E76" s="4">
        <v>1</v>
      </c>
      <c r="F76" s="4">
        <v>23000</v>
      </c>
      <c r="G76" s="4">
        <v>10000</v>
      </c>
      <c r="H76" s="4">
        <f t="shared" si="1"/>
        <v>13000</v>
      </c>
      <c r="I76" s="4" t="s">
        <v>36</v>
      </c>
      <c r="J76" s="4" t="s">
        <v>48</v>
      </c>
      <c r="K76" s="4" t="s">
        <v>21</v>
      </c>
      <c r="L76" s="4">
        <v>30000</v>
      </c>
      <c r="M76" s="4">
        <v>300</v>
      </c>
      <c r="N76" s="4" t="s">
        <v>30</v>
      </c>
      <c r="O76" s="4">
        <v>1000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30</v>
      </c>
      <c r="W76" s="4">
        <v>350</v>
      </c>
      <c r="X76" s="4">
        <v>300</v>
      </c>
    </row>
    <row r="77" spans="1:24" s="4" customFormat="1" x14ac:dyDescent="0.25">
      <c r="A77" s="4" t="s">
        <v>19</v>
      </c>
      <c r="B77" s="4">
        <v>32</v>
      </c>
      <c r="C77" s="4" t="s">
        <v>37</v>
      </c>
      <c r="D77" s="4" t="s">
        <v>41</v>
      </c>
      <c r="E77" s="4">
        <v>1</v>
      </c>
      <c r="F77" s="4">
        <v>13000</v>
      </c>
      <c r="G77" s="4">
        <v>10000</v>
      </c>
      <c r="H77" s="4">
        <f t="shared" si="1"/>
        <v>3000</v>
      </c>
      <c r="I77" s="4" t="s">
        <v>35</v>
      </c>
      <c r="J77" s="4" t="s">
        <v>48</v>
      </c>
      <c r="K77" s="4" t="s">
        <v>21</v>
      </c>
      <c r="L77" s="4">
        <v>30000</v>
      </c>
      <c r="M77" s="4">
        <v>300</v>
      </c>
      <c r="N77" s="4" t="s">
        <v>30</v>
      </c>
      <c r="O77" s="4">
        <v>800</v>
      </c>
      <c r="P77" s="4" t="s">
        <v>30</v>
      </c>
      <c r="Q77" s="4" t="s">
        <v>30</v>
      </c>
      <c r="R77" s="4" t="s">
        <v>30</v>
      </c>
      <c r="S77" s="4">
        <v>1700</v>
      </c>
      <c r="T77" s="4" t="s">
        <v>30</v>
      </c>
      <c r="U77" s="4" t="s">
        <v>30</v>
      </c>
      <c r="V77" s="4" t="s">
        <v>30</v>
      </c>
      <c r="W77" s="4" t="s">
        <v>30</v>
      </c>
      <c r="X77" s="4" t="s">
        <v>30</v>
      </c>
    </row>
    <row r="78" spans="1:24" s="3" customFormat="1" x14ac:dyDescent="0.25">
      <c r="A78" s="3" t="s">
        <v>20</v>
      </c>
      <c r="B78" s="3">
        <v>40</v>
      </c>
      <c r="C78" s="3" t="s">
        <v>38</v>
      </c>
      <c r="D78" s="3" t="s">
        <v>41</v>
      </c>
      <c r="E78" s="3">
        <v>0</v>
      </c>
      <c r="F78" s="3">
        <v>22000</v>
      </c>
      <c r="G78" s="3">
        <v>11000</v>
      </c>
      <c r="H78" s="3">
        <f t="shared" si="1"/>
        <v>11000</v>
      </c>
      <c r="I78" s="3" t="s">
        <v>35</v>
      </c>
      <c r="J78" s="3" t="s">
        <v>44</v>
      </c>
      <c r="K78" s="3" t="s">
        <v>33</v>
      </c>
      <c r="L78" s="3">
        <v>220000</v>
      </c>
      <c r="M78" s="3">
        <v>500</v>
      </c>
      <c r="N78" s="3" t="s">
        <v>30</v>
      </c>
      <c r="O78" s="3">
        <v>620</v>
      </c>
      <c r="P78" s="3">
        <v>2000</v>
      </c>
      <c r="Q78" s="3" t="s">
        <v>30</v>
      </c>
      <c r="R78" s="3" t="s">
        <v>30</v>
      </c>
      <c r="S78" s="3" t="s">
        <v>30</v>
      </c>
      <c r="T78" s="3" t="s">
        <v>30</v>
      </c>
      <c r="U78" s="3" t="s">
        <v>30</v>
      </c>
      <c r="V78" s="3" t="s">
        <v>30</v>
      </c>
      <c r="W78" s="3">
        <v>800</v>
      </c>
      <c r="X78" s="3" t="s">
        <v>30</v>
      </c>
    </row>
    <row r="79" spans="1:24" s="2" customFormat="1" x14ac:dyDescent="0.25">
      <c r="A79" s="2" t="s">
        <v>19</v>
      </c>
      <c r="B79" s="2">
        <v>37</v>
      </c>
      <c r="C79" s="2" t="s">
        <v>37</v>
      </c>
      <c r="D79" s="2" t="s">
        <v>41</v>
      </c>
      <c r="E79" s="2">
        <v>3</v>
      </c>
      <c r="F79" s="2">
        <v>6500</v>
      </c>
      <c r="G79" s="2">
        <v>6500</v>
      </c>
      <c r="H79" s="2">
        <f t="shared" ref="H79:H90" si="2">F79-G79</f>
        <v>0</v>
      </c>
      <c r="I79" s="2" t="s">
        <v>34</v>
      </c>
      <c r="J79" s="2" t="s">
        <v>31</v>
      </c>
      <c r="K79" s="2" t="s">
        <v>21</v>
      </c>
      <c r="L79" s="2">
        <v>0</v>
      </c>
      <c r="M79" s="2">
        <v>300</v>
      </c>
      <c r="N79" s="2" t="s">
        <v>30</v>
      </c>
      <c r="O79" s="2">
        <v>310</v>
      </c>
      <c r="P79" s="2">
        <v>500</v>
      </c>
      <c r="Q79" s="2" t="s">
        <v>30</v>
      </c>
      <c r="R79" s="2" t="s">
        <v>30</v>
      </c>
      <c r="S79" s="2" t="s">
        <v>30</v>
      </c>
      <c r="T79" s="2" t="s">
        <v>30</v>
      </c>
      <c r="U79" s="2" t="s">
        <v>30</v>
      </c>
      <c r="V79" s="2" t="s">
        <v>30</v>
      </c>
      <c r="W79" s="2" t="s">
        <v>30</v>
      </c>
      <c r="X79" s="2" t="s">
        <v>30</v>
      </c>
    </row>
    <row r="80" spans="1:24" s="2" customFormat="1" x14ac:dyDescent="0.25">
      <c r="A80" s="2" t="s">
        <v>20</v>
      </c>
      <c r="B80" s="2">
        <v>36</v>
      </c>
      <c r="C80" s="2" t="s">
        <v>37</v>
      </c>
      <c r="D80" s="2" t="s">
        <v>41</v>
      </c>
      <c r="E80" s="2">
        <v>3</v>
      </c>
      <c r="F80" s="2">
        <v>18000</v>
      </c>
      <c r="G80" s="2">
        <v>14800</v>
      </c>
      <c r="H80" s="2">
        <f t="shared" si="2"/>
        <v>3200</v>
      </c>
      <c r="I80" s="2" t="s">
        <v>34</v>
      </c>
      <c r="J80" s="2" t="s">
        <v>51</v>
      </c>
      <c r="K80" s="2" t="s">
        <v>21</v>
      </c>
      <c r="L80" s="2">
        <v>0</v>
      </c>
      <c r="M80" s="2">
        <v>300</v>
      </c>
      <c r="N80" s="2" t="s">
        <v>30</v>
      </c>
      <c r="O80" s="2">
        <v>310</v>
      </c>
      <c r="P80" s="2">
        <v>500</v>
      </c>
      <c r="Q80" s="2" t="s">
        <v>30</v>
      </c>
      <c r="R80" s="2" t="s">
        <v>30</v>
      </c>
      <c r="S80" s="2" t="s">
        <v>30</v>
      </c>
      <c r="T80" s="2" t="s">
        <v>30</v>
      </c>
      <c r="U80" s="2" t="s">
        <v>30</v>
      </c>
      <c r="V80" s="2" t="s">
        <v>30</v>
      </c>
      <c r="W80" s="2" t="s">
        <v>30</v>
      </c>
      <c r="X80" s="2" t="s">
        <v>30</v>
      </c>
    </row>
    <row r="81" spans="1:24" s="4" customFormat="1" x14ac:dyDescent="0.25">
      <c r="A81" s="4" t="s">
        <v>20</v>
      </c>
      <c r="B81" s="4">
        <v>25</v>
      </c>
      <c r="C81" s="4" t="s">
        <v>37</v>
      </c>
      <c r="D81" s="4" t="s">
        <v>40</v>
      </c>
      <c r="E81" s="4">
        <v>1</v>
      </c>
      <c r="F81" s="4">
        <v>20000</v>
      </c>
      <c r="G81" s="4">
        <v>19000</v>
      </c>
      <c r="H81" s="4">
        <f t="shared" si="2"/>
        <v>1000</v>
      </c>
      <c r="I81" s="4" t="s">
        <v>22</v>
      </c>
      <c r="J81" s="4" t="s">
        <v>48</v>
      </c>
      <c r="K81" s="4" t="s">
        <v>21</v>
      </c>
      <c r="L81" s="4">
        <v>0</v>
      </c>
      <c r="M81" s="4">
        <v>100</v>
      </c>
      <c r="N81" s="4" t="s">
        <v>30</v>
      </c>
      <c r="O81" s="4">
        <v>790</v>
      </c>
      <c r="P81" s="4" t="s">
        <v>30</v>
      </c>
      <c r="Q81" s="4" t="s">
        <v>30</v>
      </c>
      <c r="R81" s="4" t="s">
        <v>30</v>
      </c>
      <c r="S81" s="4" t="s">
        <v>30</v>
      </c>
      <c r="T81" s="4">
        <v>1020000</v>
      </c>
      <c r="U81" s="4" t="s">
        <v>30</v>
      </c>
      <c r="V81" s="4" t="s">
        <v>30</v>
      </c>
      <c r="W81" s="4" t="s">
        <v>30</v>
      </c>
      <c r="X81" s="4" t="s">
        <v>30</v>
      </c>
    </row>
    <row r="82" spans="1:24" s="4" customFormat="1" x14ac:dyDescent="0.25">
      <c r="A82" s="4" t="s">
        <v>19</v>
      </c>
      <c r="B82" s="4">
        <v>29</v>
      </c>
      <c r="C82" s="4" t="s">
        <v>37</v>
      </c>
      <c r="D82" s="4" t="s">
        <v>40</v>
      </c>
      <c r="E82" s="4">
        <v>1</v>
      </c>
      <c r="F82" s="4">
        <v>15000</v>
      </c>
      <c r="G82" s="4">
        <v>15000</v>
      </c>
      <c r="H82" s="4">
        <f t="shared" si="2"/>
        <v>0</v>
      </c>
      <c r="I82" s="4" t="s">
        <v>36</v>
      </c>
      <c r="J82" s="4" t="s">
        <v>31</v>
      </c>
      <c r="K82" s="4" t="s">
        <v>21</v>
      </c>
      <c r="L82" s="4">
        <v>0</v>
      </c>
      <c r="M82" s="4">
        <v>100</v>
      </c>
      <c r="N82" s="4" t="s">
        <v>30</v>
      </c>
      <c r="O82" s="4">
        <v>940</v>
      </c>
      <c r="P82" s="4" t="s">
        <v>30</v>
      </c>
      <c r="Q82" s="4" t="s">
        <v>30</v>
      </c>
      <c r="R82" s="4" t="s">
        <v>30</v>
      </c>
      <c r="S82" s="4" t="s">
        <v>30</v>
      </c>
      <c r="T82" s="4">
        <v>1020000</v>
      </c>
      <c r="U82" s="4" t="s">
        <v>30</v>
      </c>
      <c r="V82" s="4" t="s">
        <v>30</v>
      </c>
      <c r="W82" s="4" t="s">
        <v>30</v>
      </c>
      <c r="X82" s="4" t="s">
        <v>30</v>
      </c>
    </row>
    <row r="83" spans="1:24" s="2" customFormat="1" x14ac:dyDescent="0.25">
      <c r="A83" s="2" t="s">
        <v>19</v>
      </c>
      <c r="B83" s="2">
        <v>38</v>
      </c>
      <c r="C83" s="2" t="s">
        <v>37</v>
      </c>
      <c r="D83" s="2" t="s">
        <v>41</v>
      </c>
      <c r="E83" s="2">
        <v>2</v>
      </c>
      <c r="F83" s="2">
        <v>19700</v>
      </c>
      <c r="G83" s="2">
        <v>19700</v>
      </c>
      <c r="H83" s="2">
        <f t="shared" si="2"/>
        <v>0</v>
      </c>
      <c r="I83" s="2" t="s">
        <v>22</v>
      </c>
      <c r="J83" s="2" t="s">
        <v>31</v>
      </c>
      <c r="K83" s="2" t="s">
        <v>21</v>
      </c>
      <c r="L83" s="2">
        <v>60000</v>
      </c>
      <c r="M83" s="2">
        <v>1000</v>
      </c>
      <c r="N83" s="2" t="s">
        <v>30</v>
      </c>
      <c r="O83" s="2">
        <v>565</v>
      </c>
      <c r="P83" s="2" t="s">
        <v>30</v>
      </c>
      <c r="Q83" s="2" t="s">
        <v>30</v>
      </c>
      <c r="R83" s="2" t="s">
        <v>30</v>
      </c>
      <c r="S83" s="2" t="s">
        <v>30</v>
      </c>
      <c r="T83" s="2">
        <v>625000</v>
      </c>
      <c r="U83" s="2" t="s">
        <v>30</v>
      </c>
      <c r="V83" s="2" t="s">
        <v>30</v>
      </c>
      <c r="W83" s="2" t="s">
        <v>30</v>
      </c>
      <c r="X83" s="2" t="s">
        <v>30</v>
      </c>
    </row>
    <row r="84" spans="1:24" s="2" customFormat="1" x14ac:dyDescent="0.25">
      <c r="A84" s="2" t="s">
        <v>20</v>
      </c>
      <c r="B84" s="2">
        <v>37</v>
      </c>
      <c r="C84" s="2" t="s">
        <v>37</v>
      </c>
      <c r="D84" s="2" t="s">
        <v>41</v>
      </c>
      <c r="E84" s="2">
        <v>2</v>
      </c>
      <c r="F84" s="2">
        <v>39500</v>
      </c>
      <c r="G84" s="2">
        <v>28300</v>
      </c>
      <c r="H84" s="2">
        <f t="shared" si="2"/>
        <v>11200</v>
      </c>
      <c r="I84" s="2" t="s">
        <v>22</v>
      </c>
      <c r="J84" s="2" t="s">
        <v>45</v>
      </c>
      <c r="K84" s="2" t="s">
        <v>21</v>
      </c>
      <c r="L84" s="2">
        <v>60000</v>
      </c>
      <c r="M84" s="2">
        <v>1000</v>
      </c>
      <c r="N84" s="2" t="s">
        <v>28</v>
      </c>
      <c r="O84" s="2">
        <v>1455</v>
      </c>
      <c r="P84" s="2">
        <v>5000</v>
      </c>
      <c r="Q84" s="2" t="s">
        <v>30</v>
      </c>
      <c r="R84" s="2" t="s">
        <v>30</v>
      </c>
      <c r="S84" s="2" t="s">
        <v>30</v>
      </c>
      <c r="T84" s="2">
        <v>625000</v>
      </c>
      <c r="U84" s="2" t="s">
        <v>30</v>
      </c>
      <c r="V84" s="2" t="s">
        <v>30</v>
      </c>
      <c r="W84" s="2" t="s">
        <v>30</v>
      </c>
      <c r="X84" s="2" t="s">
        <v>30</v>
      </c>
    </row>
    <row r="85" spans="1:24" s="3" customFormat="1" x14ac:dyDescent="0.25">
      <c r="A85" s="3" t="s">
        <v>20</v>
      </c>
      <c r="B85" s="3">
        <v>26</v>
      </c>
      <c r="C85" s="3" t="s">
        <v>38</v>
      </c>
      <c r="D85" s="3" t="s">
        <v>40</v>
      </c>
      <c r="E85" s="3">
        <v>1</v>
      </c>
      <c r="F85" s="3">
        <v>27500</v>
      </c>
      <c r="G85" s="3">
        <v>12100</v>
      </c>
      <c r="H85" s="3">
        <f t="shared" si="2"/>
        <v>15400</v>
      </c>
      <c r="I85" s="3" t="s">
        <v>22</v>
      </c>
      <c r="J85" s="3" t="s">
        <v>48</v>
      </c>
      <c r="K85" s="3" t="s">
        <v>26</v>
      </c>
      <c r="L85" s="3">
        <v>20000</v>
      </c>
      <c r="M85" s="3">
        <v>300</v>
      </c>
      <c r="N85" s="3" t="s">
        <v>30</v>
      </c>
      <c r="O85" s="3">
        <v>770</v>
      </c>
      <c r="P85" s="3" t="s">
        <v>30</v>
      </c>
      <c r="Q85" s="3" t="s">
        <v>30</v>
      </c>
      <c r="R85" s="3" t="s">
        <v>30</v>
      </c>
      <c r="S85" s="3" t="s">
        <v>30</v>
      </c>
      <c r="T85" s="3">
        <v>1110000</v>
      </c>
      <c r="U85" s="3" t="s">
        <v>30</v>
      </c>
      <c r="V85" s="3" t="s">
        <v>30</v>
      </c>
      <c r="W85" s="3">
        <v>120</v>
      </c>
      <c r="X85" s="3" t="s">
        <v>30</v>
      </c>
    </row>
    <row r="86" spans="1:24" s="2" customFormat="1" x14ac:dyDescent="0.25">
      <c r="A86" s="2" t="s">
        <v>20</v>
      </c>
      <c r="B86" s="2">
        <v>47</v>
      </c>
      <c r="C86" s="2" t="s">
        <v>37</v>
      </c>
      <c r="D86" s="2" t="s">
        <v>41</v>
      </c>
      <c r="E86" s="2">
        <v>1</v>
      </c>
      <c r="F86" s="2">
        <v>35000</v>
      </c>
      <c r="G86" s="2">
        <v>13000</v>
      </c>
      <c r="H86" s="2">
        <f t="shared" si="2"/>
        <v>22000</v>
      </c>
      <c r="I86" s="2" t="s">
        <v>22</v>
      </c>
      <c r="J86" s="2" t="s">
        <v>48</v>
      </c>
      <c r="K86" s="2" t="s">
        <v>21</v>
      </c>
      <c r="L86" s="2">
        <v>75000</v>
      </c>
      <c r="M86" s="2">
        <v>1000</v>
      </c>
      <c r="N86" s="2" t="s">
        <v>30</v>
      </c>
      <c r="O86" s="2">
        <v>400</v>
      </c>
      <c r="P86" s="2">
        <v>2000</v>
      </c>
      <c r="Q86" s="2" t="s">
        <v>30</v>
      </c>
      <c r="R86" s="2" t="s">
        <v>30</v>
      </c>
      <c r="S86" s="2">
        <v>1000</v>
      </c>
      <c r="T86" s="2" t="s">
        <v>30</v>
      </c>
      <c r="U86" s="2" t="s">
        <v>30</v>
      </c>
      <c r="V86" s="2" t="s">
        <v>30</v>
      </c>
      <c r="W86" s="2">
        <v>216</v>
      </c>
      <c r="X86" s="2" t="s">
        <v>30</v>
      </c>
    </row>
    <row r="87" spans="1:24" s="2" customFormat="1" x14ac:dyDescent="0.25">
      <c r="A87" s="2" t="s">
        <v>19</v>
      </c>
      <c r="B87" s="2">
        <v>46</v>
      </c>
      <c r="C87" s="2" t="s">
        <v>37</v>
      </c>
      <c r="D87" s="2" t="s">
        <v>41</v>
      </c>
      <c r="E87" s="2">
        <v>1</v>
      </c>
      <c r="F87" s="2">
        <v>19000</v>
      </c>
      <c r="G87" s="2">
        <v>13000</v>
      </c>
      <c r="H87" s="2">
        <f t="shared" si="2"/>
        <v>6000</v>
      </c>
      <c r="I87" s="2" t="s">
        <v>22</v>
      </c>
      <c r="J87" s="2" t="s">
        <v>50</v>
      </c>
      <c r="K87" s="2" t="s">
        <v>21</v>
      </c>
      <c r="L87" s="2">
        <v>75000</v>
      </c>
      <c r="M87" s="2">
        <v>1000</v>
      </c>
      <c r="N87" s="2" t="s">
        <v>30</v>
      </c>
      <c r="O87" s="2">
        <v>800</v>
      </c>
      <c r="P87" s="2" t="s">
        <v>30</v>
      </c>
      <c r="Q87" s="2" t="s">
        <v>30</v>
      </c>
      <c r="R87" s="2" t="s">
        <v>30</v>
      </c>
      <c r="S87" s="2">
        <v>1700</v>
      </c>
      <c r="T87" s="2" t="s">
        <v>30</v>
      </c>
      <c r="U87" s="2" t="s">
        <v>30</v>
      </c>
      <c r="V87" s="2" t="s">
        <v>30</v>
      </c>
      <c r="W87" s="2" t="s">
        <v>30</v>
      </c>
      <c r="X87" s="2" t="s">
        <v>30</v>
      </c>
    </row>
    <row r="88" spans="1:24" s="3" customFormat="1" x14ac:dyDescent="0.25">
      <c r="A88" s="3" t="s">
        <v>19</v>
      </c>
      <c r="B88" s="3">
        <v>42</v>
      </c>
      <c r="C88" s="3" t="s">
        <v>38</v>
      </c>
      <c r="D88" s="3" t="s">
        <v>41</v>
      </c>
      <c r="E88" s="3">
        <v>0</v>
      </c>
      <c r="F88" s="3">
        <v>28000</v>
      </c>
      <c r="G88" s="3">
        <v>17300</v>
      </c>
      <c r="H88" s="3">
        <f t="shared" si="2"/>
        <v>10700</v>
      </c>
      <c r="I88" s="3" t="s">
        <v>35</v>
      </c>
      <c r="J88" s="3" t="s">
        <v>51</v>
      </c>
      <c r="K88" s="3" t="s">
        <v>21</v>
      </c>
      <c r="L88" s="3">
        <v>60000</v>
      </c>
      <c r="M88" s="3">
        <v>2000</v>
      </c>
      <c r="N88" s="3" t="s">
        <v>30</v>
      </c>
      <c r="O88" s="3">
        <v>1400</v>
      </c>
      <c r="P88" s="3">
        <v>500</v>
      </c>
      <c r="Q88" s="3" t="s">
        <v>30</v>
      </c>
      <c r="R88" s="3" t="s">
        <v>30</v>
      </c>
      <c r="S88" s="3" t="s">
        <v>30</v>
      </c>
      <c r="T88" s="3">
        <v>1500000</v>
      </c>
      <c r="U88" s="3" t="s">
        <v>30</v>
      </c>
      <c r="V88" s="3" t="s">
        <v>30</v>
      </c>
      <c r="W88" s="3">
        <v>800</v>
      </c>
      <c r="X88" s="3">
        <v>330</v>
      </c>
    </row>
    <row r="89" spans="1:24" s="3" customFormat="1" x14ac:dyDescent="0.25">
      <c r="A89" s="3" t="s">
        <v>20</v>
      </c>
      <c r="B89" s="3">
        <v>29</v>
      </c>
      <c r="C89" s="3" t="s">
        <v>38</v>
      </c>
      <c r="D89" s="3" t="s">
        <v>40</v>
      </c>
      <c r="E89" s="3">
        <v>0</v>
      </c>
      <c r="F89" s="3">
        <v>30000</v>
      </c>
      <c r="G89" s="3">
        <v>20000</v>
      </c>
      <c r="H89" s="3">
        <f t="shared" si="2"/>
        <v>10000</v>
      </c>
      <c r="I89" s="3" t="s">
        <v>22</v>
      </c>
      <c r="J89" s="3" t="s">
        <v>50</v>
      </c>
      <c r="K89" s="3" t="s">
        <v>26</v>
      </c>
      <c r="L89" s="3">
        <v>20000</v>
      </c>
      <c r="M89" s="3">
        <v>300</v>
      </c>
      <c r="N89" s="3" t="s">
        <v>30</v>
      </c>
      <c r="O89" s="3">
        <v>700</v>
      </c>
      <c r="P89" s="3">
        <v>500</v>
      </c>
      <c r="Q89" s="3" t="s">
        <v>30</v>
      </c>
      <c r="R89" s="3" t="s">
        <v>30</v>
      </c>
      <c r="S89" s="3" t="s">
        <v>30</v>
      </c>
      <c r="T89" s="3" t="s">
        <v>30</v>
      </c>
      <c r="U89" s="3" t="s">
        <v>30</v>
      </c>
      <c r="V89" s="3" t="s">
        <v>30</v>
      </c>
      <c r="W89" s="3" t="s">
        <v>30</v>
      </c>
      <c r="X89" s="3" t="s">
        <v>30</v>
      </c>
    </row>
    <row r="90" spans="1:24" s="3" customFormat="1" x14ac:dyDescent="0.25">
      <c r="A90" s="3" t="s">
        <v>20</v>
      </c>
      <c r="B90" s="3">
        <v>24</v>
      </c>
      <c r="C90" s="3" t="s">
        <v>38</v>
      </c>
      <c r="D90" s="3" t="s">
        <v>40</v>
      </c>
      <c r="E90" s="3">
        <v>0</v>
      </c>
      <c r="F90" s="3">
        <v>18000</v>
      </c>
      <c r="G90" s="3">
        <v>12000</v>
      </c>
      <c r="H90" s="3">
        <f t="shared" si="2"/>
        <v>6000</v>
      </c>
      <c r="I90" s="3" t="s">
        <v>36</v>
      </c>
      <c r="J90" s="3" t="s">
        <v>44</v>
      </c>
      <c r="K90" s="3" t="s">
        <v>24</v>
      </c>
      <c r="L90" s="3">
        <v>250000</v>
      </c>
      <c r="M90" s="3">
        <v>300</v>
      </c>
      <c r="N90" s="3" t="s">
        <v>30</v>
      </c>
      <c r="O90" s="3" t="s">
        <v>30</v>
      </c>
      <c r="P90" s="3">
        <v>2500</v>
      </c>
      <c r="Q90" s="3">
        <v>100000</v>
      </c>
      <c r="R90" s="3" t="s">
        <v>30</v>
      </c>
      <c r="S90" s="3">
        <v>500</v>
      </c>
      <c r="T90" s="3" t="s">
        <v>30</v>
      </c>
      <c r="U90" s="3" t="s">
        <v>30</v>
      </c>
      <c r="V90" s="3" t="s">
        <v>30</v>
      </c>
      <c r="W90" s="3" t="s">
        <v>30</v>
      </c>
      <c r="X90" s="3" t="s">
        <v>30</v>
      </c>
    </row>
    <row r="91" spans="1:24" s="2" customFormat="1" x14ac:dyDescent="0.25">
      <c r="A91" s="2" t="s">
        <v>19</v>
      </c>
      <c r="B91" s="2">
        <v>29</v>
      </c>
      <c r="C91" s="2" t="s">
        <v>37</v>
      </c>
      <c r="D91" s="2" t="s">
        <v>41</v>
      </c>
      <c r="E91" s="2">
        <v>2</v>
      </c>
      <c r="F91" s="2">
        <v>35000</v>
      </c>
      <c r="G91" s="2">
        <v>32000</v>
      </c>
      <c r="H91" s="2">
        <v>19000</v>
      </c>
      <c r="I91" s="2" t="s">
        <v>22</v>
      </c>
      <c r="J91" s="2" t="s">
        <v>44</v>
      </c>
      <c r="K91" s="2" t="s">
        <v>21</v>
      </c>
      <c r="L91" s="2">
        <v>40000</v>
      </c>
      <c r="M91" s="2">
        <v>300</v>
      </c>
      <c r="N91" s="2" t="s">
        <v>30</v>
      </c>
      <c r="O91" s="2">
        <v>2000</v>
      </c>
      <c r="P91" s="2">
        <v>5000</v>
      </c>
      <c r="Q91" s="2" t="s">
        <v>30</v>
      </c>
      <c r="R91" s="2" t="s">
        <v>30</v>
      </c>
      <c r="S91" s="2" t="s">
        <v>30</v>
      </c>
      <c r="T91" s="2">
        <v>572500</v>
      </c>
      <c r="U91" s="2" t="s">
        <v>30</v>
      </c>
      <c r="V91" s="2" t="s">
        <v>30</v>
      </c>
      <c r="W91" s="2">
        <v>385</v>
      </c>
      <c r="X91" s="2" t="s">
        <v>30</v>
      </c>
    </row>
    <row r="92" spans="1:24" s="2" customFormat="1" x14ac:dyDescent="0.25">
      <c r="A92" s="2" t="s">
        <v>20</v>
      </c>
      <c r="B92" s="2">
        <v>40</v>
      </c>
      <c r="C92" s="2" t="s">
        <v>37</v>
      </c>
      <c r="D92" s="2" t="s">
        <v>41</v>
      </c>
      <c r="E92" s="2">
        <v>2</v>
      </c>
      <c r="F92" s="2">
        <v>20000</v>
      </c>
      <c r="G92" s="2">
        <v>32000</v>
      </c>
      <c r="H92" s="2">
        <v>19000</v>
      </c>
      <c r="I92" s="2" t="s">
        <v>22</v>
      </c>
      <c r="J92" s="2" t="s">
        <v>48</v>
      </c>
      <c r="K92" s="2" t="s">
        <v>21</v>
      </c>
      <c r="L92" s="2">
        <v>40000</v>
      </c>
      <c r="M92" s="2" t="s">
        <v>30</v>
      </c>
      <c r="N92" s="2" t="s">
        <v>30</v>
      </c>
      <c r="O92" s="2">
        <v>895</v>
      </c>
      <c r="P92" s="2" t="s">
        <v>30</v>
      </c>
      <c r="Q92" s="2" t="s">
        <v>30</v>
      </c>
      <c r="R92" s="2" t="s">
        <v>30</v>
      </c>
      <c r="S92" s="2" t="s">
        <v>30</v>
      </c>
      <c r="T92" s="2">
        <v>572500</v>
      </c>
      <c r="U92" s="2" t="s">
        <v>30</v>
      </c>
      <c r="V92" s="2" t="s">
        <v>30</v>
      </c>
      <c r="W92" s="2" t="s">
        <v>30</v>
      </c>
      <c r="X92" s="2" t="s">
        <v>30</v>
      </c>
    </row>
    <row r="93" spans="1:24" x14ac:dyDescent="0.25">
      <c r="A93" s="1" t="s">
        <v>20</v>
      </c>
      <c r="B93" s="1">
        <v>28</v>
      </c>
      <c r="C93" s="1" t="s">
        <v>38</v>
      </c>
      <c r="D93" s="1" t="s">
        <v>23</v>
      </c>
      <c r="E93" s="1">
        <v>0</v>
      </c>
      <c r="F93" s="1">
        <v>15000</v>
      </c>
      <c r="G93" s="1">
        <v>14000</v>
      </c>
      <c r="H93" s="1">
        <v>1000</v>
      </c>
      <c r="I93" s="1" t="s">
        <v>36</v>
      </c>
      <c r="J93" s="1" t="s">
        <v>48</v>
      </c>
      <c r="K93" s="1" t="s">
        <v>24</v>
      </c>
      <c r="L93" s="1">
        <v>0</v>
      </c>
      <c r="M93" s="1" t="s">
        <v>30</v>
      </c>
      <c r="N93" s="1" t="s">
        <v>30</v>
      </c>
      <c r="O93" s="1">
        <v>850</v>
      </c>
      <c r="P93" s="1" t="s">
        <v>30</v>
      </c>
      <c r="Q93" s="1" t="s">
        <v>30</v>
      </c>
      <c r="R93" s="1" t="s">
        <v>30</v>
      </c>
      <c r="S93" s="1" t="s">
        <v>30</v>
      </c>
      <c r="T93" s="1" t="s">
        <v>30</v>
      </c>
      <c r="U93" s="1" t="s">
        <v>30</v>
      </c>
      <c r="V93" s="1" t="s">
        <v>30</v>
      </c>
      <c r="W93" s="1" t="s">
        <v>30</v>
      </c>
      <c r="X93" s="1">
        <v>180</v>
      </c>
    </row>
    <row r="94" spans="1:24" x14ac:dyDescent="0.25">
      <c r="A94" s="1" t="s">
        <v>19</v>
      </c>
      <c r="B94" s="1">
        <v>27</v>
      </c>
      <c r="C94" s="1" t="s">
        <v>38</v>
      </c>
      <c r="D94" s="1" t="s">
        <v>41</v>
      </c>
      <c r="E94" s="1">
        <v>1</v>
      </c>
      <c r="F94" s="1">
        <v>14000</v>
      </c>
      <c r="G94" s="1">
        <v>14000</v>
      </c>
      <c r="H94" s="1">
        <v>0</v>
      </c>
      <c r="I94" s="1" t="s">
        <v>22</v>
      </c>
      <c r="J94" s="1" t="s">
        <v>48</v>
      </c>
      <c r="K94" s="1" t="s">
        <v>24</v>
      </c>
      <c r="L94" s="1">
        <v>0</v>
      </c>
      <c r="M94" s="1">
        <v>300</v>
      </c>
      <c r="N94" s="1" t="s">
        <v>30</v>
      </c>
      <c r="O94" s="1" t="s">
        <v>30</v>
      </c>
      <c r="P94" s="1">
        <v>100</v>
      </c>
      <c r="Q94" s="1" t="s">
        <v>30</v>
      </c>
      <c r="R94" s="1" t="s">
        <v>30</v>
      </c>
      <c r="S94" s="1" t="s">
        <v>30</v>
      </c>
      <c r="T94" s="1" t="s">
        <v>30</v>
      </c>
      <c r="U94" s="1">
        <v>240000</v>
      </c>
      <c r="V94" s="1" t="s">
        <v>30</v>
      </c>
      <c r="W94" s="1" t="s">
        <v>30</v>
      </c>
      <c r="X94" s="1" t="s">
        <v>30</v>
      </c>
    </row>
    <row r="95" spans="1:24" x14ac:dyDescent="0.25">
      <c r="A95" s="1" t="s">
        <v>20</v>
      </c>
      <c r="B95" s="1">
        <v>26</v>
      </c>
      <c r="C95" s="1" t="s">
        <v>38</v>
      </c>
      <c r="D95" s="1" t="s">
        <v>23</v>
      </c>
      <c r="E95" s="1">
        <v>0</v>
      </c>
      <c r="F95" s="1">
        <v>24000</v>
      </c>
      <c r="G95" s="1">
        <v>17550</v>
      </c>
      <c r="H95" s="1">
        <f>F95-G95</f>
        <v>6450</v>
      </c>
      <c r="I95" s="1" t="s">
        <v>22</v>
      </c>
      <c r="J95" s="1" t="s">
        <v>48</v>
      </c>
      <c r="K95" s="1" t="s">
        <v>21</v>
      </c>
      <c r="L95" s="1">
        <v>80000</v>
      </c>
      <c r="M95" s="1">
        <v>350</v>
      </c>
      <c r="N95" s="1" t="s">
        <v>30</v>
      </c>
      <c r="O95" s="1">
        <v>1100</v>
      </c>
      <c r="P95" s="1">
        <v>1000</v>
      </c>
      <c r="Q95" s="1" t="s">
        <v>30</v>
      </c>
      <c r="R95" s="1" t="s">
        <v>30</v>
      </c>
      <c r="S95" s="1" t="s">
        <v>30</v>
      </c>
      <c r="T95" s="1" t="s">
        <v>30</v>
      </c>
      <c r="U95" s="1" t="s">
        <v>30</v>
      </c>
      <c r="V95" s="1" t="s">
        <v>30</v>
      </c>
      <c r="W95" s="1">
        <v>100</v>
      </c>
      <c r="X95" s="1">
        <v>460</v>
      </c>
    </row>
    <row r="96" spans="1:24" x14ac:dyDescent="0.25">
      <c r="A96" s="1" t="s">
        <v>19</v>
      </c>
      <c r="B96" s="1">
        <v>36</v>
      </c>
      <c r="C96" s="1" t="s">
        <v>38</v>
      </c>
      <c r="D96" s="1" t="s">
        <v>41</v>
      </c>
      <c r="E96" s="1">
        <v>1</v>
      </c>
      <c r="F96" s="1">
        <v>17000</v>
      </c>
      <c r="G96" s="1">
        <v>16000</v>
      </c>
      <c r="H96" s="1">
        <f t="shared" ref="H96:H129" si="3">F96-G96</f>
        <v>1000</v>
      </c>
      <c r="I96" s="1" t="s">
        <v>22</v>
      </c>
      <c r="J96" s="1" t="s">
        <v>48</v>
      </c>
      <c r="K96" s="1" t="s">
        <v>24</v>
      </c>
      <c r="L96" s="1">
        <v>0</v>
      </c>
      <c r="M96" s="1">
        <v>350</v>
      </c>
      <c r="N96" s="1" t="s">
        <v>30</v>
      </c>
      <c r="O96" s="1">
        <v>800</v>
      </c>
      <c r="P96" s="1" t="s">
        <v>30</v>
      </c>
      <c r="Q96" s="1" t="s">
        <v>30</v>
      </c>
      <c r="R96" s="1" t="s">
        <v>30</v>
      </c>
      <c r="S96" s="1" t="s">
        <v>30</v>
      </c>
      <c r="T96" s="1" t="s">
        <v>30</v>
      </c>
      <c r="U96" s="1" t="s">
        <v>30</v>
      </c>
      <c r="V96" s="1" t="s">
        <v>30</v>
      </c>
      <c r="W96" s="1">
        <v>50</v>
      </c>
      <c r="X96" s="1" t="s">
        <v>30</v>
      </c>
    </row>
    <row r="97" spans="1:24" x14ac:dyDescent="0.25">
      <c r="A97" s="1" t="s">
        <v>20</v>
      </c>
      <c r="B97" s="1">
        <v>24</v>
      </c>
      <c r="C97" s="1" t="s">
        <v>38</v>
      </c>
      <c r="D97" s="1" t="s">
        <v>40</v>
      </c>
      <c r="E97" s="1">
        <v>0</v>
      </c>
      <c r="F97" s="1">
        <v>22000</v>
      </c>
      <c r="G97" s="1">
        <v>15000</v>
      </c>
      <c r="H97" s="1">
        <f t="shared" si="3"/>
        <v>7000</v>
      </c>
      <c r="I97" s="1" t="s">
        <v>22</v>
      </c>
      <c r="J97" s="1" t="s">
        <v>44</v>
      </c>
      <c r="K97" s="1" t="s">
        <v>33</v>
      </c>
      <c r="L97" s="1">
        <v>30000</v>
      </c>
      <c r="M97" s="1" t="s">
        <v>30</v>
      </c>
      <c r="N97" s="1" t="s">
        <v>30</v>
      </c>
      <c r="O97" s="1">
        <v>700</v>
      </c>
      <c r="P97" s="1">
        <v>4000</v>
      </c>
      <c r="Q97" s="1" t="s">
        <v>30</v>
      </c>
      <c r="R97" s="1" t="s">
        <v>30</v>
      </c>
      <c r="S97" s="1" t="s">
        <v>30</v>
      </c>
      <c r="T97" s="1" t="s">
        <v>30</v>
      </c>
      <c r="U97" s="1" t="s">
        <v>30</v>
      </c>
      <c r="V97" s="1" t="s">
        <v>30</v>
      </c>
      <c r="W97" s="1" t="s">
        <v>30</v>
      </c>
      <c r="X97" s="1" t="s">
        <v>30</v>
      </c>
    </row>
    <row r="98" spans="1:24" x14ac:dyDescent="0.25">
      <c r="A98" s="1" t="s">
        <v>20</v>
      </c>
      <c r="B98" s="1">
        <v>26</v>
      </c>
      <c r="C98" s="1" t="s">
        <v>38</v>
      </c>
      <c r="D98" s="1" t="s">
        <v>23</v>
      </c>
      <c r="E98" s="1">
        <v>0</v>
      </c>
      <c r="F98" s="1">
        <v>21000</v>
      </c>
      <c r="G98" s="1">
        <v>15000</v>
      </c>
      <c r="H98" s="1">
        <f t="shared" si="3"/>
        <v>6000</v>
      </c>
      <c r="I98" s="1" t="s">
        <v>36</v>
      </c>
      <c r="J98" s="1" t="s">
        <v>48</v>
      </c>
      <c r="K98" s="1" t="s">
        <v>33</v>
      </c>
      <c r="L98" s="1">
        <v>100000</v>
      </c>
      <c r="M98" s="1">
        <v>350</v>
      </c>
      <c r="N98" s="1" t="s">
        <v>30</v>
      </c>
      <c r="O98" s="1">
        <v>800</v>
      </c>
      <c r="P98" s="1" t="s">
        <v>30</v>
      </c>
      <c r="Q98" s="1" t="s">
        <v>30</v>
      </c>
      <c r="R98" s="1" t="s">
        <v>30</v>
      </c>
      <c r="S98" s="1">
        <v>2500</v>
      </c>
      <c r="T98" s="1" t="s">
        <v>30</v>
      </c>
      <c r="U98" s="1" t="s">
        <v>30</v>
      </c>
      <c r="V98" s="1" t="s">
        <v>30</v>
      </c>
      <c r="W98" s="1">
        <v>80</v>
      </c>
      <c r="X98" s="1">
        <v>390</v>
      </c>
    </row>
    <row r="99" spans="1:24" s="2" customFormat="1" x14ac:dyDescent="0.25">
      <c r="A99" s="2" t="s">
        <v>20</v>
      </c>
      <c r="B99" s="2">
        <v>52</v>
      </c>
      <c r="C99" s="2" t="s">
        <v>37</v>
      </c>
      <c r="D99" s="2" t="s">
        <v>23</v>
      </c>
      <c r="E99" s="2">
        <v>2</v>
      </c>
      <c r="F99" s="2">
        <v>28000</v>
      </c>
      <c r="G99" s="2">
        <v>28000</v>
      </c>
      <c r="H99" s="2">
        <f t="shared" si="3"/>
        <v>0</v>
      </c>
      <c r="I99" s="2" t="s">
        <v>34</v>
      </c>
      <c r="J99" s="2" t="s">
        <v>44</v>
      </c>
      <c r="K99" s="2" t="s">
        <v>21</v>
      </c>
      <c r="L99" s="2">
        <v>350000</v>
      </c>
      <c r="M99" s="2" t="s">
        <v>30</v>
      </c>
      <c r="N99" s="2" t="s">
        <v>30</v>
      </c>
      <c r="O99" s="2" t="s">
        <v>30</v>
      </c>
      <c r="P99" s="2" t="s">
        <v>30</v>
      </c>
      <c r="Q99" s="2" t="s">
        <v>30</v>
      </c>
      <c r="R99" s="2">
        <v>1500000</v>
      </c>
      <c r="S99" s="2" t="s">
        <v>30</v>
      </c>
      <c r="T99" s="2" t="s">
        <v>30</v>
      </c>
      <c r="U99" s="2">
        <v>125000</v>
      </c>
      <c r="V99" s="2" t="s">
        <v>30</v>
      </c>
      <c r="W99" s="2">
        <v>450</v>
      </c>
      <c r="X99" s="2">
        <v>1700</v>
      </c>
    </row>
    <row r="100" spans="1:24" s="2" customFormat="1" x14ac:dyDescent="0.25">
      <c r="A100" s="2" t="s">
        <v>19</v>
      </c>
      <c r="B100" s="2">
        <v>49</v>
      </c>
      <c r="C100" s="2" t="s">
        <v>37</v>
      </c>
      <c r="D100" s="2" t="s">
        <v>23</v>
      </c>
      <c r="E100" s="2">
        <v>2</v>
      </c>
      <c r="F100" s="2">
        <v>28000</v>
      </c>
      <c r="G100" s="2">
        <v>28000</v>
      </c>
      <c r="H100" s="2">
        <f t="shared" si="3"/>
        <v>0</v>
      </c>
      <c r="I100" s="2" t="s">
        <v>22</v>
      </c>
      <c r="J100" s="2" t="s">
        <v>44</v>
      </c>
      <c r="K100" s="2" t="s">
        <v>21</v>
      </c>
      <c r="L100" s="2">
        <v>350000</v>
      </c>
      <c r="M100" s="2">
        <v>1500</v>
      </c>
      <c r="N100" s="2" t="s">
        <v>30</v>
      </c>
      <c r="O100" s="2" t="s">
        <v>30</v>
      </c>
      <c r="P100" s="2" t="s">
        <v>30</v>
      </c>
      <c r="Q100" s="2" t="s">
        <v>30</v>
      </c>
      <c r="R100" s="2">
        <v>1500000</v>
      </c>
      <c r="S100" s="2" t="s">
        <v>30</v>
      </c>
      <c r="T100" s="2" t="s">
        <v>30</v>
      </c>
      <c r="U100" s="2">
        <v>125000</v>
      </c>
      <c r="V100" s="2" t="s">
        <v>30</v>
      </c>
      <c r="W100" s="2" t="s">
        <v>30</v>
      </c>
      <c r="X100" s="2" t="s">
        <v>30</v>
      </c>
    </row>
    <row r="101" spans="1:24" s="4" customFormat="1" x14ac:dyDescent="0.25">
      <c r="A101" s="4" t="s">
        <v>20</v>
      </c>
      <c r="B101" s="4">
        <v>27</v>
      </c>
      <c r="C101" s="4" t="s">
        <v>37</v>
      </c>
      <c r="D101" s="4" t="s">
        <v>41</v>
      </c>
      <c r="E101" s="4">
        <v>1</v>
      </c>
      <c r="F101" s="4">
        <v>24000</v>
      </c>
      <c r="G101" s="4">
        <v>16900</v>
      </c>
      <c r="H101" s="4">
        <f t="shared" si="3"/>
        <v>7100</v>
      </c>
      <c r="I101" s="4" t="s">
        <v>35</v>
      </c>
      <c r="J101" s="4" t="s">
        <v>51</v>
      </c>
      <c r="K101" s="4" t="s">
        <v>26</v>
      </c>
      <c r="L101" s="4">
        <v>200000</v>
      </c>
      <c r="M101" s="4">
        <v>300</v>
      </c>
      <c r="N101" s="4" t="s">
        <v>30</v>
      </c>
      <c r="O101" s="4">
        <v>1875</v>
      </c>
      <c r="P101" s="4">
        <v>500</v>
      </c>
      <c r="Q101" s="4">
        <v>20000</v>
      </c>
      <c r="R101" s="4">
        <v>750000</v>
      </c>
      <c r="S101" s="4" t="s">
        <v>30</v>
      </c>
      <c r="T101" s="4" t="s">
        <v>30</v>
      </c>
      <c r="U101" s="4" t="s">
        <v>30</v>
      </c>
      <c r="V101" s="4" t="s">
        <v>30</v>
      </c>
      <c r="W101" s="4">
        <v>131</v>
      </c>
      <c r="X101" s="4">
        <v>175</v>
      </c>
    </row>
    <row r="102" spans="1:24" s="4" customFormat="1" x14ac:dyDescent="0.25">
      <c r="A102" s="4" t="s">
        <v>19</v>
      </c>
      <c r="B102" s="4">
        <v>27</v>
      </c>
      <c r="C102" s="4" t="s">
        <v>37</v>
      </c>
      <c r="D102" s="4" t="s">
        <v>41</v>
      </c>
      <c r="E102" s="4">
        <v>1</v>
      </c>
      <c r="F102" s="4">
        <v>7600</v>
      </c>
      <c r="G102" s="4">
        <v>7600</v>
      </c>
      <c r="H102" s="4">
        <f t="shared" si="3"/>
        <v>0</v>
      </c>
      <c r="I102" s="4" t="s">
        <v>35</v>
      </c>
      <c r="J102" s="4" t="s">
        <v>31</v>
      </c>
      <c r="K102" s="4" t="s">
        <v>26</v>
      </c>
      <c r="L102" s="4">
        <v>200000</v>
      </c>
      <c r="M102" s="4">
        <v>300</v>
      </c>
      <c r="N102" s="4" t="s">
        <v>30</v>
      </c>
      <c r="O102" s="4">
        <v>1500</v>
      </c>
      <c r="P102" s="4" t="s">
        <v>30</v>
      </c>
      <c r="Q102" s="4" t="s">
        <v>30</v>
      </c>
      <c r="R102" s="4">
        <v>750000</v>
      </c>
      <c r="S102" s="4" t="s">
        <v>30</v>
      </c>
      <c r="T102" s="4" t="s">
        <v>30</v>
      </c>
      <c r="U102" s="4" t="s">
        <v>30</v>
      </c>
      <c r="V102" s="4" t="s">
        <v>30</v>
      </c>
      <c r="W102" s="4" t="s">
        <v>30</v>
      </c>
      <c r="X102" s="4" t="s">
        <v>30</v>
      </c>
    </row>
    <row r="103" spans="1:24" s="2" customFormat="1" x14ac:dyDescent="0.25">
      <c r="A103" s="2" t="s">
        <v>20</v>
      </c>
      <c r="B103" s="2">
        <v>34</v>
      </c>
      <c r="C103" s="2" t="s">
        <v>37</v>
      </c>
      <c r="D103" s="2" t="s">
        <v>40</v>
      </c>
      <c r="E103" s="2">
        <v>1</v>
      </c>
      <c r="F103" s="2">
        <v>35000</v>
      </c>
      <c r="G103" s="2">
        <v>16000</v>
      </c>
      <c r="H103" s="2">
        <f t="shared" si="3"/>
        <v>19000</v>
      </c>
      <c r="I103" s="2" t="s">
        <v>35</v>
      </c>
      <c r="J103" s="2" t="s">
        <v>44</v>
      </c>
      <c r="K103" s="2" t="s">
        <v>26</v>
      </c>
      <c r="L103" s="2">
        <v>75000</v>
      </c>
      <c r="M103" s="2">
        <v>300</v>
      </c>
      <c r="N103" s="2" t="s">
        <v>30</v>
      </c>
      <c r="O103" s="2">
        <v>1293</v>
      </c>
      <c r="P103" s="2" t="s">
        <v>30</v>
      </c>
      <c r="Q103" s="2" t="s">
        <v>30</v>
      </c>
      <c r="R103" s="2">
        <v>2000000</v>
      </c>
      <c r="S103" s="2" t="s">
        <v>30</v>
      </c>
      <c r="T103" s="2">
        <v>1400000</v>
      </c>
      <c r="U103" s="2">
        <v>150000</v>
      </c>
      <c r="V103" s="2" t="s">
        <v>30</v>
      </c>
      <c r="W103" s="2">
        <v>160</v>
      </c>
      <c r="X103" s="2">
        <v>739</v>
      </c>
    </row>
    <row r="104" spans="1:24" s="2" customFormat="1" x14ac:dyDescent="0.25">
      <c r="A104" s="2" t="s">
        <v>19</v>
      </c>
      <c r="B104" s="2">
        <v>34</v>
      </c>
      <c r="C104" s="2" t="s">
        <v>37</v>
      </c>
      <c r="D104" s="2" t="s">
        <v>40</v>
      </c>
      <c r="E104" s="2">
        <v>1</v>
      </c>
      <c r="F104" s="2">
        <v>11000</v>
      </c>
      <c r="G104" s="2">
        <v>11000</v>
      </c>
      <c r="H104" s="2">
        <f t="shared" si="3"/>
        <v>0</v>
      </c>
      <c r="I104" s="2" t="s">
        <v>35</v>
      </c>
      <c r="J104" s="2" t="s">
        <v>31</v>
      </c>
      <c r="K104" s="2" t="s">
        <v>26</v>
      </c>
      <c r="L104" s="2">
        <v>75000</v>
      </c>
      <c r="M104" s="2" t="s">
        <v>30</v>
      </c>
      <c r="N104" s="2" t="s">
        <v>30</v>
      </c>
      <c r="O104" s="2">
        <v>300</v>
      </c>
      <c r="P104" s="2" t="s">
        <v>30</v>
      </c>
      <c r="Q104" s="2" t="s">
        <v>30</v>
      </c>
      <c r="R104" s="2">
        <v>2000000</v>
      </c>
      <c r="S104" s="2" t="s">
        <v>30</v>
      </c>
      <c r="T104" s="2">
        <v>1400000</v>
      </c>
      <c r="U104" s="2">
        <v>150000</v>
      </c>
      <c r="V104" s="2" t="s">
        <v>30</v>
      </c>
      <c r="W104" s="2" t="s">
        <v>30</v>
      </c>
      <c r="X104" s="2" t="s">
        <v>30</v>
      </c>
    </row>
    <row r="105" spans="1:24" s="5" customFormat="1" x14ac:dyDescent="0.25">
      <c r="A105" s="5" t="s">
        <v>20</v>
      </c>
      <c r="B105" s="5">
        <v>27</v>
      </c>
      <c r="C105" s="5" t="s">
        <v>38</v>
      </c>
      <c r="D105" s="5" t="s">
        <v>23</v>
      </c>
      <c r="E105" s="5">
        <v>0</v>
      </c>
      <c r="F105" s="5">
        <v>20000</v>
      </c>
      <c r="G105" s="5">
        <v>15000</v>
      </c>
      <c r="H105" s="5">
        <f t="shared" si="3"/>
        <v>5000</v>
      </c>
      <c r="I105" s="5" t="s">
        <v>22</v>
      </c>
      <c r="J105" s="5" t="s">
        <v>48</v>
      </c>
      <c r="K105" s="5" t="s">
        <v>24</v>
      </c>
      <c r="L105" s="5">
        <v>40000</v>
      </c>
      <c r="M105" s="5" t="s">
        <v>30</v>
      </c>
      <c r="N105" s="5" t="s">
        <v>30</v>
      </c>
      <c r="O105" s="5">
        <v>2000</v>
      </c>
      <c r="P105" s="5">
        <v>1000</v>
      </c>
      <c r="Q105" s="5" t="s">
        <v>30</v>
      </c>
      <c r="R105" s="5">
        <v>1400000</v>
      </c>
      <c r="S105" s="5" t="s">
        <v>30</v>
      </c>
      <c r="T105" s="5" t="s">
        <v>30</v>
      </c>
      <c r="U105" s="5" t="s">
        <v>30</v>
      </c>
      <c r="V105" s="5" t="s">
        <v>30</v>
      </c>
      <c r="W105" s="5">
        <v>182</v>
      </c>
      <c r="X105" s="5" t="s">
        <v>30</v>
      </c>
    </row>
    <row r="106" spans="1:24" x14ac:dyDescent="0.25">
      <c r="A106" s="1" t="s">
        <v>20</v>
      </c>
      <c r="B106" s="1">
        <v>46</v>
      </c>
      <c r="C106" s="1" t="s">
        <v>38</v>
      </c>
      <c r="D106" s="1" t="s">
        <v>40</v>
      </c>
      <c r="E106" s="1">
        <v>0</v>
      </c>
      <c r="F106" s="1">
        <v>25000</v>
      </c>
      <c r="G106" s="1">
        <v>23000</v>
      </c>
      <c r="H106" s="1">
        <f t="shared" si="3"/>
        <v>2000</v>
      </c>
      <c r="I106" s="1" t="s">
        <v>22</v>
      </c>
      <c r="J106" s="1" t="s">
        <v>48</v>
      </c>
      <c r="K106" s="1" t="s">
        <v>24</v>
      </c>
      <c r="L106" s="1">
        <v>40000</v>
      </c>
      <c r="M106" s="1">
        <v>300</v>
      </c>
      <c r="N106" s="1" t="s">
        <v>28</v>
      </c>
      <c r="O106" s="1">
        <v>817</v>
      </c>
      <c r="P106" s="1">
        <v>1700</v>
      </c>
      <c r="Q106" s="1" t="s">
        <v>30</v>
      </c>
      <c r="R106" s="1">
        <v>1400000</v>
      </c>
      <c r="S106" s="1" t="s">
        <v>30</v>
      </c>
      <c r="T106" s="1" t="s">
        <v>30</v>
      </c>
      <c r="U106" s="1">
        <v>112000</v>
      </c>
      <c r="V106" s="1" t="s">
        <v>30</v>
      </c>
      <c r="W106" s="1" t="s">
        <v>30</v>
      </c>
      <c r="X106" s="1" t="s">
        <v>30</v>
      </c>
    </row>
    <row r="107" spans="1:24" x14ac:dyDescent="0.25">
      <c r="A107" s="1" t="s">
        <v>20</v>
      </c>
      <c r="B107" s="1">
        <v>44</v>
      </c>
      <c r="C107" s="1" t="s">
        <v>39</v>
      </c>
      <c r="D107" s="1" t="s">
        <v>23</v>
      </c>
      <c r="E107" s="1">
        <v>1</v>
      </c>
      <c r="F107" s="1">
        <v>35000</v>
      </c>
      <c r="G107" s="1">
        <v>35000</v>
      </c>
      <c r="H107" s="1">
        <f t="shared" si="3"/>
        <v>0</v>
      </c>
      <c r="I107" s="1" t="s">
        <v>22</v>
      </c>
      <c r="J107" s="1" t="s">
        <v>48</v>
      </c>
      <c r="K107" s="1" t="s">
        <v>24</v>
      </c>
      <c r="L107" s="1">
        <v>50000</v>
      </c>
      <c r="M107" s="1">
        <v>300</v>
      </c>
      <c r="N107" s="1" t="s">
        <v>28</v>
      </c>
      <c r="O107" s="1">
        <v>300</v>
      </c>
      <c r="P107" s="1">
        <v>1300</v>
      </c>
      <c r="Q107" s="1" t="s">
        <v>30</v>
      </c>
      <c r="R107" s="1" t="s">
        <v>30</v>
      </c>
      <c r="S107" s="1" t="s">
        <v>30</v>
      </c>
      <c r="T107" s="1" t="s">
        <v>30</v>
      </c>
      <c r="U107" s="1" t="s">
        <v>30</v>
      </c>
      <c r="V107" s="1" t="s">
        <v>30</v>
      </c>
      <c r="W107" s="1">
        <v>156</v>
      </c>
      <c r="X107" s="1" t="s">
        <v>30</v>
      </c>
    </row>
    <row r="108" spans="1:24" x14ac:dyDescent="0.25">
      <c r="A108" s="1" t="s">
        <v>19</v>
      </c>
      <c r="B108" s="1">
        <v>46</v>
      </c>
      <c r="C108" s="1" t="s">
        <v>39</v>
      </c>
      <c r="D108" s="1" t="s">
        <v>41</v>
      </c>
      <c r="E108" s="1">
        <v>2</v>
      </c>
      <c r="F108" s="1">
        <v>24000</v>
      </c>
      <c r="G108" s="1">
        <v>24000</v>
      </c>
      <c r="H108" s="1">
        <f t="shared" si="3"/>
        <v>0</v>
      </c>
      <c r="I108" s="1" t="s">
        <v>22</v>
      </c>
      <c r="J108" s="1" t="s">
        <v>50</v>
      </c>
      <c r="K108" s="1" t="s">
        <v>24</v>
      </c>
      <c r="L108" s="1">
        <v>200000</v>
      </c>
      <c r="M108" s="1">
        <v>800</v>
      </c>
      <c r="N108" s="1" t="s">
        <v>28</v>
      </c>
      <c r="O108" s="1">
        <v>672</v>
      </c>
      <c r="P108" s="1">
        <v>500</v>
      </c>
      <c r="Q108" s="1" t="s">
        <v>30</v>
      </c>
      <c r="R108" s="1" t="s">
        <v>30</v>
      </c>
      <c r="S108" s="1" t="s">
        <v>30</v>
      </c>
      <c r="T108" s="1" t="s">
        <v>30</v>
      </c>
      <c r="U108" s="1" t="s">
        <v>30</v>
      </c>
      <c r="V108" s="1" t="s">
        <v>30</v>
      </c>
      <c r="W108" s="1" t="s">
        <v>30</v>
      </c>
      <c r="X108" s="1">
        <v>100</v>
      </c>
    </row>
    <row r="109" spans="1:24" x14ac:dyDescent="0.25">
      <c r="A109" s="1" t="s">
        <v>20</v>
      </c>
      <c r="B109" s="1">
        <v>44</v>
      </c>
      <c r="C109" s="1" t="s">
        <v>39</v>
      </c>
      <c r="D109" s="1" t="s">
        <v>23</v>
      </c>
      <c r="E109" s="1">
        <v>1</v>
      </c>
      <c r="F109" s="1">
        <v>35000</v>
      </c>
      <c r="G109" s="1">
        <v>32000</v>
      </c>
      <c r="H109" s="1">
        <f t="shared" si="3"/>
        <v>3000</v>
      </c>
      <c r="I109" s="1" t="s">
        <v>22</v>
      </c>
      <c r="J109" s="1" t="s">
        <v>44</v>
      </c>
      <c r="K109" s="1" t="s">
        <v>24</v>
      </c>
      <c r="L109" s="1">
        <v>0</v>
      </c>
      <c r="M109" s="1">
        <v>500</v>
      </c>
      <c r="N109" s="1" t="s">
        <v>30</v>
      </c>
      <c r="O109" s="1">
        <v>922</v>
      </c>
      <c r="P109" s="1">
        <v>1000</v>
      </c>
      <c r="Q109" s="1" t="s">
        <v>30</v>
      </c>
      <c r="R109" s="1" t="s">
        <v>30</v>
      </c>
      <c r="S109" s="1" t="s">
        <v>30</v>
      </c>
      <c r="T109" s="1" t="s">
        <v>30</v>
      </c>
      <c r="U109" s="1" t="s">
        <v>30</v>
      </c>
      <c r="V109" s="1" t="s">
        <v>30</v>
      </c>
      <c r="W109" s="1">
        <v>45</v>
      </c>
      <c r="X109" s="1" t="s">
        <v>30</v>
      </c>
    </row>
    <row r="110" spans="1:24" x14ac:dyDescent="0.25">
      <c r="A110" s="1" t="s">
        <v>20</v>
      </c>
      <c r="B110" s="1">
        <v>34</v>
      </c>
      <c r="C110" s="1" t="s">
        <v>38</v>
      </c>
      <c r="D110" s="1" t="s">
        <v>41</v>
      </c>
      <c r="E110" s="1">
        <v>0</v>
      </c>
      <c r="F110" s="1">
        <v>25000</v>
      </c>
      <c r="G110" s="1">
        <v>25000</v>
      </c>
      <c r="H110" s="1">
        <f t="shared" si="3"/>
        <v>0</v>
      </c>
      <c r="I110" s="1" t="s">
        <v>35</v>
      </c>
      <c r="J110" s="1" t="s">
        <v>51</v>
      </c>
      <c r="K110" s="1" t="s">
        <v>26</v>
      </c>
      <c r="L110" s="1">
        <v>150000</v>
      </c>
      <c r="M110" s="1" t="s">
        <v>30</v>
      </c>
      <c r="N110" s="1" t="s">
        <v>30</v>
      </c>
      <c r="O110" s="1">
        <v>2486</v>
      </c>
      <c r="P110" s="1" t="s">
        <v>30</v>
      </c>
      <c r="Q110" s="1">
        <v>50000</v>
      </c>
      <c r="R110" s="1" t="s">
        <v>30</v>
      </c>
      <c r="S110" s="1" t="s">
        <v>30</v>
      </c>
      <c r="T110" s="1">
        <v>985000</v>
      </c>
      <c r="U110" s="1" t="s">
        <v>30</v>
      </c>
      <c r="V110" s="1" t="s">
        <v>30</v>
      </c>
      <c r="W110" s="1">
        <v>79</v>
      </c>
      <c r="X110" s="1">
        <v>238</v>
      </c>
    </row>
    <row r="111" spans="1:24" x14ac:dyDescent="0.25">
      <c r="A111" s="1" t="s">
        <v>20</v>
      </c>
      <c r="B111" s="1">
        <v>28</v>
      </c>
      <c r="C111" s="1" t="s">
        <v>38</v>
      </c>
      <c r="D111" s="1" t="s">
        <v>41</v>
      </c>
      <c r="E111" s="1">
        <v>0</v>
      </c>
      <c r="F111" s="1">
        <v>17000</v>
      </c>
      <c r="G111" s="1">
        <v>17000</v>
      </c>
      <c r="H111" s="1">
        <f t="shared" si="3"/>
        <v>0</v>
      </c>
      <c r="I111" s="1" t="s">
        <v>22</v>
      </c>
      <c r="J111" s="1" t="s">
        <v>48</v>
      </c>
      <c r="K111" s="1" t="s">
        <v>24</v>
      </c>
      <c r="L111" s="1">
        <v>0</v>
      </c>
      <c r="M111" s="1" t="s">
        <v>30</v>
      </c>
      <c r="N111" s="1" t="s">
        <v>28</v>
      </c>
      <c r="O111" s="1">
        <v>204</v>
      </c>
      <c r="P111" s="1" t="s">
        <v>30</v>
      </c>
      <c r="Q111" s="1" t="s">
        <v>30</v>
      </c>
      <c r="R111" s="1" t="s">
        <v>30</v>
      </c>
      <c r="S111" s="1" t="s">
        <v>30</v>
      </c>
      <c r="T111" s="1" t="s">
        <v>30</v>
      </c>
      <c r="U111" s="1">
        <v>68000</v>
      </c>
      <c r="V111" s="1" t="s">
        <v>30</v>
      </c>
      <c r="W111" s="1" t="s">
        <v>30</v>
      </c>
      <c r="X111" s="1" t="s">
        <v>30</v>
      </c>
    </row>
    <row r="112" spans="1:24" s="2" customFormat="1" x14ac:dyDescent="0.25">
      <c r="A112" s="2" t="s">
        <v>20</v>
      </c>
      <c r="B112" s="2">
        <v>34</v>
      </c>
      <c r="C112" s="2" t="s">
        <v>37</v>
      </c>
      <c r="D112" s="2" t="s">
        <v>41</v>
      </c>
      <c r="E112" s="2">
        <v>1</v>
      </c>
      <c r="F112" s="2">
        <v>60000</v>
      </c>
      <c r="G112" s="2">
        <v>40000</v>
      </c>
      <c r="H112" s="2">
        <f t="shared" si="3"/>
        <v>20000</v>
      </c>
      <c r="I112" s="2" t="s">
        <v>22</v>
      </c>
      <c r="J112" s="2" t="s">
        <v>45</v>
      </c>
      <c r="K112" s="2" t="s">
        <v>21</v>
      </c>
      <c r="L112" s="2">
        <v>265000</v>
      </c>
      <c r="M112" s="2">
        <v>300</v>
      </c>
      <c r="N112" s="2" t="s">
        <v>28</v>
      </c>
      <c r="O112" s="2">
        <v>4327</v>
      </c>
      <c r="P112" s="2">
        <v>8400</v>
      </c>
      <c r="Q112" s="2" t="s">
        <v>30</v>
      </c>
      <c r="R112" s="2" t="s">
        <v>30</v>
      </c>
      <c r="S112" s="2" t="s">
        <v>30</v>
      </c>
      <c r="T112" s="2">
        <v>1250000</v>
      </c>
      <c r="U112" s="2" t="s">
        <v>30</v>
      </c>
      <c r="V112" s="2" t="s">
        <v>30</v>
      </c>
      <c r="W112" s="2">
        <v>204</v>
      </c>
      <c r="X112" s="2">
        <v>866</v>
      </c>
    </row>
    <row r="113" spans="1:24" s="2" customFormat="1" x14ac:dyDescent="0.25">
      <c r="A113" s="2" t="s">
        <v>19</v>
      </c>
      <c r="B113" s="2">
        <v>28</v>
      </c>
      <c r="C113" s="2" t="s">
        <v>37</v>
      </c>
      <c r="D113" s="2" t="s">
        <v>41</v>
      </c>
      <c r="E113" s="2">
        <v>1</v>
      </c>
      <c r="F113" s="2">
        <v>15000</v>
      </c>
      <c r="G113" s="2">
        <v>15000</v>
      </c>
      <c r="H113" s="2">
        <f t="shared" si="3"/>
        <v>0</v>
      </c>
      <c r="I113" s="2" t="s">
        <v>22</v>
      </c>
      <c r="J113" s="2" t="s">
        <v>51</v>
      </c>
      <c r="K113" s="2" t="s">
        <v>21</v>
      </c>
      <c r="L113" s="2">
        <v>265000</v>
      </c>
      <c r="M113" s="2" t="s">
        <v>30</v>
      </c>
      <c r="N113" s="2" t="s">
        <v>30</v>
      </c>
      <c r="O113" s="2">
        <v>922</v>
      </c>
      <c r="P113" s="2" t="s">
        <v>30</v>
      </c>
      <c r="Q113" s="2" t="s">
        <v>30</v>
      </c>
      <c r="R113" s="2" t="s">
        <v>30</v>
      </c>
      <c r="S113" s="2" t="s">
        <v>30</v>
      </c>
      <c r="T113" s="2">
        <v>1250000</v>
      </c>
      <c r="U113" s="2" t="s">
        <v>30</v>
      </c>
      <c r="V113" s="2" t="s">
        <v>30</v>
      </c>
      <c r="W113" s="2" t="s">
        <v>30</v>
      </c>
      <c r="X113" s="2" t="s">
        <v>30</v>
      </c>
    </row>
    <row r="114" spans="1:24" x14ac:dyDescent="0.25">
      <c r="A114" s="1" t="s">
        <v>19</v>
      </c>
      <c r="B114" s="1">
        <v>23</v>
      </c>
      <c r="C114" s="1" t="s">
        <v>38</v>
      </c>
      <c r="D114" s="1" t="s">
        <v>40</v>
      </c>
      <c r="E114" s="1">
        <v>1</v>
      </c>
      <c r="F114" s="1">
        <v>15000</v>
      </c>
      <c r="G114" s="1">
        <v>15000</v>
      </c>
      <c r="H114" s="1">
        <f t="shared" si="3"/>
        <v>0</v>
      </c>
      <c r="I114" s="1" t="s">
        <v>22</v>
      </c>
      <c r="J114" s="1" t="s">
        <v>48</v>
      </c>
      <c r="K114" s="1" t="s">
        <v>24</v>
      </c>
      <c r="L114" s="1">
        <v>0</v>
      </c>
      <c r="M114" s="1" t="s">
        <v>30</v>
      </c>
      <c r="N114" s="1" t="s">
        <v>30</v>
      </c>
      <c r="O114" s="1">
        <v>504</v>
      </c>
      <c r="P114" s="1">
        <v>700</v>
      </c>
      <c r="Q114" s="1" t="s">
        <v>30</v>
      </c>
      <c r="R114" s="1" t="s">
        <v>30</v>
      </c>
      <c r="S114" s="1" t="s">
        <v>30</v>
      </c>
      <c r="T114" s="1" t="s">
        <v>30</v>
      </c>
      <c r="U114" s="1" t="s">
        <v>30</v>
      </c>
      <c r="V114" s="1" t="s">
        <v>30</v>
      </c>
      <c r="W114" s="1" t="s">
        <v>30</v>
      </c>
      <c r="X114" s="1">
        <v>217</v>
      </c>
    </row>
    <row r="115" spans="1:24" s="2" customFormat="1" x14ac:dyDescent="0.25">
      <c r="A115" s="2" t="s">
        <v>20</v>
      </c>
      <c r="B115" s="2">
        <v>56</v>
      </c>
      <c r="C115" s="2" t="s">
        <v>37</v>
      </c>
      <c r="D115" s="2" t="s">
        <v>23</v>
      </c>
      <c r="E115" s="2">
        <v>2</v>
      </c>
      <c r="F115" s="2">
        <v>30000</v>
      </c>
      <c r="G115" s="2">
        <v>30000</v>
      </c>
      <c r="H115" s="2">
        <f t="shared" si="3"/>
        <v>0</v>
      </c>
      <c r="I115" s="2" t="s">
        <v>22</v>
      </c>
      <c r="J115" s="2" t="s">
        <v>48</v>
      </c>
      <c r="K115" s="2" t="s">
        <v>24</v>
      </c>
      <c r="L115" s="2">
        <v>25000</v>
      </c>
      <c r="M115" s="2">
        <v>300</v>
      </c>
      <c r="N115" s="2" t="s">
        <v>30</v>
      </c>
      <c r="O115" s="2">
        <v>1347</v>
      </c>
      <c r="P115" s="2" t="s">
        <v>30</v>
      </c>
      <c r="Q115" s="2" t="s">
        <v>30</v>
      </c>
      <c r="R115" s="2" t="s">
        <v>30</v>
      </c>
      <c r="S115" s="2" t="s">
        <v>30</v>
      </c>
      <c r="T115" s="2" t="s">
        <v>30</v>
      </c>
      <c r="U115" s="2">
        <v>125000</v>
      </c>
      <c r="V115" s="2" t="s">
        <v>30</v>
      </c>
      <c r="W115" s="2" t="s">
        <v>30</v>
      </c>
      <c r="X115" s="2" t="s">
        <v>30</v>
      </c>
    </row>
    <row r="116" spans="1:24" s="2" customFormat="1" x14ac:dyDescent="0.25">
      <c r="A116" s="2" t="s">
        <v>19</v>
      </c>
      <c r="B116" s="2">
        <v>44</v>
      </c>
      <c r="C116" s="2" t="s">
        <v>37</v>
      </c>
      <c r="D116" s="2" t="s">
        <v>23</v>
      </c>
      <c r="E116" s="2">
        <v>2</v>
      </c>
      <c r="F116" s="2">
        <v>14000</v>
      </c>
      <c r="G116" s="2">
        <v>14000</v>
      </c>
      <c r="H116" s="2">
        <f t="shared" si="3"/>
        <v>0</v>
      </c>
      <c r="I116" s="2" t="s">
        <v>22</v>
      </c>
      <c r="J116" s="2" t="s">
        <v>48</v>
      </c>
      <c r="K116" s="2" t="s">
        <v>24</v>
      </c>
      <c r="L116" s="2">
        <v>25000</v>
      </c>
      <c r="M116" s="2">
        <v>300</v>
      </c>
      <c r="N116" s="2" t="s">
        <v>30</v>
      </c>
      <c r="O116" s="2">
        <v>748</v>
      </c>
      <c r="P116" s="2" t="s">
        <v>30</v>
      </c>
      <c r="Q116" s="2" t="s">
        <v>30</v>
      </c>
      <c r="R116" s="2" t="s">
        <v>30</v>
      </c>
      <c r="S116" s="2" t="s">
        <v>30</v>
      </c>
      <c r="T116" s="2" t="s">
        <v>30</v>
      </c>
      <c r="U116" s="2">
        <v>125000</v>
      </c>
      <c r="V116" s="2" t="s">
        <v>30</v>
      </c>
      <c r="W116" s="2" t="s">
        <v>30</v>
      </c>
      <c r="X116" s="2" t="s">
        <v>30</v>
      </c>
    </row>
    <row r="117" spans="1:24" s="3" customFormat="1" x14ac:dyDescent="0.25">
      <c r="A117" s="3" t="s">
        <v>20</v>
      </c>
      <c r="B117" s="3">
        <v>27</v>
      </c>
      <c r="C117" s="3" t="s">
        <v>38</v>
      </c>
      <c r="D117" s="3" t="s">
        <v>41</v>
      </c>
      <c r="E117" s="3">
        <v>0</v>
      </c>
      <c r="F117" s="3">
        <v>10000</v>
      </c>
      <c r="G117" s="3">
        <v>10000</v>
      </c>
      <c r="H117" s="3">
        <f t="shared" si="3"/>
        <v>0</v>
      </c>
      <c r="I117" s="3" t="s">
        <v>36</v>
      </c>
      <c r="J117" s="3" t="s">
        <v>48</v>
      </c>
      <c r="K117" s="3" t="s">
        <v>26</v>
      </c>
      <c r="L117" s="3">
        <v>100000</v>
      </c>
      <c r="M117" s="3" t="s">
        <v>30</v>
      </c>
      <c r="N117" s="3" t="s">
        <v>30</v>
      </c>
      <c r="O117" s="3" t="s">
        <v>30</v>
      </c>
      <c r="P117" s="3">
        <v>2500</v>
      </c>
      <c r="Q117" s="3">
        <v>1000000</v>
      </c>
      <c r="R117" s="3" t="s">
        <v>30</v>
      </c>
      <c r="S117" s="3" t="s">
        <v>30</v>
      </c>
      <c r="T117" s="3" t="s">
        <v>30</v>
      </c>
      <c r="U117" s="3">
        <v>50000</v>
      </c>
      <c r="V117" s="3" t="s">
        <v>30</v>
      </c>
      <c r="W117" s="3" t="s">
        <v>30</v>
      </c>
      <c r="X117" s="3" t="s">
        <v>30</v>
      </c>
    </row>
    <row r="118" spans="1:24" s="3" customFormat="1" x14ac:dyDescent="0.25">
      <c r="A118" s="3" t="s">
        <v>20</v>
      </c>
      <c r="B118" s="3">
        <v>40</v>
      </c>
      <c r="C118" s="3" t="s">
        <v>39</v>
      </c>
      <c r="D118" s="3" t="s">
        <v>40</v>
      </c>
      <c r="E118" s="3">
        <v>1</v>
      </c>
      <c r="F118" s="3">
        <v>16000</v>
      </c>
      <c r="G118" s="3">
        <v>16000</v>
      </c>
      <c r="H118" s="3">
        <f t="shared" si="3"/>
        <v>0</v>
      </c>
      <c r="I118" s="3" t="s">
        <v>34</v>
      </c>
      <c r="J118" s="3" t="s">
        <v>48</v>
      </c>
      <c r="K118" s="3" t="s">
        <v>26</v>
      </c>
      <c r="L118" s="3">
        <v>0</v>
      </c>
      <c r="M118" s="3">
        <v>300</v>
      </c>
      <c r="N118" s="3" t="s">
        <v>28</v>
      </c>
      <c r="O118" s="3" t="s">
        <v>30</v>
      </c>
      <c r="P118" s="3" t="s">
        <v>30</v>
      </c>
      <c r="Q118" s="3" t="s">
        <v>30</v>
      </c>
      <c r="R118" s="3" t="s">
        <v>30</v>
      </c>
      <c r="S118" s="3" t="s">
        <v>30</v>
      </c>
      <c r="T118" s="3" t="s">
        <v>30</v>
      </c>
      <c r="U118" s="3">
        <v>212435</v>
      </c>
      <c r="V118" s="3" t="s">
        <v>30</v>
      </c>
      <c r="W118" s="3" t="s">
        <v>30</v>
      </c>
      <c r="X118" s="3" t="s">
        <v>30</v>
      </c>
    </row>
    <row r="119" spans="1:24" s="2" customFormat="1" x14ac:dyDescent="0.25">
      <c r="A119" s="2" t="s">
        <v>20</v>
      </c>
      <c r="B119" s="2">
        <v>33</v>
      </c>
      <c r="C119" s="2" t="s">
        <v>37</v>
      </c>
      <c r="D119" s="2" t="s">
        <v>41</v>
      </c>
      <c r="E119" s="2">
        <v>1</v>
      </c>
      <c r="F119" s="2">
        <v>33000</v>
      </c>
      <c r="G119" s="2">
        <v>13400</v>
      </c>
      <c r="H119" s="2">
        <f t="shared" si="3"/>
        <v>19600</v>
      </c>
      <c r="I119" s="2" t="s">
        <v>22</v>
      </c>
      <c r="J119" s="2" t="s">
        <v>51</v>
      </c>
      <c r="K119" s="2" t="s">
        <v>24</v>
      </c>
      <c r="L119" s="2">
        <v>950000</v>
      </c>
      <c r="M119" s="2">
        <v>1500</v>
      </c>
      <c r="N119" s="2" t="s">
        <v>30</v>
      </c>
      <c r="O119" s="2">
        <v>1200</v>
      </c>
      <c r="P119" s="2">
        <v>2000</v>
      </c>
      <c r="Q119" s="2" t="s">
        <v>30</v>
      </c>
      <c r="R119" s="2" t="s">
        <v>30</v>
      </c>
      <c r="S119" s="2">
        <v>1750</v>
      </c>
      <c r="T119" s="2">
        <v>595000</v>
      </c>
      <c r="U119" s="2" t="s">
        <v>30</v>
      </c>
      <c r="V119" s="2" t="s">
        <v>30</v>
      </c>
      <c r="W119" s="2">
        <v>91</v>
      </c>
      <c r="X119" s="2">
        <v>436</v>
      </c>
    </row>
    <row r="120" spans="1:24" s="2" customFormat="1" x14ac:dyDescent="0.25">
      <c r="A120" s="2" t="s">
        <v>19</v>
      </c>
      <c r="B120" s="2">
        <v>30</v>
      </c>
      <c r="C120" s="2" t="s">
        <v>37</v>
      </c>
      <c r="D120" s="2" t="s">
        <v>41</v>
      </c>
      <c r="E120" s="2">
        <v>1</v>
      </c>
      <c r="F120" s="2">
        <v>7600</v>
      </c>
      <c r="G120" s="2">
        <v>7600</v>
      </c>
      <c r="H120" s="2">
        <f t="shared" si="3"/>
        <v>0</v>
      </c>
      <c r="I120" s="2" t="s">
        <v>35</v>
      </c>
      <c r="J120" s="2" t="s">
        <v>31</v>
      </c>
      <c r="K120" s="2" t="s">
        <v>24</v>
      </c>
      <c r="L120" s="2">
        <v>950000</v>
      </c>
      <c r="M120" s="2">
        <v>300</v>
      </c>
      <c r="N120" s="2" t="s">
        <v>30</v>
      </c>
      <c r="O120" s="2">
        <v>395</v>
      </c>
      <c r="P120" s="2" t="s">
        <v>30</v>
      </c>
      <c r="Q120" s="2" t="s">
        <v>30</v>
      </c>
      <c r="R120" s="2" t="s">
        <v>30</v>
      </c>
      <c r="S120" s="2" t="s">
        <v>30</v>
      </c>
      <c r="T120" s="2">
        <v>595000</v>
      </c>
      <c r="U120" s="2" t="s">
        <v>30</v>
      </c>
      <c r="V120" s="2" t="s">
        <v>30</v>
      </c>
      <c r="W120" s="2" t="s">
        <v>30</v>
      </c>
      <c r="X120" s="2" t="s">
        <v>30</v>
      </c>
    </row>
    <row r="121" spans="1:24" s="3" customFormat="1" x14ac:dyDescent="0.25">
      <c r="A121" s="3" t="s">
        <v>20</v>
      </c>
      <c r="B121" s="3">
        <v>39</v>
      </c>
      <c r="C121" s="3" t="s">
        <v>38</v>
      </c>
      <c r="D121" s="3" t="s">
        <v>40</v>
      </c>
      <c r="E121" s="3">
        <v>0</v>
      </c>
      <c r="F121" s="3">
        <v>20000</v>
      </c>
      <c r="G121" s="3">
        <v>20000</v>
      </c>
      <c r="H121" s="3">
        <f t="shared" si="3"/>
        <v>0</v>
      </c>
      <c r="I121" s="3" t="s">
        <v>34</v>
      </c>
      <c r="J121" s="3" t="s">
        <v>48</v>
      </c>
      <c r="K121" s="3" t="s">
        <v>26</v>
      </c>
      <c r="L121" s="3">
        <v>0</v>
      </c>
      <c r="M121" s="3" t="s">
        <v>30</v>
      </c>
      <c r="N121" s="3" t="s">
        <v>30</v>
      </c>
      <c r="O121" s="3" t="s">
        <v>30</v>
      </c>
      <c r="P121" s="3" t="s">
        <v>30</v>
      </c>
      <c r="Q121" s="3" t="s">
        <v>30</v>
      </c>
      <c r="R121" s="3" t="s">
        <v>30</v>
      </c>
      <c r="S121" s="3" t="s">
        <v>30</v>
      </c>
      <c r="T121" s="3" t="s">
        <v>30</v>
      </c>
      <c r="U121" s="3">
        <v>550000</v>
      </c>
      <c r="V121" s="3" t="s">
        <v>30</v>
      </c>
      <c r="W121" s="3" t="s">
        <v>30</v>
      </c>
      <c r="X121" s="3" t="s">
        <v>30</v>
      </c>
    </row>
    <row r="122" spans="1:24" s="2" customFormat="1" x14ac:dyDescent="0.25">
      <c r="A122" s="2" t="s">
        <v>20</v>
      </c>
      <c r="B122" s="2">
        <v>23</v>
      </c>
      <c r="C122" s="2" t="s">
        <v>38</v>
      </c>
      <c r="D122" s="2" t="s">
        <v>23</v>
      </c>
      <c r="E122" s="2">
        <v>0</v>
      </c>
      <c r="F122" s="2">
        <v>25000</v>
      </c>
      <c r="G122" s="2">
        <v>11000</v>
      </c>
      <c r="H122" s="2">
        <f t="shared" si="3"/>
        <v>14000</v>
      </c>
      <c r="I122" s="2" t="s">
        <v>22</v>
      </c>
      <c r="J122" s="2" t="s">
        <v>51</v>
      </c>
      <c r="K122" s="2" t="s">
        <v>24</v>
      </c>
      <c r="L122" s="2">
        <v>60000</v>
      </c>
      <c r="M122" s="2">
        <v>300</v>
      </c>
      <c r="N122" s="2" t="s">
        <v>30</v>
      </c>
      <c r="O122" s="2">
        <v>850</v>
      </c>
      <c r="P122" s="2" t="s">
        <v>30</v>
      </c>
      <c r="Q122" s="2" t="s">
        <v>30</v>
      </c>
      <c r="R122" s="2" t="s">
        <v>30</v>
      </c>
      <c r="S122" s="2" t="s">
        <v>30</v>
      </c>
      <c r="T122" s="2" t="s">
        <v>30</v>
      </c>
      <c r="U122" s="2" t="s">
        <v>30</v>
      </c>
      <c r="V122" s="2" t="s">
        <v>30</v>
      </c>
      <c r="W122" s="2" t="s">
        <v>30</v>
      </c>
      <c r="X122" s="2" t="s">
        <v>30</v>
      </c>
    </row>
    <row r="123" spans="1:24" s="2" customFormat="1" x14ac:dyDescent="0.25">
      <c r="A123" s="2" t="s">
        <v>19</v>
      </c>
      <c r="B123" s="2">
        <v>23</v>
      </c>
      <c r="C123" s="2" t="s">
        <v>38</v>
      </c>
      <c r="D123" s="2" t="s">
        <v>23</v>
      </c>
      <c r="E123" s="2">
        <v>0</v>
      </c>
      <c r="F123" s="2">
        <v>16000</v>
      </c>
      <c r="G123" s="2">
        <v>11000</v>
      </c>
      <c r="H123" s="2">
        <f t="shared" si="3"/>
        <v>5000</v>
      </c>
      <c r="I123" s="2" t="s">
        <v>22</v>
      </c>
      <c r="J123" s="2" t="s">
        <v>51</v>
      </c>
      <c r="K123" s="2" t="s">
        <v>24</v>
      </c>
      <c r="L123" s="2">
        <v>60000</v>
      </c>
      <c r="M123" s="2">
        <v>500</v>
      </c>
      <c r="N123" s="2" t="s">
        <v>30</v>
      </c>
      <c r="O123" s="2" t="s">
        <v>30</v>
      </c>
      <c r="P123" s="2" t="s">
        <v>30</v>
      </c>
      <c r="Q123" s="2" t="s">
        <v>30</v>
      </c>
      <c r="R123" s="2" t="s">
        <v>30</v>
      </c>
      <c r="S123" s="2" t="s">
        <v>30</v>
      </c>
      <c r="T123" s="2" t="s">
        <v>30</v>
      </c>
      <c r="U123" s="2" t="s">
        <v>30</v>
      </c>
      <c r="V123" s="2" t="s">
        <v>30</v>
      </c>
      <c r="W123" s="2" t="s">
        <v>30</v>
      </c>
      <c r="X123" s="2" t="s">
        <v>30</v>
      </c>
    </row>
    <row r="124" spans="1:24" s="3" customFormat="1" x14ac:dyDescent="0.25">
      <c r="A124" s="3" t="s">
        <v>20</v>
      </c>
      <c r="B124" s="3">
        <v>23</v>
      </c>
      <c r="C124" s="3" t="s">
        <v>38</v>
      </c>
      <c r="D124" s="3" t="s">
        <v>23</v>
      </c>
      <c r="E124" s="3">
        <v>0</v>
      </c>
      <c r="F124" s="3">
        <v>50000</v>
      </c>
      <c r="G124" s="3">
        <v>50000</v>
      </c>
      <c r="H124" s="3">
        <f t="shared" si="3"/>
        <v>0</v>
      </c>
      <c r="I124" s="3" t="s">
        <v>22</v>
      </c>
      <c r="J124" s="3" t="s">
        <v>44</v>
      </c>
      <c r="K124" s="3" t="s">
        <v>24</v>
      </c>
      <c r="L124" s="3">
        <v>30000</v>
      </c>
      <c r="M124" s="3">
        <v>300</v>
      </c>
      <c r="N124" s="3" t="s">
        <v>28</v>
      </c>
      <c r="O124" s="3">
        <v>1100</v>
      </c>
      <c r="P124" s="3">
        <v>1000</v>
      </c>
      <c r="Q124" s="3" t="s">
        <v>30</v>
      </c>
      <c r="R124" s="3" t="s">
        <v>30</v>
      </c>
      <c r="S124" s="3" t="s">
        <v>30</v>
      </c>
      <c r="T124" s="3" t="s">
        <v>30</v>
      </c>
      <c r="U124" s="3" t="s">
        <v>30</v>
      </c>
      <c r="V124" s="3" t="s">
        <v>30</v>
      </c>
      <c r="W124" s="3">
        <v>100</v>
      </c>
      <c r="X124" s="3" t="s">
        <v>30</v>
      </c>
    </row>
    <row r="125" spans="1:24" s="3" customFormat="1" x14ac:dyDescent="0.25">
      <c r="A125" s="3" t="s">
        <v>19</v>
      </c>
      <c r="B125" s="3">
        <v>31</v>
      </c>
      <c r="C125" s="3" t="s">
        <v>38</v>
      </c>
      <c r="D125" s="3" t="s">
        <v>23</v>
      </c>
      <c r="E125" s="3">
        <v>0</v>
      </c>
      <c r="F125" s="3">
        <v>36000</v>
      </c>
      <c r="G125" s="3">
        <v>25550</v>
      </c>
      <c r="H125" s="3">
        <f t="shared" si="3"/>
        <v>10450</v>
      </c>
      <c r="I125" s="3" t="s">
        <v>35</v>
      </c>
      <c r="J125" s="3" t="s">
        <v>51</v>
      </c>
      <c r="K125" s="3" t="s">
        <v>21</v>
      </c>
      <c r="L125" s="3">
        <v>600000</v>
      </c>
      <c r="M125" s="3" t="s">
        <v>30</v>
      </c>
      <c r="N125" s="3" t="s">
        <v>30</v>
      </c>
      <c r="O125" s="3">
        <v>1338</v>
      </c>
      <c r="P125" s="3">
        <v>2000</v>
      </c>
      <c r="Q125" s="3" t="s">
        <v>30</v>
      </c>
      <c r="R125" s="3">
        <v>2500000</v>
      </c>
      <c r="S125" s="3" t="s">
        <v>30</v>
      </c>
      <c r="T125" s="3">
        <v>2500000</v>
      </c>
      <c r="U125" s="3" t="s">
        <v>30</v>
      </c>
      <c r="V125" s="3" t="s">
        <v>30</v>
      </c>
      <c r="W125" s="3">
        <v>168</v>
      </c>
      <c r="X125" s="3" t="s">
        <v>30</v>
      </c>
    </row>
    <row r="126" spans="1:24" s="2" customFormat="1" x14ac:dyDescent="0.25">
      <c r="A126" s="2" t="s">
        <v>20</v>
      </c>
      <c r="B126" s="2">
        <v>40</v>
      </c>
      <c r="C126" s="2" t="s">
        <v>37</v>
      </c>
      <c r="D126" s="2" t="s">
        <v>41</v>
      </c>
      <c r="E126" s="2">
        <v>2</v>
      </c>
      <c r="F126" s="2">
        <v>63000</v>
      </c>
      <c r="G126" s="2">
        <v>52400</v>
      </c>
      <c r="H126" s="2">
        <f t="shared" si="3"/>
        <v>10600</v>
      </c>
      <c r="I126" s="2" t="s">
        <v>22</v>
      </c>
      <c r="J126" s="2" t="s">
        <v>44</v>
      </c>
      <c r="K126" s="2" t="s">
        <v>21</v>
      </c>
      <c r="L126" s="2">
        <v>0</v>
      </c>
      <c r="M126" s="2">
        <v>1500</v>
      </c>
      <c r="N126" s="2" t="s">
        <v>30</v>
      </c>
      <c r="O126" s="2">
        <v>2000</v>
      </c>
      <c r="P126" s="2" t="s">
        <v>30</v>
      </c>
      <c r="Q126" s="2" t="s">
        <v>30</v>
      </c>
      <c r="R126" s="2" t="s">
        <v>30</v>
      </c>
      <c r="S126" s="2" t="s">
        <v>30</v>
      </c>
      <c r="T126" s="2">
        <v>500000</v>
      </c>
      <c r="U126" s="2" t="s">
        <v>30</v>
      </c>
      <c r="V126" s="2" t="s">
        <v>30</v>
      </c>
      <c r="W126" s="2">
        <v>468</v>
      </c>
      <c r="X126" s="2" t="s">
        <v>30</v>
      </c>
    </row>
    <row r="127" spans="1:24" s="2" customFormat="1" x14ac:dyDescent="0.25">
      <c r="A127" s="2" t="s">
        <v>19</v>
      </c>
      <c r="B127" s="2">
        <v>38</v>
      </c>
      <c r="C127" s="2" t="s">
        <v>37</v>
      </c>
      <c r="D127" s="2" t="s">
        <v>41</v>
      </c>
      <c r="E127" s="2">
        <v>2</v>
      </c>
      <c r="F127" s="2">
        <v>15600</v>
      </c>
      <c r="G127" s="2">
        <v>15600</v>
      </c>
      <c r="H127" s="2">
        <f t="shared" si="3"/>
        <v>0</v>
      </c>
      <c r="I127" s="2" t="s">
        <v>35</v>
      </c>
      <c r="J127" s="2" t="s">
        <v>48</v>
      </c>
      <c r="K127" s="2" t="s">
        <v>21</v>
      </c>
      <c r="L127" s="2">
        <v>0</v>
      </c>
      <c r="M127" s="2">
        <v>500</v>
      </c>
      <c r="N127" s="2" t="s">
        <v>30</v>
      </c>
      <c r="O127" s="2" t="s">
        <v>30</v>
      </c>
      <c r="P127" s="2" t="s">
        <v>30</v>
      </c>
      <c r="Q127" s="2" t="s">
        <v>30</v>
      </c>
      <c r="R127" s="2" t="s">
        <v>30</v>
      </c>
      <c r="S127" s="2" t="s">
        <v>30</v>
      </c>
      <c r="T127" s="2">
        <v>500000</v>
      </c>
      <c r="U127" s="2" t="s">
        <v>30</v>
      </c>
      <c r="V127" s="2" t="s">
        <v>30</v>
      </c>
      <c r="W127" s="2" t="s">
        <v>30</v>
      </c>
      <c r="X127" s="2" t="s">
        <v>30</v>
      </c>
    </row>
    <row r="128" spans="1:24" s="4" customFormat="1" x14ac:dyDescent="0.25">
      <c r="A128" s="4" t="s">
        <v>20</v>
      </c>
      <c r="B128" s="4">
        <v>43</v>
      </c>
      <c r="C128" s="4" t="s">
        <v>37</v>
      </c>
      <c r="D128" s="4" t="s">
        <v>23</v>
      </c>
      <c r="E128" s="4">
        <v>0</v>
      </c>
      <c r="F128" s="4">
        <v>100000</v>
      </c>
      <c r="G128" s="4">
        <v>38000</v>
      </c>
      <c r="H128" s="4">
        <f t="shared" si="3"/>
        <v>62000</v>
      </c>
      <c r="I128" s="4" t="s">
        <v>22</v>
      </c>
      <c r="J128" s="4" t="s">
        <v>44</v>
      </c>
      <c r="K128" s="4" t="s">
        <v>26</v>
      </c>
      <c r="L128" s="4">
        <v>0</v>
      </c>
      <c r="M128" s="4" t="s">
        <v>30</v>
      </c>
      <c r="N128" s="4" t="s">
        <v>30</v>
      </c>
      <c r="O128" s="4" t="s">
        <v>30</v>
      </c>
      <c r="P128" s="4" t="s">
        <v>30</v>
      </c>
      <c r="Q128" s="4" t="s">
        <v>30</v>
      </c>
      <c r="R128" s="4" t="s">
        <v>30</v>
      </c>
      <c r="S128" s="4" t="s">
        <v>30</v>
      </c>
      <c r="T128" s="4">
        <v>1450000</v>
      </c>
      <c r="U128" s="4" t="s">
        <v>30</v>
      </c>
      <c r="V128" s="4" t="s">
        <v>30</v>
      </c>
      <c r="W128" s="4">
        <v>188</v>
      </c>
      <c r="X128" s="4" t="s">
        <v>30</v>
      </c>
    </row>
    <row r="129" spans="1:24" s="4" customFormat="1" x14ac:dyDescent="0.25">
      <c r="A129" s="4" t="s">
        <v>19</v>
      </c>
      <c r="B129" s="4">
        <v>35</v>
      </c>
      <c r="C129" s="4" t="s">
        <v>37</v>
      </c>
      <c r="D129" s="4" t="s">
        <v>23</v>
      </c>
      <c r="E129" s="4">
        <v>0</v>
      </c>
      <c r="F129" s="4">
        <v>40000</v>
      </c>
      <c r="G129" s="4">
        <v>38000</v>
      </c>
      <c r="H129" s="4">
        <f t="shared" si="3"/>
        <v>2000</v>
      </c>
      <c r="I129" s="4" t="s">
        <v>35</v>
      </c>
      <c r="J129" s="4" t="s">
        <v>45</v>
      </c>
      <c r="K129" s="4" t="s">
        <v>26</v>
      </c>
      <c r="L129" s="4">
        <v>0</v>
      </c>
      <c r="M129" s="4" t="s">
        <v>30</v>
      </c>
      <c r="N129" s="4" t="s">
        <v>30</v>
      </c>
      <c r="O129" s="4">
        <v>1261</v>
      </c>
      <c r="P129" s="4" t="s">
        <v>30</v>
      </c>
      <c r="Q129" s="4" t="s">
        <v>30</v>
      </c>
      <c r="R129" s="4" t="s">
        <v>30</v>
      </c>
      <c r="S129" s="4" t="s">
        <v>30</v>
      </c>
      <c r="T129" s="4">
        <v>1450000</v>
      </c>
      <c r="U129" s="4" t="s">
        <v>30</v>
      </c>
      <c r="V129" s="4" t="s">
        <v>30</v>
      </c>
      <c r="W129" s="4" t="s">
        <v>30</v>
      </c>
      <c r="X129" s="4" t="s">
        <v>30</v>
      </c>
    </row>
    <row r="130" spans="1:24" x14ac:dyDescent="0.25">
      <c r="A130" s="1" t="s">
        <v>20</v>
      </c>
      <c r="B130" s="1">
        <v>34</v>
      </c>
      <c r="C130" s="1" t="s">
        <v>38</v>
      </c>
      <c r="D130" s="1" t="s">
        <v>40</v>
      </c>
      <c r="E130" s="1">
        <v>0</v>
      </c>
      <c r="F130" s="1">
        <v>25000</v>
      </c>
      <c r="G130" s="1">
        <v>17300</v>
      </c>
      <c r="H130" s="1">
        <f>F130-G130</f>
        <v>7700</v>
      </c>
      <c r="I130" s="1" t="s">
        <v>22</v>
      </c>
      <c r="J130" s="1" t="s">
        <v>45</v>
      </c>
      <c r="K130" s="1" t="s">
        <v>26</v>
      </c>
      <c r="L130" s="1">
        <v>150000</v>
      </c>
      <c r="M130" s="1" t="s">
        <v>30</v>
      </c>
      <c r="N130" s="1" t="s">
        <v>30</v>
      </c>
      <c r="O130" s="1">
        <v>1100</v>
      </c>
      <c r="P130" s="1" t="s">
        <v>30</v>
      </c>
      <c r="Q130" s="1" t="s">
        <v>30</v>
      </c>
      <c r="R130" s="1" t="s">
        <v>30</v>
      </c>
      <c r="S130" s="1" t="s">
        <v>30</v>
      </c>
      <c r="T130" s="1">
        <v>1550000</v>
      </c>
      <c r="U130" s="1">
        <v>50000</v>
      </c>
      <c r="V130" s="1" t="s">
        <v>30</v>
      </c>
      <c r="W130" s="1">
        <v>127</v>
      </c>
      <c r="X130" s="1" t="s">
        <v>30</v>
      </c>
    </row>
    <row r="131" spans="1:24" s="2" customFormat="1" x14ac:dyDescent="0.25">
      <c r="A131" s="2" t="s">
        <v>20</v>
      </c>
      <c r="B131" s="2">
        <v>30</v>
      </c>
      <c r="C131" s="2" t="s">
        <v>37</v>
      </c>
      <c r="D131" s="2" t="s">
        <v>41</v>
      </c>
      <c r="E131" s="2">
        <v>1</v>
      </c>
      <c r="F131" s="2">
        <v>20000</v>
      </c>
      <c r="G131" s="2">
        <v>11000</v>
      </c>
      <c r="H131" s="2">
        <f t="shared" ref="H131:H176" si="4">F131-G131</f>
        <v>9000</v>
      </c>
      <c r="I131" s="2" t="s">
        <v>34</v>
      </c>
      <c r="J131" s="2" t="s">
        <v>48</v>
      </c>
      <c r="K131" s="2" t="s">
        <v>26</v>
      </c>
      <c r="L131" s="2">
        <v>10000</v>
      </c>
      <c r="M131" s="2">
        <v>800</v>
      </c>
      <c r="N131" s="2" t="s">
        <v>30</v>
      </c>
      <c r="O131" s="2">
        <v>600</v>
      </c>
      <c r="P131" s="2" t="s">
        <v>30</v>
      </c>
      <c r="Q131" s="2" t="s">
        <v>30</v>
      </c>
      <c r="R131" s="2" t="s">
        <v>30</v>
      </c>
      <c r="S131" s="2" t="s">
        <v>30</v>
      </c>
      <c r="T131" s="2">
        <v>665000</v>
      </c>
      <c r="U131" s="2" t="s">
        <v>30</v>
      </c>
      <c r="V131" s="2" t="s">
        <v>30</v>
      </c>
      <c r="W131" s="2">
        <v>198</v>
      </c>
      <c r="X131" s="2" t="s">
        <v>30</v>
      </c>
    </row>
    <row r="132" spans="1:24" s="2" customFormat="1" x14ac:dyDescent="0.25">
      <c r="A132" s="2" t="s">
        <v>19</v>
      </c>
      <c r="B132" s="2">
        <v>26</v>
      </c>
      <c r="C132" s="2" t="s">
        <v>37</v>
      </c>
      <c r="D132" s="2" t="s">
        <v>41</v>
      </c>
      <c r="E132" s="2">
        <v>1</v>
      </c>
      <c r="F132" s="2">
        <v>11600</v>
      </c>
      <c r="G132" s="2">
        <v>11000</v>
      </c>
      <c r="H132" s="2">
        <f t="shared" si="4"/>
        <v>600</v>
      </c>
      <c r="I132" s="2" t="s">
        <v>35</v>
      </c>
      <c r="J132" s="2" t="s">
        <v>31</v>
      </c>
      <c r="K132" s="2" t="s">
        <v>26</v>
      </c>
      <c r="L132" s="2">
        <v>10000</v>
      </c>
      <c r="M132" s="2" t="s">
        <v>30</v>
      </c>
      <c r="N132" s="2" t="s">
        <v>30</v>
      </c>
      <c r="O132" s="2">
        <v>800</v>
      </c>
      <c r="P132" s="2" t="s">
        <v>30</v>
      </c>
      <c r="Q132" s="2" t="s">
        <v>30</v>
      </c>
      <c r="R132" s="2" t="s">
        <v>30</v>
      </c>
      <c r="S132" s="2" t="s">
        <v>30</v>
      </c>
      <c r="T132" s="2">
        <v>665000</v>
      </c>
      <c r="U132" s="2" t="s">
        <v>30</v>
      </c>
      <c r="V132" s="2" t="s">
        <v>30</v>
      </c>
      <c r="W132" s="2" t="s">
        <v>30</v>
      </c>
      <c r="X132" s="2" t="s">
        <v>30</v>
      </c>
    </row>
    <row r="133" spans="1:24" s="4" customFormat="1" x14ac:dyDescent="0.25">
      <c r="A133" s="4" t="s">
        <v>20</v>
      </c>
      <c r="B133" s="4">
        <v>50</v>
      </c>
      <c r="C133" s="4" t="s">
        <v>37</v>
      </c>
      <c r="D133" s="4" t="s">
        <v>23</v>
      </c>
      <c r="E133" s="4">
        <v>3</v>
      </c>
      <c r="F133" s="4">
        <v>50000</v>
      </c>
      <c r="G133" s="4">
        <v>36000</v>
      </c>
      <c r="H133" s="4">
        <f t="shared" si="4"/>
        <v>14000</v>
      </c>
      <c r="I133" s="4" t="s">
        <v>22</v>
      </c>
      <c r="J133" s="4" t="s">
        <v>44</v>
      </c>
      <c r="K133" s="4" t="s">
        <v>21</v>
      </c>
      <c r="L133" s="4">
        <v>0</v>
      </c>
      <c r="M133" s="4" t="s">
        <v>30</v>
      </c>
      <c r="N133" s="4" t="s">
        <v>30</v>
      </c>
      <c r="O133" s="4">
        <v>9000</v>
      </c>
      <c r="P133" s="4" t="s">
        <v>30</v>
      </c>
      <c r="Q133" s="4" t="s">
        <v>30</v>
      </c>
      <c r="R133" s="4" t="s">
        <v>30</v>
      </c>
      <c r="S133" s="4" t="s">
        <v>30</v>
      </c>
      <c r="T133" s="4">
        <v>300000</v>
      </c>
      <c r="U133" s="4" t="s">
        <v>30</v>
      </c>
      <c r="V133" s="4">
        <v>250000</v>
      </c>
      <c r="W133" s="4" t="s">
        <v>30</v>
      </c>
      <c r="X133" s="4" t="s">
        <v>30</v>
      </c>
    </row>
    <row r="134" spans="1:24" s="4" customFormat="1" x14ac:dyDescent="0.25">
      <c r="A134" s="4" t="s">
        <v>19</v>
      </c>
      <c r="B134" s="4">
        <v>36</v>
      </c>
      <c r="C134" s="4" t="s">
        <v>37</v>
      </c>
      <c r="D134" s="4" t="s">
        <v>23</v>
      </c>
      <c r="E134" s="4">
        <v>3</v>
      </c>
      <c r="F134" s="4">
        <v>0</v>
      </c>
      <c r="G134" s="4">
        <v>0</v>
      </c>
      <c r="H134" s="4">
        <f t="shared" si="4"/>
        <v>0</v>
      </c>
      <c r="I134" s="4" t="s">
        <v>22</v>
      </c>
      <c r="J134" s="4" t="s">
        <v>49</v>
      </c>
      <c r="K134" s="4" t="s">
        <v>21</v>
      </c>
      <c r="L134" s="4">
        <v>0</v>
      </c>
      <c r="M134" s="4">
        <v>300</v>
      </c>
      <c r="N134" s="4" t="s">
        <v>30</v>
      </c>
      <c r="O134" s="4" t="s">
        <v>30</v>
      </c>
      <c r="P134" s="4" t="s">
        <v>30</v>
      </c>
      <c r="Q134" s="4" t="s">
        <v>30</v>
      </c>
      <c r="R134" s="4" t="s">
        <v>30</v>
      </c>
      <c r="S134" s="4" t="s">
        <v>30</v>
      </c>
      <c r="T134" s="4">
        <v>300000</v>
      </c>
      <c r="U134" s="4" t="s">
        <v>30</v>
      </c>
      <c r="V134" s="4" t="s">
        <v>30</v>
      </c>
      <c r="W134" s="4" t="s">
        <v>30</v>
      </c>
      <c r="X134" s="4" t="s">
        <v>30</v>
      </c>
    </row>
    <row r="135" spans="1:24" s="3" customFormat="1" x14ac:dyDescent="0.25">
      <c r="A135" s="3" t="s">
        <v>20</v>
      </c>
      <c r="B135" s="3">
        <v>28</v>
      </c>
      <c r="C135" s="3" t="s">
        <v>38</v>
      </c>
      <c r="D135" s="3" t="s">
        <v>41</v>
      </c>
      <c r="E135" s="3">
        <v>0</v>
      </c>
      <c r="F135" s="3">
        <v>15000</v>
      </c>
      <c r="G135" s="3">
        <v>16000</v>
      </c>
      <c r="H135" s="3">
        <f t="shared" si="4"/>
        <v>-1000</v>
      </c>
      <c r="I135" s="3" t="s">
        <v>22</v>
      </c>
      <c r="J135" s="3" t="s">
        <v>48</v>
      </c>
      <c r="K135" s="3" t="s">
        <v>33</v>
      </c>
      <c r="L135" s="3">
        <v>20000</v>
      </c>
      <c r="M135" s="3" t="s">
        <v>30</v>
      </c>
      <c r="N135" s="3" t="s">
        <v>30</v>
      </c>
      <c r="O135" s="3">
        <v>1053</v>
      </c>
      <c r="P135" s="3">
        <v>1000</v>
      </c>
      <c r="Q135" s="3" t="s">
        <v>30</v>
      </c>
      <c r="R135" s="3" t="s">
        <v>30</v>
      </c>
      <c r="S135" s="3" t="s">
        <v>30</v>
      </c>
      <c r="T135" s="3" t="s">
        <v>30</v>
      </c>
      <c r="U135" s="3" t="s">
        <v>30</v>
      </c>
      <c r="V135" s="3" t="s">
        <v>30</v>
      </c>
      <c r="W135" s="3" t="s">
        <v>30</v>
      </c>
      <c r="X135" s="3" t="s">
        <v>30</v>
      </c>
    </row>
    <row r="136" spans="1:24" s="2" customFormat="1" x14ac:dyDescent="0.25">
      <c r="A136" s="2" t="s">
        <v>20</v>
      </c>
      <c r="B136" s="2">
        <v>30</v>
      </c>
      <c r="C136" s="2" t="s">
        <v>37</v>
      </c>
      <c r="D136" s="2" t="s">
        <v>41</v>
      </c>
      <c r="E136" s="2">
        <v>1</v>
      </c>
      <c r="F136" s="2">
        <v>18000</v>
      </c>
      <c r="G136" s="2">
        <v>18000</v>
      </c>
      <c r="H136" s="2">
        <f t="shared" si="4"/>
        <v>0</v>
      </c>
      <c r="I136" s="2" t="s">
        <v>22</v>
      </c>
      <c r="J136" s="2" t="s">
        <v>50</v>
      </c>
      <c r="K136" s="2" t="s">
        <v>21</v>
      </c>
      <c r="L136" s="2">
        <v>200000</v>
      </c>
      <c r="M136" s="2" t="s">
        <v>30</v>
      </c>
      <c r="N136" s="2" t="s">
        <v>30</v>
      </c>
      <c r="O136" s="2">
        <v>1000</v>
      </c>
      <c r="P136" s="2">
        <v>1000</v>
      </c>
      <c r="Q136" s="2" t="s">
        <v>30</v>
      </c>
      <c r="R136" s="2" t="s">
        <v>30</v>
      </c>
      <c r="S136" s="2" t="s">
        <v>30</v>
      </c>
      <c r="T136" s="2">
        <v>1250000</v>
      </c>
      <c r="U136" s="2" t="s">
        <v>30</v>
      </c>
      <c r="V136" s="2" t="s">
        <v>30</v>
      </c>
      <c r="W136" s="2" t="s">
        <v>30</v>
      </c>
      <c r="X136" s="2">
        <v>300</v>
      </c>
    </row>
    <row r="137" spans="1:24" s="2" customFormat="1" x14ac:dyDescent="0.25">
      <c r="A137" s="2" t="s">
        <v>19</v>
      </c>
      <c r="B137" s="2">
        <v>31</v>
      </c>
      <c r="C137" s="2" t="s">
        <v>37</v>
      </c>
      <c r="D137" s="2" t="s">
        <v>41</v>
      </c>
      <c r="E137" s="2">
        <v>1</v>
      </c>
      <c r="F137" s="2">
        <v>7600</v>
      </c>
      <c r="G137" s="2">
        <v>7600</v>
      </c>
      <c r="H137" s="2">
        <f t="shared" si="4"/>
        <v>0</v>
      </c>
      <c r="I137" s="2" t="s">
        <v>22</v>
      </c>
      <c r="J137" s="2" t="s">
        <v>31</v>
      </c>
      <c r="K137" s="2" t="s">
        <v>21</v>
      </c>
      <c r="L137" s="2">
        <v>200000</v>
      </c>
      <c r="M137" s="2">
        <v>300</v>
      </c>
      <c r="N137" s="2" t="s">
        <v>30</v>
      </c>
      <c r="O137" s="2">
        <v>1335</v>
      </c>
      <c r="P137" s="2" t="s">
        <v>30</v>
      </c>
      <c r="Q137" s="2" t="s">
        <v>30</v>
      </c>
      <c r="R137" s="2" t="s">
        <v>30</v>
      </c>
      <c r="S137" s="2" t="s">
        <v>30</v>
      </c>
      <c r="T137" s="2">
        <v>1250000</v>
      </c>
      <c r="U137" s="2" t="s">
        <v>30</v>
      </c>
      <c r="V137" s="2" t="s">
        <v>30</v>
      </c>
      <c r="W137" s="2" t="s">
        <v>30</v>
      </c>
      <c r="X137" s="2" t="s">
        <v>30</v>
      </c>
    </row>
    <row r="138" spans="1:24" s="3" customFormat="1" x14ac:dyDescent="0.25">
      <c r="A138" s="3" t="s">
        <v>19</v>
      </c>
      <c r="B138" s="3">
        <v>39</v>
      </c>
      <c r="C138" s="3" t="s">
        <v>38</v>
      </c>
      <c r="D138" s="3" t="s">
        <v>40</v>
      </c>
      <c r="E138" s="3">
        <v>0</v>
      </c>
      <c r="F138" s="3">
        <v>34000</v>
      </c>
      <c r="G138" s="3">
        <v>19000</v>
      </c>
      <c r="H138" s="3">
        <f t="shared" si="4"/>
        <v>15000</v>
      </c>
      <c r="I138" s="3" t="s">
        <v>35</v>
      </c>
      <c r="J138" s="3" t="s">
        <v>48</v>
      </c>
      <c r="K138" s="3" t="s">
        <v>26</v>
      </c>
      <c r="L138" s="3">
        <v>200000</v>
      </c>
      <c r="M138" s="3" t="s">
        <v>30</v>
      </c>
      <c r="N138" s="3" t="s">
        <v>30</v>
      </c>
      <c r="O138" s="3">
        <v>1300</v>
      </c>
      <c r="P138" s="3" t="s">
        <v>30</v>
      </c>
      <c r="Q138" s="3" t="s">
        <v>30</v>
      </c>
      <c r="R138" s="3">
        <v>200000</v>
      </c>
      <c r="S138" s="3" t="s">
        <v>30</v>
      </c>
      <c r="T138" s="3" t="s">
        <v>30</v>
      </c>
      <c r="U138" s="3" t="s">
        <v>30</v>
      </c>
      <c r="V138" s="3" t="s">
        <v>30</v>
      </c>
      <c r="W138" s="3">
        <v>91</v>
      </c>
      <c r="X138" s="3">
        <v>150</v>
      </c>
    </row>
    <row r="139" spans="1:24" x14ac:dyDescent="0.25">
      <c r="A139" s="1" t="s">
        <v>19</v>
      </c>
      <c r="B139" s="1">
        <v>22</v>
      </c>
      <c r="C139" s="1" t="s">
        <v>38</v>
      </c>
      <c r="D139" s="1" t="s">
        <v>41</v>
      </c>
      <c r="E139" s="1">
        <v>0</v>
      </c>
      <c r="F139" s="1">
        <v>15000</v>
      </c>
      <c r="G139" s="1">
        <v>6700</v>
      </c>
      <c r="H139" s="1">
        <f t="shared" si="4"/>
        <v>8300</v>
      </c>
      <c r="I139" s="1" t="s">
        <v>36</v>
      </c>
      <c r="J139" s="1" t="s">
        <v>50</v>
      </c>
      <c r="K139" s="1" t="s">
        <v>33</v>
      </c>
      <c r="L139" s="1">
        <v>30000</v>
      </c>
      <c r="M139" s="1">
        <v>300</v>
      </c>
      <c r="N139" s="1" t="s">
        <v>30</v>
      </c>
      <c r="O139" s="1">
        <v>560</v>
      </c>
      <c r="P139" s="1">
        <v>500</v>
      </c>
      <c r="Q139" s="1" t="s">
        <v>30</v>
      </c>
      <c r="R139" s="1" t="s">
        <v>30</v>
      </c>
      <c r="S139" s="1" t="s">
        <v>30</v>
      </c>
      <c r="T139" s="1" t="s">
        <v>30</v>
      </c>
      <c r="U139" s="1" t="s">
        <v>30</v>
      </c>
      <c r="V139" s="1" t="s">
        <v>30</v>
      </c>
      <c r="W139" s="1" t="s">
        <v>30</v>
      </c>
      <c r="X139" s="1" t="s">
        <v>30</v>
      </c>
    </row>
    <row r="140" spans="1:24" s="2" customFormat="1" x14ac:dyDescent="0.25">
      <c r="A140" s="2" t="s">
        <v>20</v>
      </c>
      <c r="B140" s="2">
        <v>38</v>
      </c>
      <c r="C140" s="2" t="s">
        <v>38</v>
      </c>
      <c r="D140" s="2" t="s">
        <v>41</v>
      </c>
      <c r="E140" s="2">
        <v>1</v>
      </c>
      <c r="F140" s="2">
        <v>40000</v>
      </c>
      <c r="G140" s="2">
        <v>33280</v>
      </c>
      <c r="H140" s="2">
        <f t="shared" si="4"/>
        <v>6720</v>
      </c>
      <c r="I140" s="2" t="s">
        <v>36</v>
      </c>
      <c r="J140" s="2" t="s">
        <v>44</v>
      </c>
      <c r="K140" s="2" t="s">
        <v>26</v>
      </c>
      <c r="L140" s="2">
        <v>0</v>
      </c>
      <c r="M140" s="2">
        <v>300</v>
      </c>
      <c r="N140" s="2" t="s">
        <v>30</v>
      </c>
      <c r="O140" s="2">
        <v>1800</v>
      </c>
      <c r="P140" s="2">
        <v>3000</v>
      </c>
      <c r="Q140" s="2" t="s">
        <v>30</v>
      </c>
      <c r="R140" s="2" t="s">
        <v>30</v>
      </c>
      <c r="S140" s="2" t="s">
        <v>30</v>
      </c>
      <c r="T140" s="2" t="s">
        <v>30</v>
      </c>
      <c r="U140" s="2" t="s">
        <v>30</v>
      </c>
      <c r="V140" s="2" t="s">
        <v>30</v>
      </c>
      <c r="W140" s="2">
        <v>166</v>
      </c>
      <c r="X140" s="2" t="s">
        <v>30</v>
      </c>
    </row>
    <row r="141" spans="1:24" s="2" customFormat="1" x14ac:dyDescent="0.25">
      <c r="A141" s="2" t="s">
        <v>19</v>
      </c>
      <c r="B141" s="2">
        <v>31</v>
      </c>
      <c r="C141" s="2" t="s">
        <v>38</v>
      </c>
      <c r="D141" s="2" t="s">
        <v>41</v>
      </c>
      <c r="E141" s="2">
        <v>1</v>
      </c>
      <c r="F141" s="2">
        <v>10200</v>
      </c>
      <c r="G141" s="2">
        <v>10200</v>
      </c>
      <c r="H141" s="2">
        <f t="shared" si="4"/>
        <v>0</v>
      </c>
      <c r="I141" s="2" t="s">
        <v>22</v>
      </c>
      <c r="J141" s="2" t="s">
        <v>48</v>
      </c>
      <c r="K141" s="2" t="s">
        <v>26</v>
      </c>
      <c r="L141" s="2">
        <v>0</v>
      </c>
      <c r="M141" s="2">
        <v>300</v>
      </c>
      <c r="N141" s="2" t="s">
        <v>30</v>
      </c>
      <c r="O141" s="2">
        <v>1304</v>
      </c>
      <c r="P141" s="2" t="s">
        <v>30</v>
      </c>
      <c r="Q141" s="2" t="s">
        <v>30</v>
      </c>
      <c r="R141" s="2" t="s">
        <v>30</v>
      </c>
      <c r="S141" s="2" t="s">
        <v>30</v>
      </c>
      <c r="T141" s="2" t="s">
        <v>30</v>
      </c>
      <c r="U141" s="2" t="s">
        <v>30</v>
      </c>
      <c r="V141" s="2" t="s">
        <v>30</v>
      </c>
      <c r="W141" s="2" t="s">
        <v>30</v>
      </c>
      <c r="X141" s="2" t="s">
        <v>30</v>
      </c>
    </row>
    <row r="142" spans="1:24" s="3" customFormat="1" x14ac:dyDescent="0.25">
      <c r="A142" s="3" t="s">
        <v>19</v>
      </c>
      <c r="B142" s="3">
        <v>63</v>
      </c>
      <c r="C142" s="3" t="s">
        <v>39</v>
      </c>
      <c r="D142" s="3" t="s">
        <v>40</v>
      </c>
      <c r="E142" s="3">
        <v>1</v>
      </c>
      <c r="F142" s="3">
        <v>18000</v>
      </c>
      <c r="G142" s="3">
        <v>14000</v>
      </c>
      <c r="H142" s="3">
        <f t="shared" si="4"/>
        <v>4000</v>
      </c>
      <c r="I142" s="3" t="s">
        <v>22</v>
      </c>
      <c r="J142" s="3" t="s">
        <v>50</v>
      </c>
      <c r="K142" s="3" t="s">
        <v>26</v>
      </c>
      <c r="L142" s="3">
        <v>120000</v>
      </c>
      <c r="M142" s="3" t="s">
        <v>30</v>
      </c>
      <c r="N142" s="3" t="s">
        <v>30</v>
      </c>
      <c r="O142" s="3">
        <v>420</v>
      </c>
      <c r="P142" s="3">
        <v>2000</v>
      </c>
      <c r="Q142" s="3" t="s">
        <v>30</v>
      </c>
      <c r="R142" s="3" t="s">
        <v>30</v>
      </c>
      <c r="S142" s="3" t="s">
        <v>30</v>
      </c>
      <c r="T142" s="3" t="s">
        <v>30</v>
      </c>
      <c r="U142" s="3" t="s">
        <v>30</v>
      </c>
      <c r="V142" s="3" t="s">
        <v>30</v>
      </c>
      <c r="W142" s="3">
        <v>100</v>
      </c>
      <c r="X142" s="3" t="s">
        <v>30</v>
      </c>
    </row>
    <row r="143" spans="1:24" x14ac:dyDescent="0.25">
      <c r="A143" s="3" t="s">
        <v>19</v>
      </c>
      <c r="B143" s="3">
        <v>35</v>
      </c>
      <c r="C143" s="3" t="s">
        <v>39</v>
      </c>
      <c r="D143" s="3" t="s">
        <v>41</v>
      </c>
      <c r="E143" s="3">
        <v>1</v>
      </c>
      <c r="F143" s="3">
        <v>25000</v>
      </c>
      <c r="G143" s="3">
        <v>25000</v>
      </c>
      <c r="H143" s="1">
        <f t="shared" si="4"/>
        <v>0</v>
      </c>
      <c r="I143" s="3" t="s">
        <v>35</v>
      </c>
      <c r="J143" s="3" t="s">
        <v>50</v>
      </c>
      <c r="K143" s="3" t="s">
        <v>21</v>
      </c>
      <c r="L143" s="3">
        <v>20000</v>
      </c>
      <c r="M143" s="3">
        <v>300</v>
      </c>
      <c r="N143" s="1" t="s">
        <v>30</v>
      </c>
      <c r="O143" s="3">
        <v>711</v>
      </c>
      <c r="P143" s="3">
        <v>1500</v>
      </c>
      <c r="Q143" s="1" t="s">
        <v>30</v>
      </c>
      <c r="R143" s="1" t="s">
        <v>30</v>
      </c>
      <c r="S143" s="1" t="s">
        <v>30</v>
      </c>
      <c r="T143" s="1" t="s">
        <v>30</v>
      </c>
      <c r="U143" s="1" t="s">
        <v>30</v>
      </c>
      <c r="V143" s="1" t="s">
        <v>30</v>
      </c>
      <c r="W143" s="3">
        <v>105</v>
      </c>
      <c r="X143" s="1" t="s">
        <v>30</v>
      </c>
    </row>
    <row r="144" spans="1:24" s="2" customFormat="1" x14ac:dyDescent="0.25">
      <c r="A144" s="2" t="s">
        <v>19</v>
      </c>
      <c r="B144" s="2">
        <v>35</v>
      </c>
      <c r="C144" s="2" t="s">
        <v>37</v>
      </c>
      <c r="D144" s="2" t="s">
        <v>23</v>
      </c>
      <c r="E144" s="2">
        <v>2</v>
      </c>
      <c r="F144" s="2">
        <v>20000</v>
      </c>
      <c r="G144" s="2">
        <v>17500</v>
      </c>
      <c r="H144" s="2">
        <f t="shared" si="4"/>
        <v>2500</v>
      </c>
      <c r="I144" s="2" t="s">
        <v>35</v>
      </c>
      <c r="J144" s="2" t="s">
        <v>51</v>
      </c>
      <c r="K144" s="2" t="s">
        <v>21</v>
      </c>
      <c r="L144" s="2">
        <v>34000</v>
      </c>
      <c r="M144" s="2">
        <v>300</v>
      </c>
      <c r="N144" s="2" t="s">
        <v>30</v>
      </c>
      <c r="O144" s="2">
        <v>550</v>
      </c>
      <c r="P144" s="2" t="s">
        <v>30</v>
      </c>
      <c r="Q144" s="2" t="s">
        <v>30</v>
      </c>
      <c r="R144" s="2" t="s">
        <v>30</v>
      </c>
      <c r="S144" s="2">
        <v>1500</v>
      </c>
      <c r="T144" s="2" t="s">
        <v>30</v>
      </c>
      <c r="U144" s="2" t="s">
        <v>30</v>
      </c>
      <c r="V144" s="2" t="s">
        <v>30</v>
      </c>
      <c r="W144" s="2">
        <v>290</v>
      </c>
      <c r="X144" s="2">
        <v>650</v>
      </c>
    </row>
    <row r="145" spans="1:24" s="2" customFormat="1" x14ac:dyDescent="0.25">
      <c r="A145" s="2" t="s">
        <v>20</v>
      </c>
      <c r="B145" s="2">
        <v>35</v>
      </c>
      <c r="C145" s="2" t="s">
        <v>37</v>
      </c>
      <c r="D145" s="2" t="s">
        <v>23</v>
      </c>
      <c r="E145" s="2">
        <v>2</v>
      </c>
      <c r="F145" s="2">
        <v>23000</v>
      </c>
      <c r="G145" s="2">
        <v>17500</v>
      </c>
      <c r="H145" s="2">
        <f t="shared" si="4"/>
        <v>5500</v>
      </c>
      <c r="I145" s="2" t="s">
        <v>22</v>
      </c>
      <c r="J145" s="2" t="s">
        <v>50</v>
      </c>
      <c r="K145" s="2" t="s">
        <v>21</v>
      </c>
      <c r="L145" s="2">
        <v>34000</v>
      </c>
      <c r="M145" s="2">
        <v>300</v>
      </c>
      <c r="N145" s="2" t="s">
        <v>30</v>
      </c>
      <c r="O145" s="2">
        <v>1107</v>
      </c>
      <c r="P145" s="2" t="s">
        <v>30</v>
      </c>
      <c r="Q145" s="2" t="s">
        <v>30</v>
      </c>
      <c r="R145" s="2" t="s">
        <v>30</v>
      </c>
      <c r="S145" s="2">
        <v>1500</v>
      </c>
      <c r="T145" s="2" t="s">
        <v>30</v>
      </c>
      <c r="U145" s="2" t="s">
        <v>30</v>
      </c>
      <c r="V145" s="2" t="s">
        <v>30</v>
      </c>
      <c r="W145" s="2" t="s">
        <v>30</v>
      </c>
      <c r="X145" s="2" t="s">
        <v>30</v>
      </c>
    </row>
    <row r="146" spans="1:24" s="6" customFormat="1" x14ac:dyDescent="0.25">
      <c r="A146" s="6" t="s">
        <v>19</v>
      </c>
      <c r="B146" s="6">
        <v>38</v>
      </c>
      <c r="C146" s="6" t="s">
        <v>37</v>
      </c>
      <c r="D146" s="6" t="s">
        <v>41</v>
      </c>
      <c r="E146" s="6">
        <v>1</v>
      </c>
      <c r="F146" s="6">
        <v>19000</v>
      </c>
      <c r="G146" s="6">
        <v>19000</v>
      </c>
      <c r="H146" s="6">
        <f t="shared" si="4"/>
        <v>0</v>
      </c>
      <c r="I146" s="6" t="s">
        <v>22</v>
      </c>
      <c r="J146" s="6" t="s">
        <v>50</v>
      </c>
      <c r="K146" s="6" t="s">
        <v>21</v>
      </c>
      <c r="L146" s="6">
        <v>0</v>
      </c>
      <c r="M146" s="6" t="s">
        <v>30</v>
      </c>
      <c r="N146" s="6" t="s">
        <v>30</v>
      </c>
      <c r="O146" s="6">
        <v>750</v>
      </c>
      <c r="P146" s="6" t="s">
        <v>30</v>
      </c>
      <c r="Q146" s="6" t="s">
        <v>30</v>
      </c>
      <c r="R146" s="6" t="s">
        <v>30</v>
      </c>
      <c r="S146" s="6" t="s">
        <v>30</v>
      </c>
      <c r="T146" s="6">
        <v>850000</v>
      </c>
      <c r="U146" s="6">
        <v>130000</v>
      </c>
      <c r="V146" s="6" t="s">
        <v>30</v>
      </c>
      <c r="W146" s="6" t="s">
        <v>30</v>
      </c>
      <c r="X146" s="6" t="s">
        <v>30</v>
      </c>
    </row>
    <row r="147" spans="1:24" s="6" customFormat="1" x14ac:dyDescent="0.25">
      <c r="A147" s="6" t="s">
        <v>20</v>
      </c>
      <c r="B147" s="6">
        <v>40</v>
      </c>
      <c r="C147" s="6" t="s">
        <v>37</v>
      </c>
      <c r="D147" s="6" t="s">
        <v>41</v>
      </c>
      <c r="E147" s="6">
        <v>1</v>
      </c>
      <c r="F147" s="6">
        <v>30600</v>
      </c>
      <c r="G147" s="6">
        <v>30600</v>
      </c>
      <c r="H147" s="6">
        <f t="shared" si="4"/>
        <v>0</v>
      </c>
      <c r="I147" s="6" t="s">
        <v>22</v>
      </c>
      <c r="J147" s="6" t="s">
        <v>50</v>
      </c>
      <c r="K147" s="6" t="s">
        <v>21</v>
      </c>
      <c r="L147" s="6">
        <v>0</v>
      </c>
      <c r="M147" s="6" t="s">
        <v>30</v>
      </c>
      <c r="N147" s="6" t="s">
        <v>30</v>
      </c>
      <c r="O147" s="6" t="s">
        <v>30</v>
      </c>
      <c r="P147" s="6" t="s">
        <v>30</v>
      </c>
      <c r="Q147" s="6" t="s">
        <v>30</v>
      </c>
      <c r="R147" s="6" t="s">
        <v>30</v>
      </c>
      <c r="S147" s="6" t="s">
        <v>30</v>
      </c>
      <c r="T147" s="6">
        <v>850000</v>
      </c>
      <c r="U147" s="6">
        <v>130000</v>
      </c>
      <c r="V147" s="6" t="s">
        <v>30</v>
      </c>
      <c r="W147" s="6" t="s">
        <v>30</v>
      </c>
      <c r="X147" s="6" t="s">
        <v>30</v>
      </c>
    </row>
    <row r="148" spans="1:24" s="2" customFormat="1" x14ac:dyDescent="0.25">
      <c r="A148" s="2" t="s">
        <v>19</v>
      </c>
      <c r="B148" s="2">
        <v>29</v>
      </c>
      <c r="C148" s="2" t="s">
        <v>37</v>
      </c>
      <c r="D148" s="2" t="s">
        <v>41</v>
      </c>
      <c r="E148" s="2">
        <v>1</v>
      </c>
      <c r="F148" s="2">
        <v>20400</v>
      </c>
      <c r="G148" s="2">
        <v>15900</v>
      </c>
      <c r="H148" s="2">
        <f t="shared" si="4"/>
        <v>4500</v>
      </c>
      <c r="I148" s="2" t="s">
        <v>22</v>
      </c>
      <c r="J148" s="2" t="s">
        <v>31</v>
      </c>
      <c r="K148" s="2" t="s">
        <v>21</v>
      </c>
      <c r="L148" s="2">
        <v>50000</v>
      </c>
      <c r="M148" s="2">
        <v>100</v>
      </c>
      <c r="N148" s="2" t="s">
        <v>30</v>
      </c>
      <c r="O148" s="2">
        <v>640</v>
      </c>
      <c r="P148" s="2" t="s">
        <v>30</v>
      </c>
      <c r="Q148" s="2" t="s">
        <v>30</v>
      </c>
      <c r="R148" s="2" t="s">
        <v>30</v>
      </c>
      <c r="S148" s="2" t="s">
        <v>30</v>
      </c>
      <c r="T148" s="2">
        <v>550000</v>
      </c>
      <c r="U148" s="2" t="s">
        <v>30</v>
      </c>
      <c r="V148" s="2" t="s">
        <v>30</v>
      </c>
      <c r="W148" s="2" t="s">
        <v>30</v>
      </c>
      <c r="X148" s="2">
        <v>173</v>
      </c>
    </row>
    <row r="149" spans="1:24" s="2" customFormat="1" x14ac:dyDescent="0.25">
      <c r="A149" s="2" t="s">
        <v>20</v>
      </c>
      <c r="B149" s="2">
        <v>32</v>
      </c>
      <c r="C149" s="2" t="s">
        <v>37</v>
      </c>
      <c r="D149" s="2" t="s">
        <v>41</v>
      </c>
      <c r="E149" s="2">
        <v>1</v>
      </c>
      <c r="F149" s="2">
        <v>23000</v>
      </c>
      <c r="G149" s="2">
        <v>15900</v>
      </c>
      <c r="H149" s="2">
        <f t="shared" si="4"/>
        <v>7100</v>
      </c>
      <c r="I149" s="2" t="s">
        <v>22</v>
      </c>
      <c r="J149" s="2" t="s">
        <v>48</v>
      </c>
      <c r="K149" s="2" t="s">
        <v>21</v>
      </c>
      <c r="L149" s="2">
        <v>50000</v>
      </c>
      <c r="M149" s="2">
        <v>300</v>
      </c>
      <c r="N149" s="2" t="s">
        <v>30</v>
      </c>
      <c r="O149" s="2">
        <v>825</v>
      </c>
      <c r="P149" s="2" t="s">
        <v>30</v>
      </c>
      <c r="Q149" s="2" t="s">
        <v>30</v>
      </c>
      <c r="R149" s="2" t="s">
        <v>30</v>
      </c>
      <c r="S149" s="2" t="s">
        <v>30</v>
      </c>
      <c r="T149" s="2">
        <v>550000</v>
      </c>
      <c r="U149" s="2" t="s">
        <v>30</v>
      </c>
      <c r="V149" s="2" t="s">
        <v>30</v>
      </c>
      <c r="W149" s="2" t="s">
        <v>30</v>
      </c>
      <c r="X149" s="2">
        <v>225</v>
      </c>
    </row>
    <row r="150" spans="1:24" s="6" customFormat="1" x14ac:dyDescent="0.25">
      <c r="A150" s="6" t="s">
        <v>19</v>
      </c>
      <c r="B150" s="6">
        <v>40</v>
      </c>
      <c r="C150" s="6" t="s">
        <v>37</v>
      </c>
      <c r="D150" s="6" t="s">
        <v>23</v>
      </c>
      <c r="E150" s="6">
        <v>3</v>
      </c>
      <c r="F150" s="6">
        <v>7600</v>
      </c>
      <c r="G150" s="6">
        <v>7600</v>
      </c>
      <c r="H150" s="6">
        <f t="shared" si="4"/>
        <v>0</v>
      </c>
      <c r="I150" s="6" t="s">
        <v>35</v>
      </c>
      <c r="J150" s="6" t="s">
        <v>31</v>
      </c>
      <c r="K150" s="6" t="s">
        <v>21</v>
      </c>
      <c r="L150" s="6">
        <v>200000</v>
      </c>
      <c r="M150" s="6" t="s">
        <v>30</v>
      </c>
      <c r="N150" s="6" t="s">
        <v>30</v>
      </c>
      <c r="O150" s="6">
        <v>820</v>
      </c>
      <c r="P150" s="6" t="s">
        <v>30</v>
      </c>
      <c r="Q150" s="6" t="s">
        <v>30</v>
      </c>
      <c r="R150" s="6" t="s">
        <v>30</v>
      </c>
      <c r="S150" s="6" t="s">
        <v>30</v>
      </c>
      <c r="T150" s="6">
        <v>1050000</v>
      </c>
      <c r="U150" s="6" t="s">
        <v>30</v>
      </c>
      <c r="V150" s="6" t="s">
        <v>30</v>
      </c>
      <c r="W150" s="6">
        <v>220</v>
      </c>
      <c r="X150" s="6">
        <v>266</v>
      </c>
    </row>
    <row r="151" spans="1:24" s="6" customFormat="1" x14ac:dyDescent="0.25">
      <c r="A151" s="6" t="s">
        <v>20</v>
      </c>
      <c r="B151" s="6">
        <v>43</v>
      </c>
      <c r="C151" s="6" t="s">
        <v>37</v>
      </c>
      <c r="D151" s="6" t="s">
        <v>23</v>
      </c>
      <c r="E151" s="6">
        <v>3</v>
      </c>
      <c r="F151" s="6">
        <v>34500</v>
      </c>
      <c r="G151" s="6">
        <v>32400</v>
      </c>
      <c r="H151" s="6">
        <f t="shared" si="4"/>
        <v>2100</v>
      </c>
      <c r="I151" s="6" t="s">
        <v>35</v>
      </c>
      <c r="J151" s="6" t="s">
        <v>44</v>
      </c>
      <c r="K151" s="6" t="s">
        <v>21</v>
      </c>
      <c r="L151" s="6">
        <v>200000</v>
      </c>
      <c r="M151" s="6" t="s">
        <v>30</v>
      </c>
      <c r="N151" s="6" t="s">
        <v>30</v>
      </c>
      <c r="O151" s="6" t="s">
        <v>30</v>
      </c>
      <c r="P151" s="6" t="s">
        <v>30</v>
      </c>
      <c r="Q151" s="6" t="s">
        <v>30</v>
      </c>
      <c r="R151" s="6" t="s">
        <v>30</v>
      </c>
      <c r="S151" s="6" t="s">
        <v>30</v>
      </c>
      <c r="T151" s="6">
        <v>1050000</v>
      </c>
      <c r="U151" s="6" t="s">
        <v>30</v>
      </c>
      <c r="V151" s="6" t="s">
        <v>30</v>
      </c>
      <c r="W151" s="6" t="s">
        <v>30</v>
      </c>
      <c r="X151" s="6" t="s">
        <v>30</v>
      </c>
    </row>
    <row r="152" spans="1:24" s="2" customFormat="1" x14ac:dyDescent="0.25">
      <c r="A152" s="2" t="s">
        <v>20</v>
      </c>
      <c r="B152" s="2">
        <v>39</v>
      </c>
      <c r="C152" s="2" t="s">
        <v>38</v>
      </c>
      <c r="D152" s="2" t="s">
        <v>41</v>
      </c>
      <c r="E152" s="2">
        <v>2</v>
      </c>
      <c r="F152" s="2">
        <v>29000</v>
      </c>
      <c r="G152" s="2">
        <v>18000</v>
      </c>
      <c r="H152" s="2">
        <f t="shared" si="4"/>
        <v>11000</v>
      </c>
      <c r="I152" s="2" t="s">
        <v>32</v>
      </c>
      <c r="J152" s="2" t="s">
        <v>45</v>
      </c>
      <c r="K152" s="2" t="s">
        <v>21</v>
      </c>
      <c r="L152" s="2">
        <v>40000</v>
      </c>
      <c r="M152" s="2">
        <v>100</v>
      </c>
      <c r="N152" s="2" t="s">
        <v>30</v>
      </c>
      <c r="O152" s="2">
        <v>600</v>
      </c>
      <c r="P152" s="2" t="s">
        <v>30</v>
      </c>
      <c r="Q152" s="2" t="s">
        <v>30</v>
      </c>
      <c r="R152" s="2" t="s">
        <v>30</v>
      </c>
      <c r="S152" s="2" t="s">
        <v>30</v>
      </c>
      <c r="T152" s="2" t="s">
        <v>30</v>
      </c>
      <c r="U152" s="2">
        <v>300000</v>
      </c>
      <c r="V152" s="2" t="s">
        <v>30</v>
      </c>
      <c r="W152" s="2" t="s">
        <v>30</v>
      </c>
      <c r="X152" s="2">
        <v>210</v>
      </c>
    </row>
    <row r="153" spans="1:24" s="2" customFormat="1" x14ac:dyDescent="0.25">
      <c r="A153" s="2" t="s">
        <v>19</v>
      </c>
      <c r="B153" s="2">
        <v>40</v>
      </c>
      <c r="C153" s="2" t="s">
        <v>38</v>
      </c>
      <c r="D153" s="2" t="s">
        <v>41</v>
      </c>
      <c r="E153" s="2">
        <v>2</v>
      </c>
      <c r="F153" s="2">
        <v>14000</v>
      </c>
      <c r="G153" s="2">
        <v>14000</v>
      </c>
      <c r="H153" s="2">
        <f t="shared" si="4"/>
        <v>0</v>
      </c>
      <c r="I153" s="2" t="s">
        <v>22</v>
      </c>
      <c r="J153" s="2" t="s">
        <v>51</v>
      </c>
      <c r="K153" s="2" t="s">
        <v>21</v>
      </c>
      <c r="L153" s="2">
        <v>40000</v>
      </c>
      <c r="M153" s="2">
        <v>100</v>
      </c>
      <c r="N153" s="2" t="s">
        <v>30</v>
      </c>
      <c r="O153" s="2">
        <v>600</v>
      </c>
      <c r="P153" s="2" t="s">
        <v>30</v>
      </c>
      <c r="Q153" s="2" t="s">
        <v>30</v>
      </c>
      <c r="R153" s="2" t="s">
        <v>30</v>
      </c>
      <c r="S153" s="2" t="s">
        <v>30</v>
      </c>
      <c r="T153" s="2" t="s">
        <v>30</v>
      </c>
      <c r="U153" s="2">
        <v>200000</v>
      </c>
      <c r="V153" s="2" t="s">
        <v>30</v>
      </c>
      <c r="W153" s="2" t="s">
        <v>30</v>
      </c>
      <c r="X153" s="2" t="s">
        <v>30</v>
      </c>
    </row>
    <row r="154" spans="1:24" s="3" customFormat="1" x14ac:dyDescent="0.25">
      <c r="A154" s="3" t="s">
        <v>19</v>
      </c>
      <c r="B154" s="3">
        <v>40</v>
      </c>
      <c r="C154" s="3" t="s">
        <v>37</v>
      </c>
      <c r="D154" s="3" t="s">
        <v>41</v>
      </c>
      <c r="E154" s="3">
        <v>2</v>
      </c>
      <c r="F154" s="3">
        <v>50000</v>
      </c>
      <c r="G154" s="3">
        <v>27500</v>
      </c>
      <c r="H154" s="3">
        <f t="shared" si="4"/>
        <v>22500</v>
      </c>
      <c r="I154" s="3" t="s">
        <v>22</v>
      </c>
      <c r="J154" s="3" t="s">
        <v>44</v>
      </c>
      <c r="K154" s="3" t="s">
        <v>21</v>
      </c>
      <c r="L154" s="3">
        <v>300000</v>
      </c>
      <c r="M154" s="3">
        <v>500</v>
      </c>
      <c r="N154" s="3" t="s">
        <v>30</v>
      </c>
      <c r="O154" s="3">
        <v>900</v>
      </c>
      <c r="P154" s="3">
        <v>5000</v>
      </c>
      <c r="Q154" s="3" t="s">
        <v>30</v>
      </c>
      <c r="R154" s="3" t="s">
        <v>30</v>
      </c>
      <c r="S154" s="3">
        <v>1500</v>
      </c>
      <c r="T154" s="3">
        <v>1100000</v>
      </c>
      <c r="U154" s="3" t="s">
        <v>30</v>
      </c>
      <c r="V154" s="3">
        <v>350000</v>
      </c>
      <c r="W154" s="3">
        <v>310</v>
      </c>
      <c r="X154" s="3">
        <v>208</v>
      </c>
    </row>
    <row r="155" spans="1:24" s="3" customFormat="1" x14ac:dyDescent="0.25">
      <c r="A155" s="3" t="s">
        <v>20</v>
      </c>
      <c r="B155" s="3">
        <v>41</v>
      </c>
      <c r="C155" s="3" t="s">
        <v>37</v>
      </c>
      <c r="D155" s="3" t="s">
        <v>23</v>
      </c>
      <c r="E155" s="3">
        <v>2</v>
      </c>
      <c r="F155" s="3">
        <v>40000</v>
      </c>
      <c r="G155" s="3">
        <v>27500</v>
      </c>
      <c r="H155" s="3">
        <f t="shared" si="4"/>
        <v>12500</v>
      </c>
      <c r="I155" s="3" t="s">
        <v>35</v>
      </c>
      <c r="J155" s="3" t="s">
        <v>50</v>
      </c>
      <c r="K155" s="3" t="s">
        <v>21</v>
      </c>
      <c r="L155" s="3">
        <v>0</v>
      </c>
      <c r="M155" s="3">
        <v>500</v>
      </c>
      <c r="N155" s="3" t="s">
        <v>30</v>
      </c>
      <c r="O155" s="3">
        <v>1535</v>
      </c>
      <c r="P155" s="3" t="s">
        <v>30</v>
      </c>
      <c r="Q155" s="3" t="s">
        <v>30</v>
      </c>
      <c r="R155" s="3" t="s">
        <v>30</v>
      </c>
      <c r="S155" s="3">
        <v>1500</v>
      </c>
      <c r="T155" s="3" t="s">
        <v>30</v>
      </c>
      <c r="U155" s="3" t="s">
        <v>30</v>
      </c>
      <c r="V155" s="3" t="s">
        <v>30</v>
      </c>
      <c r="W155" s="3" t="s">
        <v>30</v>
      </c>
      <c r="X155" s="3" t="s">
        <v>30</v>
      </c>
    </row>
    <row r="156" spans="1:24" s="2" customFormat="1" x14ac:dyDescent="0.25">
      <c r="A156" s="2" t="s">
        <v>19</v>
      </c>
      <c r="B156" s="2">
        <v>38</v>
      </c>
      <c r="C156" s="2" t="s">
        <v>37</v>
      </c>
      <c r="D156" s="2" t="s">
        <v>40</v>
      </c>
      <c r="E156" s="2">
        <v>2</v>
      </c>
      <c r="F156" s="2">
        <v>19000</v>
      </c>
      <c r="G156" s="2">
        <v>19000</v>
      </c>
      <c r="H156" s="2">
        <f t="shared" si="4"/>
        <v>0</v>
      </c>
      <c r="I156" s="2" t="s">
        <v>22</v>
      </c>
      <c r="J156" s="2" t="s">
        <v>50</v>
      </c>
      <c r="K156" s="2" t="s">
        <v>26</v>
      </c>
      <c r="L156" s="2">
        <v>0</v>
      </c>
      <c r="M156" s="2" t="s">
        <v>30</v>
      </c>
      <c r="N156" s="2" t="s">
        <v>30</v>
      </c>
      <c r="O156" s="2" t="s">
        <v>30</v>
      </c>
      <c r="P156" s="2" t="s">
        <v>30</v>
      </c>
      <c r="Q156" s="2" t="s">
        <v>30</v>
      </c>
      <c r="R156" s="2" t="s">
        <v>30</v>
      </c>
      <c r="S156" s="2">
        <v>1700</v>
      </c>
      <c r="T156" s="2" t="s">
        <v>30</v>
      </c>
      <c r="U156" s="2">
        <v>125000</v>
      </c>
      <c r="V156" s="2" t="s">
        <v>30</v>
      </c>
      <c r="W156" s="2">
        <v>190</v>
      </c>
      <c r="X156" s="2">
        <v>225</v>
      </c>
    </row>
    <row r="157" spans="1:24" s="2" customFormat="1" x14ac:dyDescent="0.25">
      <c r="A157" s="2" t="s">
        <v>20</v>
      </c>
      <c r="B157" s="2">
        <v>40</v>
      </c>
      <c r="C157" s="2" t="s">
        <v>37</v>
      </c>
      <c r="D157" s="2" t="s">
        <v>40</v>
      </c>
      <c r="E157" s="2">
        <v>2</v>
      </c>
      <c r="F157" s="2">
        <v>27000</v>
      </c>
      <c r="G157" s="2">
        <v>27000</v>
      </c>
      <c r="H157" s="2">
        <f t="shared" si="4"/>
        <v>0</v>
      </c>
      <c r="I157" s="2" t="s">
        <v>22</v>
      </c>
      <c r="J157" s="2" t="s">
        <v>50</v>
      </c>
      <c r="K157" s="2" t="s">
        <v>26</v>
      </c>
      <c r="L157" s="2">
        <v>0</v>
      </c>
      <c r="M157" s="2" t="s">
        <v>30</v>
      </c>
      <c r="N157" s="2" t="s">
        <v>30</v>
      </c>
      <c r="O157" s="2" t="s">
        <v>30</v>
      </c>
      <c r="P157" s="2" t="s">
        <v>30</v>
      </c>
      <c r="Q157" s="2" t="s">
        <v>30</v>
      </c>
      <c r="R157" s="2" t="s">
        <v>30</v>
      </c>
      <c r="S157" s="2">
        <v>1700</v>
      </c>
      <c r="T157" s="2" t="s">
        <v>30</v>
      </c>
      <c r="U157" s="2">
        <v>125000</v>
      </c>
      <c r="V157" s="2" t="s">
        <v>30</v>
      </c>
      <c r="W157" s="2" t="s">
        <v>30</v>
      </c>
      <c r="X157" s="2" t="s">
        <v>30</v>
      </c>
    </row>
    <row r="158" spans="1:24" s="6" customFormat="1" x14ac:dyDescent="0.25">
      <c r="A158" s="6" t="s">
        <v>19</v>
      </c>
      <c r="B158" s="6">
        <v>37</v>
      </c>
      <c r="C158" s="6" t="s">
        <v>37</v>
      </c>
      <c r="D158" s="6" t="s">
        <v>40</v>
      </c>
      <c r="E158" s="6">
        <v>2</v>
      </c>
      <c r="F158" s="6">
        <v>13000</v>
      </c>
      <c r="G158" s="6">
        <v>11450</v>
      </c>
      <c r="H158" s="6">
        <f t="shared" si="4"/>
        <v>1550</v>
      </c>
      <c r="I158" s="6" t="s">
        <v>34</v>
      </c>
      <c r="J158" s="6" t="s">
        <v>48</v>
      </c>
      <c r="K158" s="6" t="s">
        <v>21</v>
      </c>
      <c r="L158" s="6">
        <v>10000</v>
      </c>
      <c r="M158" s="6" t="s">
        <v>30</v>
      </c>
      <c r="N158" s="6" t="s">
        <v>30</v>
      </c>
      <c r="O158" s="6">
        <v>890</v>
      </c>
      <c r="P158" s="6">
        <v>1000</v>
      </c>
      <c r="Q158" s="6" t="s">
        <v>30</v>
      </c>
      <c r="R158" s="6" t="s">
        <v>30</v>
      </c>
      <c r="S158" s="6" t="s">
        <v>30</v>
      </c>
      <c r="T158" s="6">
        <v>550000</v>
      </c>
      <c r="U158" s="6" t="s">
        <v>30</v>
      </c>
      <c r="V158" s="6" t="s">
        <v>30</v>
      </c>
      <c r="W158" s="6" t="s">
        <v>30</v>
      </c>
      <c r="X158" s="6" t="s">
        <v>30</v>
      </c>
    </row>
    <row r="159" spans="1:24" s="6" customFormat="1" x14ac:dyDescent="0.25">
      <c r="A159" s="6" t="s">
        <v>20</v>
      </c>
      <c r="B159" s="6">
        <v>37</v>
      </c>
      <c r="C159" s="6" t="s">
        <v>37</v>
      </c>
      <c r="D159" s="6" t="s">
        <v>40</v>
      </c>
      <c r="E159" s="6">
        <v>2</v>
      </c>
      <c r="F159" s="6">
        <v>21000</v>
      </c>
      <c r="G159" s="6">
        <v>11450</v>
      </c>
      <c r="H159" s="6">
        <f t="shared" si="4"/>
        <v>9550</v>
      </c>
      <c r="I159" s="6" t="s">
        <v>34</v>
      </c>
      <c r="J159" s="6" t="s">
        <v>48</v>
      </c>
      <c r="K159" s="6" t="s">
        <v>21</v>
      </c>
      <c r="L159" s="6">
        <v>10000</v>
      </c>
      <c r="M159" s="6" t="s">
        <v>30</v>
      </c>
      <c r="N159" s="6" t="s">
        <v>30</v>
      </c>
      <c r="O159" s="6">
        <v>901</v>
      </c>
      <c r="P159" s="6">
        <v>500</v>
      </c>
      <c r="Q159" s="6" t="s">
        <v>30</v>
      </c>
      <c r="R159" s="6" t="s">
        <v>30</v>
      </c>
      <c r="S159" s="6" t="s">
        <v>30</v>
      </c>
      <c r="T159" s="6">
        <v>550000</v>
      </c>
      <c r="U159" s="6" t="s">
        <v>30</v>
      </c>
      <c r="V159" s="6" t="s">
        <v>30</v>
      </c>
      <c r="W159" s="6">
        <v>322</v>
      </c>
      <c r="X159" s="6">
        <v>371</v>
      </c>
    </row>
    <row r="160" spans="1:24" s="2" customFormat="1" x14ac:dyDescent="0.25">
      <c r="A160" s="2" t="s">
        <v>19</v>
      </c>
      <c r="B160" s="2">
        <v>41</v>
      </c>
      <c r="C160" s="2" t="s">
        <v>37</v>
      </c>
      <c r="D160" s="2" t="s">
        <v>41</v>
      </c>
      <c r="E160" s="2">
        <v>2</v>
      </c>
      <c r="F160" s="2">
        <v>21400</v>
      </c>
      <c r="G160" s="2">
        <v>21400</v>
      </c>
      <c r="H160" s="2">
        <f t="shared" si="4"/>
        <v>0</v>
      </c>
      <c r="I160" s="2" t="s">
        <v>36</v>
      </c>
      <c r="J160" s="2" t="s">
        <v>50</v>
      </c>
      <c r="K160" s="2" t="s">
        <v>21</v>
      </c>
      <c r="L160" s="2">
        <v>2000000</v>
      </c>
      <c r="M160" s="2" t="s">
        <v>30</v>
      </c>
      <c r="N160" s="2" t="s">
        <v>30</v>
      </c>
      <c r="O160" s="2">
        <v>1044</v>
      </c>
      <c r="P160" s="2" t="s">
        <v>30</v>
      </c>
      <c r="Q160" s="2" t="s">
        <v>30</v>
      </c>
      <c r="R160" s="2">
        <v>500000</v>
      </c>
      <c r="S160" s="2">
        <v>1700</v>
      </c>
      <c r="T160" s="2" t="s">
        <v>30</v>
      </c>
      <c r="U160" s="2" t="s">
        <v>30</v>
      </c>
      <c r="V160" s="2" t="s">
        <v>30</v>
      </c>
      <c r="W160" s="2" t="s">
        <v>30</v>
      </c>
      <c r="X160" s="2">
        <v>383</v>
      </c>
    </row>
    <row r="161" spans="1:24" s="2" customFormat="1" x14ac:dyDescent="0.25">
      <c r="A161" s="2" t="s">
        <v>20</v>
      </c>
      <c r="B161" s="2">
        <v>45</v>
      </c>
      <c r="C161" s="2" t="s">
        <v>37</v>
      </c>
      <c r="D161" s="2" t="s">
        <v>41</v>
      </c>
      <c r="E161" s="2">
        <v>2</v>
      </c>
      <c r="F161" s="2">
        <v>80000</v>
      </c>
      <c r="G161" s="2">
        <v>34600</v>
      </c>
      <c r="H161" s="2">
        <f t="shared" si="4"/>
        <v>45400</v>
      </c>
      <c r="I161" s="2" t="s">
        <v>35</v>
      </c>
      <c r="J161" s="2" t="s">
        <v>50</v>
      </c>
      <c r="K161" s="2" t="s">
        <v>21</v>
      </c>
      <c r="L161" s="2">
        <v>2000000</v>
      </c>
      <c r="M161" s="2" t="s">
        <v>30</v>
      </c>
      <c r="N161" s="2" t="s">
        <v>30</v>
      </c>
      <c r="O161" s="2">
        <v>1750</v>
      </c>
      <c r="P161" s="2" t="s">
        <v>30</v>
      </c>
      <c r="Q161" s="2" t="s">
        <v>30</v>
      </c>
      <c r="R161" s="2">
        <v>500000</v>
      </c>
      <c r="S161" s="2">
        <v>1700</v>
      </c>
      <c r="T161" s="2" t="s">
        <v>30</v>
      </c>
      <c r="U161" s="2" t="s">
        <v>30</v>
      </c>
      <c r="V161" s="2" t="s">
        <v>30</v>
      </c>
      <c r="W161" s="2">
        <v>433</v>
      </c>
      <c r="X161" s="2">
        <v>233</v>
      </c>
    </row>
    <row r="162" spans="1:24" s="6" customFormat="1" x14ac:dyDescent="0.25">
      <c r="A162" s="6" t="s">
        <v>19</v>
      </c>
      <c r="B162" s="6">
        <v>30</v>
      </c>
      <c r="C162" s="6" t="s">
        <v>37</v>
      </c>
      <c r="D162" s="6" t="s">
        <v>41</v>
      </c>
      <c r="E162" s="6">
        <v>2</v>
      </c>
      <c r="F162" s="6">
        <v>10100</v>
      </c>
      <c r="G162" s="6">
        <v>10100</v>
      </c>
      <c r="H162" s="6">
        <f t="shared" si="4"/>
        <v>0</v>
      </c>
      <c r="I162" s="6" t="s">
        <v>22</v>
      </c>
      <c r="J162" s="6" t="s">
        <v>31</v>
      </c>
      <c r="K162" s="6" t="s">
        <v>21</v>
      </c>
      <c r="L162" s="6">
        <v>0</v>
      </c>
      <c r="M162" s="6">
        <v>300</v>
      </c>
      <c r="N162" s="6" t="s">
        <v>30</v>
      </c>
      <c r="O162" s="6">
        <v>1020</v>
      </c>
      <c r="P162" s="6" t="s">
        <v>30</v>
      </c>
      <c r="Q162" s="6" t="s">
        <v>30</v>
      </c>
      <c r="R162" s="6" t="s">
        <v>30</v>
      </c>
      <c r="S162" s="6" t="s">
        <v>30</v>
      </c>
      <c r="T162" s="6">
        <v>1250000</v>
      </c>
      <c r="U162" s="6">
        <v>150000</v>
      </c>
      <c r="V162" s="6" t="s">
        <v>30</v>
      </c>
      <c r="W162" s="6">
        <v>450</v>
      </c>
      <c r="X162" s="6">
        <v>133</v>
      </c>
    </row>
    <row r="163" spans="1:24" s="6" customFormat="1" x14ac:dyDescent="0.25">
      <c r="A163" s="6" t="s">
        <v>20</v>
      </c>
      <c r="B163" s="6">
        <v>35</v>
      </c>
      <c r="C163" s="6" t="s">
        <v>37</v>
      </c>
      <c r="D163" s="6" t="s">
        <v>41</v>
      </c>
      <c r="E163" s="6">
        <v>2</v>
      </c>
      <c r="F163" s="6">
        <v>22000</v>
      </c>
      <c r="G163" s="6">
        <v>22000</v>
      </c>
      <c r="H163" s="6">
        <f t="shared" si="4"/>
        <v>0</v>
      </c>
      <c r="I163" s="6" t="s">
        <v>22</v>
      </c>
      <c r="J163" s="6" t="s">
        <v>51</v>
      </c>
      <c r="K163" s="6" t="s">
        <v>21</v>
      </c>
      <c r="L163" s="6">
        <v>0</v>
      </c>
      <c r="M163" s="6">
        <v>300</v>
      </c>
      <c r="N163" s="6" t="s">
        <v>30</v>
      </c>
      <c r="O163" s="6" t="s">
        <v>30</v>
      </c>
      <c r="P163" s="6" t="s">
        <v>30</v>
      </c>
      <c r="Q163" s="6" t="s">
        <v>30</v>
      </c>
      <c r="R163" s="6" t="s">
        <v>30</v>
      </c>
      <c r="S163" s="6" t="s">
        <v>30</v>
      </c>
      <c r="T163" s="6">
        <v>1250000</v>
      </c>
      <c r="U163" s="6">
        <v>150000</v>
      </c>
      <c r="V163" s="6" t="s">
        <v>30</v>
      </c>
      <c r="W163" s="6" t="s">
        <v>30</v>
      </c>
      <c r="X163" s="6" t="s">
        <v>30</v>
      </c>
    </row>
    <row r="164" spans="1:24" s="3" customFormat="1" ht="15.75" customHeight="1" x14ac:dyDescent="0.25">
      <c r="A164" s="3" t="s">
        <v>19</v>
      </c>
      <c r="B164" s="3">
        <v>42</v>
      </c>
      <c r="C164" s="3" t="s">
        <v>39</v>
      </c>
      <c r="D164" s="3" t="s">
        <v>41</v>
      </c>
      <c r="E164" s="3">
        <v>1</v>
      </c>
      <c r="F164" s="3">
        <v>30000</v>
      </c>
      <c r="G164" s="3">
        <v>25000</v>
      </c>
      <c r="H164" s="3">
        <f t="shared" si="4"/>
        <v>5000</v>
      </c>
      <c r="I164" s="3" t="s">
        <v>22</v>
      </c>
      <c r="J164" s="3" t="s">
        <v>51</v>
      </c>
      <c r="K164" s="3" t="s">
        <v>24</v>
      </c>
      <c r="L164" s="3">
        <v>100000</v>
      </c>
      <c r="M164" s="3">
        <v>500</v>
      </c>
      <c r="N164" s="3" t="s">
        <v>30</v>
      </c>
      <c r="O164" s="3">
        <v>680</v>
      </c>
      <c r="P164" s="3" t="s">
        <v>30</v>
      </c>
      <c r="Q164" s="3" t="s">
        <v>30</v>
      </c>
      <c r="R164" s="3" t="s">
        <v>30</v>
      </c>
      <c r="S164" s="3" t="s">
        <v>30</v>
      </c>
      <c r="T164" s="3" t="s">
        <v>30</v>
      </c>
      <c r="U164" s="3" t="s">
        <v>30</v>
      </c>
      <c r="V164" s="3" t="s">
        <v>30</v>
      </c>
      <c r="W164" s="3">
        <v>81</v>
      </c>
      <c r="X164" s="3">
        <v>761</v>
      </c>
    </row>
    <row r="165" spans="1:24" s="2" customFormat="1" x14ac:dyDescent="0.25">
      <c r="A165" s="2" t="s">
        <v>19</v>
      </c>
      <c r="B165" s="2">
        <v>38</v>
      </c>
      <c r="C165" s="2" t="s">
        <v>37</v>
      </c>
      <c r="D165" s="2" t="s">
        <v>41</v>
      </c>
      <c r="E165" s="2">
        <v>2</v>
      </c>
      <c r="F165" s="2">
        <v>15000</v>
      </c>
      <c r="G165" s="2">
        <v>15000</v>
      </c>
      <c r="H165" s="2">
        <f t="shared" si="4"/>
        <v>0</v>
      </c>
      <c r="I165" s="2" t="s">
        <v>35</v>
      </c>
      <c r="J165" s="2" t="s">
        <v>48</v>
      </c>
      <c r="K165" s="2" t="s">
        <v>21</v>
      </c>
      <c r="L165" s="2">
        <v>60000</v>
      </c>
      <c r="M165" s="2">
        <v>1000</v>
      </c>
      <c r="N165" s="2" t="s">
        <v>30</v>
      </c>
      <c r="O165" s="2">
        <v>879</v>
      </c>
      <c r="P165" s="2">
        <v>1500</v>
      </c>
      <c r="Q165" s="2" t="s">
        <v>30</v>
      </c>
      <c r="R165" s="2">
        <v>1500000</v>
      </c>
      <c r="S165" s="2" t="s">
        <v>30</v>
      </c>
      <c r="T165" s="2">
        <v>200000</v>
      </c>
      <c r="U165" s="2" t="s">
        <v>30</v>
      </c>
      <c r="V165" s="2" t="s">
        <v>30</v>
      </c>
      <c r="W165" s="2">
        <v>157</v>
      </c>
      <c r="X165" s="2">
        <v>350</v>
      </c>
    </row>
    <row r="166" spans="1:24" s="2" customFormat="1" x14ac:dyDescent="0.25">
      <c r="A166" s="2" t="s">
        <v>20</v>
      </c>
      <c r="B166" s="2">
        <v>40</v>
      </c>
      <c r="C166" s="2" t="s">
        <v>37</v>
      </c>
      <c r="D166" s="2" t="s">
        <v>41</v>
      </c>
      <c r="E166" s="2">
        <v>2</v>
      </c>
      <c r="F166" s="2">
        <v>36000</v>
      </c>
      <c r="G166" s="2">
        <v>22000</v>
      </c>
      <c r="H166" s="2">
        <f t="shared" si="4"/>
        <v>14000</v>
      </c>
      <c r="I166" s="2" t="s">
        <v>22</v>
      </c>
      <c r="J166" s="2" t="s">
        <v>50</v>
      </c>
      <c r="K166" s="2" t="s">
        <v>21</v>
      </c>
      <c r="L166" s="2">
        <v>60000</v>
      </c>
      <c r="M166" s="2">
        <v>1000</v>
      </c>
      <c r="N166" s="2" t="s">
        <v>30</v>
      </c>
      <c r="O166" s="2">
        <v>650</v>
      </c>
      <c r="P166" s="2" t="s">
        <v>30</v>
      </c>
      <c r="Q166" s="2" t="s">
        <v>30</v>
      </c>
      <c r="R166" s="2">
        <v>1500000</v>
      </c>
      <c r="S166" s="2" t="s">
        <v>30</v>
      </c>
      <c r="T166" s="2">
        <v>200000</v>
      </c>
      <c r="U166" s="2" t="s">
        <v>30</v>
      </c>
      <c r="V166" s="2" t="s">
        <v>30</v>
      </c>
      <c r="W166" s="2">
        <v>198</v>
      </c>
      <c r="X166" s="2" t="s">
        <v>30</v>
      </c>
    </row>
    <row r="167" spans="1:24" x14ac:dyDescent="0.25">
      <c r="A167" s="1" t="s">
        <v>20</v>
      </c>
      <c r="B167" s="1">
        <v>27</v>
      </c>
      <c r="C167" s="1" t="s">
        <v>38</v>
      </c>
      <c r="D167" s="1" t="s">
        <v>41</v>
      </c>
      <c r="E167" s="1">
        <v>0</v>
      </c>
      <c r="F167" s="1">
        <v>23000</v>
      </c>
      <c r="G167" s="1">
        <v>17000</v>
      </c>
      <c r="H167" s="1">
        <f t="shared" si="4"/>
        <v>6000</v>
      </c>
      <c r="I167" s="1" t="s">
        <v>22</v>
      </c>
      <c r="J167" s="1" t="s">
        <v>48</v>
      </c>
      <c r="K167" s="1" t="s">
        <v>33</v>
      </c>
      <c r="L167" s="1">
        <v>0</v>
      </c>
      <c r="M167" s="1">
        <v>300</v>
      </c>
      <c r="N167" s="1" t="s">
        <v>30</v>
      </c>
      <c r="O167" s="1">
        <v>720</v>
      </c>
      <c r="P167" s="1" t="s">
        <v>30</v>
      </c>
      <c r="Q167" s="1" t="s">
        <v>30</v>
      </c>
      <c r="R167" s="1" t="s">
        <v>30</v>
      </c>
      <c r="S167" s="1" t="s">
        <v>30</v>
      </c>
      <c r="T167" s="1" t="s">
        <v>30</v>
      </c>
      <c r="U167" s="1" t="s">
        <v>30</v>
      </c>
      <c r="V167" s="1" t="s">
        <v>30</v>
      </c>
      <c r="W167" s="1" t="s">
        <v>30</v>
      </c>
      <c r="X167" s="1" t="s">
        <v>30</v>
      </c>
    </row>
    <row r="168" spans="1:24" x14ac:dyDescent="0.25">
      <c r="A168" s="1" t="s">
        <v>19</v>
      </c>
      <c r="B168" s="1">
        <v>51</v>
      </c>
      <c r="C168" s="1" t="s">
        <v>39</v>
      </c>
      <c r="D168" s="1" t="s">
        <v>41</v>
      </c>
      <c r="E168" s="1">
        <v>1</v>
      </c>
      <c r="F168" s="1">
        <v>16000</v>
      </c>
      <c r="G168" s="1">
        <v>16000</v>
      </c>
      <c r="H168" s="1">
        <f t="shared" si="4"/>
        <v>0</v>
      </c>
      <c r="I168" s="1" t="s">
        <v>34</v>
      </c>
      <c r="J168" s="1" t="s">
        <v>48</v>
      </c>
      <c r="K168" s="1" t="s">
        <v>21</v>
      </c>
      <c r="L168" s="1">
        <v>0</v>
      </c>
      <c r="M168" s="1">
        <v>1000</v>
      </c>
      <c r="N168" s="1" t="s">
        <v>30</v>
      </c>
      <c r="O168" s="1">
        <v>700</v>
      </c>
      <c r="P168" s="1" t="s">
        <v>30</v>
      </c>
      <c r="Q168" s="1" t="s">
        <v>30</v>
      </c>
      <c r="R168" s="1" t="s">
        <v>30</v>
      </c>
      <c r="S168" s="1" t="s">
        <v>30</v>
      </c>
      <c r="T168" s="1" t="s">
        <v>30</v>
      </c>
      <c r="U168" s="1" t="s">
        <v>30</v>
      </c>
      <c r="V168" s="1" t="s">
        <v>30</v>
      </c>
      <c r="W168" s="1" t="s">
        <v>30</v>
      </c>
      <c r="X168" s="1" t="s">
        <v>30</v>
      </c>
    </row>
    <row r="169" spans="1:24" s="2" customFormat="1" x14ac:dyDescent="0.25">
      <c r="A169" s="2" t="s">
        <v>19</v>
      </c>
      <c r="B169" s="2">
        <v>27</v>
      </c>
      <c r="C169" s="2" t="s">
        <v>37</v>
      </c>
      <c r="D169" s="2" t="s">
        <v>41</v>
      </c>
      <c r="E169" s="2">
        <v>1</v>
      </c>
      <c r="F169" s="2">
        <v>10000</v>
      </c>
      <c r="G169" s="2">
        <v>10000</v>
      </c>
      <c r="H169" s="2">
        <f t="shared" si="4"/>
        <v>0</v>
      </c>
      <c r="I169" s="2" t="s">
        <v>35</v>
      </c>
      <c r="J169" s="2" t="s">
        <v>50</v>
      </c>
      <c r="K169" s="2" t="s">
        <v>26</v>
      </c>
      <c r="L169" s="2">
        <v>0</v>
      </c>
      <c r="M169" s="2">
        <v>300</v>
      </c>
      <c r="N169" s="2" t="s">
        <v>30</v>
      </c>
      <c r="O169" s="2">
        <v>800</v>
      </c>
      <c r="P169" s="2">
        <v>500</v>
      </c>
      <c r="Q169" s="2" t="s">
        <v>30</v>
      </c>
      <c r="R169" s="2" t="s">
        <v>30</v>
      </c>
      <c r="S169" s="2" t="s">
        <v>30</v>
      </c>
      <c r="T169" s="2">
        <v>550000</v>
      </c>
      <c r="U169" s="2" t="s">
        <v>30</v>
      </c>
      <c r="V169" s="2" t="s">
        <v>30</v>
      </c>
      <c r="W169" s="2">
        <v>170</v>
      </c>
      <c r="X169" s="2">
        <v>120</v>
      </c>
    </row>
    <row r="170" spans="1:24" s="2" customFormat="1" x14ac:dyDescent="0.25">
      <c r="A170" s="2" t="s">
        <v>20</v>
      </c>
      <c r="B170" s="2">
        <v>33</v>
      </c>
      <c r="C170" s="2" t="s">
        <v>37</v>
      </c>
      <c r="D170" s="2" t="s">
        <v>41</v>
      </c>
      <c r="E170" s="2">
        <v>1</v>
      </c>
      <c r="F170" s="2">
        <v>20000</v>
      </c>
      <c r="G170" s="2">
        <v>17700</v>
      </c>
      <c r="H170" s="2">
        <f t="shared" si="4"/>
        <v>2300</v>
      </c>
      <c r="I170" s="2" t="s">
        <v>22</v>
      </c>
      <c r="J170" s="2" t="s">
        <v>48</v>
      </c>
      <c r="K170" s="2" t="s">
        <v>26</v>
      </c>
      <c r="L170" s="2">
        <v>0</v>
      </c>
      <c r="M170" s="2">
        <v>300</v>
      </c>
      <c r="N170" s="2" t="s">
        <v>30</v>
      </c>
      <c r="O170" s="2">
        <v>1005</v>
      </c>
      <c r="P170" s="2" t="s">
        <v>30</v>
      </c>
      <c r="Q170" s="2" t="s">
        <v>30</v>
      </c>
      <c r="R170" s="2" t="s">
        <v>30</v>
      </c>
      <c r="S170" s="2" t="s">
        <v>30</v>
      </c>
      <c r="T170" s="2">
        <v>550000</v>
      </c>
      <c r="U170" s="2" t="s">
        <v>30</v>
      </c>
      <c r="V170" s="2" t="s">
        <v>30</v>
      </c>
      <c r="W170" s="2" t="s">
        <v>30</v>
      </c>
      <c r="X170" s="2" t="s">
        <v>30</v>
      </c>
    </row>
    <row r="171" spans="1:24" s="3" customFormat="1" x14ac:dyDescent="0.25">
      <c r="A171" s="3" t="s">
        <v>19</v>
      </c>
      <c r="B171" s="3">
        <v>40</v>
      </c>
      <c r="C171" s="3" t="s">
        <v>39</v>
      </c>
      <c r="D171" s="3" t="s">
        <v>41</v>
      </c>
      <c r="E171" s="3">
        <v>3</v>
      </c>
      <c r="F171" s="3">
        <v>24000</v>
      </c>
      <c r="G171" s="3">
        <v>14000</v>
      </c>
      <c r="H171" s="3">
        <f t="shared" si="4"/>
        <v>10000</v>
      </c>
      <c r="I171" s="3" t="s">
        <v>22</v>
      </c>
      <c r="J171" s="3" t="s">
        <v>45</v>
      </c>
      <c r="K171" s="3" t="s">
        <v>26</v>
      </c>
      <c r="L171" s="3">
        <v>50000</v>
      </c>
      <c r="M171" s="3">
        <v>500</v>
      </c>
      <c r="N171" s="3" t="s">
        <v>28</v>
      </c>
      <c r="O171" s="3">
        <v>506</v>
      </c>
      <c r="P171" s="3" t="s">
        <v>30</v>
      </c>
      <c r="Q171" s="3" t="s">
        <v>30</v>
      </c>
      <c r="R171" s="3" t="s">
        <v>30</v>
      </c>
      <c r="S171" s="3" t="s">
        <v>30</v>
      </c>
      <c r="T171" s="3" t="s">
        <v>30</v>
      </c>
      <c r="U171" s="3">
        <v>100000</v>
      </c>
      <c r="V171" s="3" t="s">
        <v>30</v>
      </c>
      <c r="W171" s="3" t="s">
        <v>30</v>
      </c>
      <c r="X171" s="3" t="s">
        <v>30</v>
      </c>
    </row>
    <row r="172" spans="1:24" x14ac:dyDescent="0.25">
      <c r="A172" s="3" t="s">
        <v>20</v>
      </c>
      <c r="B172" s="3">
        <v>37</v>
      </c>
      <c r="C172" s="3" t="s">
        <v>38</v>
      </c>
      <c r="D172" s="3" t="s">
        <v>23</v>
      </c>
      <c r="E172" s="3">
        <v>0</v>
      </c>
      <c r="F172" s="3">
        <v>27000</v>
      </c>
      <c r="G172" s="3">
        <v>20000</v>
      </c>
      <c r="H172" s="1">
        <f t="shared" si="4"/>
        <v>7000</v>
      </c>
      <c r="I172" s="3" t="s">
        <v>22</v>
      </c>
      <c r="J172" s="3" t="s">
        <v>50</v>
      </c>
      <c r="K172" s="3" t="s">
        <v>26</v>
      </c>
      <c r="L172" s="3">
        <v>100000</v>
      </c>
      <c r="M172" s="3">
        <v>500</v>
      </c>
      <c r="N172" s="1" t="s">
        <v>30</v>
      </c>
      <c r="O172" s="3">
        <v>725</v>
      </c>
      <c r="P172" s="1">
        <v>500</v>
      </c>
      <c r="Q172" s="1" t="s">
        <v>30</v>
      </c>
      <c r="R172" s="1" t="s">
        <v>30</v>
      </c>
      <c r="S172" s="1" t="s">
        <v>30</v>
      </c>
      <c r="T172" s="1" t="s">
        <v>30</v>
      </c>
      <c r="U172" s="1" t="s">
        <v>30</v>
      </c>
      <c r="V172" s="1" t="s">
        <v>30</v>
      </c>
      <c r="W172" s="1">
        <v>160</v>
      </c>
      <c r="X172" s="1" t="s">
        <v>30</v>
      </c>
    </row>
    <row r="173" spans="1:24" s="2" customFormat="1" x14ac:dyDescent="0.25">
      <c r="A173" s="2" t="s">
        <v>19</v>
      </c>
      <c r="B173" s="2">
        <v>37</v>
      </c>
      <c r="C173" s="2" t="s">
        <v>37</v>
      </c>
      <c r="D173" s="2" t="s">
        <v>41</v>
      </c>
      <c r="E173" s="2">
        <v>3</v>
      </c>
      <c r="F173" s="2">
        <v>30000</v>
      </c>
      <c r="G173" s="2">
        <v>22500</v>
      </c>
      <c r="H173" s="2">
        <f t="shared" si="4"/>
        <v>7500</v>
      </c>
      <c r="I173" s="2" t="s">
        <v>22</v>
      </c>
      <c r="J173" s="2" t="s">
        <v>44</v>
      </c>
      <c r="K173" s="2" t="s">
        <v>21</v>
      </c>
      <c r="L173" s="2">
        <v>25000</v>
      </c>
      <c r="M173" s="2">
        <v>500</v>
      </c>
      <c r="N173" s="2" t="s">
        <v>30</v>
      </c>
      <c r="O173" s="2">
        <v>1650</v>
      </c>
      <c r="P173" s="2">
        <v>1000</v>
      </c>
      <c r="Q173" s="2" t="s">
        <v>30</v>
      </c>
      <c r="R173" s="2">
        <v>1600000</v>
      </c>
      <c r="S173" s="2">
        <v>1700</v>
      </c>
      <c r="T173" s="2">
        <v>80000</v>
      </c>
      <c r="U173" s="2">
        <v>50000</v>
      </c>
      <c r="V173" s="2" t="s">
        <v>30</v>
      </c>
      <c r="W173" s="2">
        <v>276</v>
      </c>
      <c r="X173" s="2">
        <v>307</v>
      </c>
    </row>
    <row r="174" spans="1:24" s="2" customFormat="1" x14ac:dyDescent="0.25">
      <c r="A174" s="2" t="s">
        <v>20</v>
      </c>
      <c r="B174" s="2">
        <v>41</v>
      </c>
      <c r="C174" s="2" t="s">
        <v>37</v>
      </c>
      <c r="D174" s="2" t="s">
        <v>41</v>
      </c>
      <c r="E174" s="2">
        <v>3</v>
      </c>
      <c r="F174" s="2">
        <v>22500</v>
      </c>
      <c r="G174" s="2">
        <v>22500</v>
      </c>
      <c r="H174" s="2">
        <f t="shared" si="4"/>
        <v>0</v>
      </c>
      <c r="I174" s="2" t="s">
        <v>34</v>
      </c>
      <c r="J174" s="2" t="s">
        <v>48</v>
      </c>
      <c r="K174" s="2" t="s">
        <v>21</v>
      </c>
      <c r="L174" s="2">
        <v>25000</v>
      </c>
      <c r="M174" s="2">
        <v>600</v>
      </c>
      <c r="N174" s="2" t="s">
        <v>28</v>
      </c>
      <c r="O174" s="2">
        <v>537</v>
      </c>
      <c r="P174" s="2">
        <v>1500</v>
      </c>
      <c r="Q174" s="2" t="s">
        <v>30</v>
      </c>
      <c r="R174" s="2">
        <v>1000000</v>
      </c>
      <c r="S174" s="2">
        <v>1000</v>
      </c>
      <c r="T174" s="2">
        <v>80000</v>
      </c>
      <c r="U174" s="2">
        <v>50000</v>
      </c>
      <c r="V174" s="2" t="s">
        <v>30</v>
      </c>
      <c r="W174" s="2">
        <v>133</v>
      </c>
      <c r="X174" s="2">
        <v>262</v>
      </c>
    </row>
    <row r="175" spans="1:24" s="4" customFormat="1" x14ac:dyDescent="0.25">
      <c r="A175" s="4" t="s">
        <v>19</v>
      </c>
      <c r="B175" s="4">
        <v>38</v>
      </c>
      <c r="C175" s="4" t="s">
        <v>37</v>
      </c>
      <c r="D175" s="4" t="s">
        <v>41</v>
      </c>
      <c r="E175" s="4">
        <v>2</v>
      </c>
      <c r="F175" s="4">
        <v>35000</v>
      </c>
      <c r="G175" s="4">
        <v>35000</v>
      </c>
      <c r="H175" s="4">
        <f t="shared" si="4"/>
        <v>0</v>
      </c>
      <c r="I175" s="4" t="s">
        <v>35</v>
      </c>
      <c r="J175" s="4" t="s">
        <v>44</v>
      </c>
      <c r="K175" s="4" t="s">
        <v>21</v>
      </c>
      <c r="L175" s="4">
        <v>1000000</v>
      </c>
      <c r="M175" s="4">
        <v>1500</v>
      </c>
      <c r="N175" s="4" t="s">
        <v>30</v>
      </c>
      <c r="O175" s="4">
        <v>1000</v>
      </c>
      <c r="P175" s="4" t="s">
        <v>30</v>
      </c>
      <c r="Q175" s="4">
        <v>200000</v>
      </c>
      <c r="R175" s="4">
        <v>1750000</v>
      </c>
      <c r="S175" s="4" t="s">
        <v>30</v>
      </c>
      <c r="T175" s="4" t="s">
        <v>30</v>
      </c>
      <c r="U175" s="4" t="s">
        <v>30</v>
      </c>
      <c r="V175" s="4" t="s">
        <v>30</v>
      </c>
      <c r="W175" s="4">
        <v>500</v>
      </c>
      <c r="X175" s="4">
        <v>750</v>
      </c>
    </row>
    <row r="176" spans="1:24" s="4" customFormat="1" x14ac:dyDescent="0.25">
      <c r="A176" s="4" t="s">
        <v>20</v>
      </c>
      <c r="B176" s="4">
        <v>45</v>
      </c>
      <c r="C176" s="4" t="s">
        <v>37</v>
      </c>
      <c r="D176" s="4" t="s">
        <v>41</v>
      </c>
      <c r="E176" s="4">
        <v>2</v>
      </c>
      <c r="F176" s="4">
        <v>120000</v>
      </c>
      <c r="G176" s="4">
        <v>35000</v>
      </c>
      <c r="H176" s="4">
        <f t="shared" si="4"/>
        <v>85000</v>
      </c>
      <c r="I176" s="4" t="s">
        <v>35</v>
      </c>
      <c r="J176" s="4" t="s">
        <v>45</v>
      </c>
      <c r="K176" s="4" t="s">
        <v>21</v>
      </c>
      <c r="L176" s="4">
        <v>1000000</v>
      </c>
      <c r="M176" s="4">
        <v>1500</v>
      </c>
      <c r="N176" s="4" t="s">
        <v>30</v>
      </c>
      <c r="O176" s="4">
        <v>1000</v>
      </c>
      <c r="P176" s="4" t="s">
        <v>30</v>
      </c>
      <c r="Q176" s="4" t="s">
        <v>30</v>
      </c>
      <c r="R176" s="4">
        <v>1750000</v>
      </c>
      <c r="S176" s="4" t="s">
        <v>30</v>
      </c>
      <c r="T176" s="4" t="s">
        <v>30</v>
      </c>
      <c r="U176" s="4" t="s">
        <v>30</v>
      </c>
      <c r="V176" s="4" t="s">
        <v>30</v>
      </c>
      <c r="W176" s="4" t="s">
        <v>30</v>
      </c>
      <c r="X176" s="4">
        <v>591</v>
      </c>
    </row>
    <row r="177" spans="1:15" x14ac:dyDescent="0.25">
      <c r="A177" s="83" t="s">
        <v>46</v>
      </c>
      <c r="B177" s="83"/>
      <c r="C177" s="83"/>
      <c r="D177" s="83"/>
      <c r="E177" s="83"/>
      <c r="F177" s="83"/>
    </row>
    <row r="178" spans="1:15" x14ac:dyDescent="0.25">
      <c r="A178" s="83" t="s">
        <v>47</v>
      </c>
      <c r="B178" s="83"/>
      <c r="C178" s="83"/>
      <c r="D178" s="83"/>
      <c r="E178" s="83"/>
      <c r="F178" s="83"/>
      <c r="G178" s="83"/>
    </row>
    <row r="179" spans="1:15" x14ac:dyDescent="0.25">
      <c r="A179" s="83" t="s">
        <v>55</v>
      </c>
      <c r="B179" s="83"/>
      <c r="C179" s="83"/>
      <c r="D179" s="83"/>
      <c r="E179" s="83"/>
      <c r="F179" s="83"/>
      <c r="G179" s="83"/>
      <c r="H179" s="83"/>
      <c r="I179" s="83"/>
      <c r="J179" s="83"/>
    </row>
    <row r="180" spans="1:15" x14ac:dyDescent="0.25">
      <c r="A180" s="83" t="s">
        <v>54</v>
      </c>
      <c r="B180" s="83"/>
      <c r="C180" s="83"/>
      <c r="D180" s="83"/>
      <c r="E180" s="83"/>
    </row>
    <row r="181" spans="1:15" x14ac:dyDescent="0.25">
      <c r="A181" s="83" t="s">
        <v>96</v>
      </c>
      <c r="B181" s="83"/>
      <c r="C181" s="83"/>
      <c r="D181" s="83"/>
      <c r="E181" s="83"/>
      <c r="F181" s="83"/>
      <c r="G181" s="7"/>
    </row>
    <row r="182" spans="1:15" x14ac:dyDescent="0.25">
      <c r="A182" s="83" t="s">
        <v>53</v>
      </c>
      <c r="B182" s="83"/>
      <c r="C182" s="83"/>
      <c r="D182" s="83"/>
      <c r="E182" s="83"/>
      <c r="F182" s="83"/>
      <c r="G182" s="83"/>
    </row>
    <row r="183" spans="1:15" x14ac:dyDescent="0.25">
      <c r="A183" s="83" t="s">
        <v>52</v>
      </c>
      <c r="B183" s="83"/>
      <c r="C183" s="83"/>
      <c r="D183" s="83"/>
      <c r="E183" s="83"/>
      <c r="F183" s="83"/>
    </row>
    <row r="184" spans="1:15" x14ac:dyDescent="0.25">
      <c r="A184" s="83" t="s">
        <v>56</v>
      </c>
      <c r="B184" s="83"/>
      <c r="C184" s="83"/>
      <c r="D184" s="83"/>
    </row>
    <row r="185" spans="1:15" x14ac:dyDescent="0.25">
      <c r="A185" s="83" t="s">
        <v>57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</row>
    <row r="187" spans="1:15" x14ac:dyDescent="0.25">
      <c r="A187"/>
      <c r="B187"/>
      <c r="C187"/>
    </row>
    <row r="188" spans="1:15" x14ac:dyDescent="0.25">
      <c r="A188"/>
      <c r="B188"/>
      <c r="C188"/>
    </row>
    <row r="189" spans="1:15" x14ac:dyDescent="0.25">
      <c r="A189"/>
      <c r="B189"/>
      <c r="C189"/>
    </row>
    <row r="190" spans="1:15" x14ac:dyDescent="0.25">
      <c r="A190"/>
    </row>
  </sheetData>
  <mergeCells count="9">
    <mergeCell ref="A179:J179"/>
    <mergeCell ref="A177:F177"/>
    <mergeCell ref="A178:G178"/>
    <mergeCell ref="A184:D184"/>
    <mergeCell ref="A185:O185"/>
    <mergeCell ref="A183:F183"/>
    <mergeCell ref="A180:E180"/>
    <mergeCell ref="A181:F181"/>
    <mergeCell ref="A182:G182"/>
  </mergeCells>
  <pageMargins left="1.3779527559055118" right="0.78740157480314965" top="1.1811023622047245" bottom="1.1811023622047245" header="0.31496062992125984" footer="0.31496062992125984"/>
  <pageSetup paperSize="9" scale="50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J22" sqref="J22"/>
    </sheetView>
  </sheetViews>
  <sheetFormatPr defaultRowHeight="15" x14ac:dyDescent="0.25"/>
  <cols>
    <col min="1" max="1" width="37.28515625" bestFit="1" customWidth="1"/>
    <col min="2" max="2" width="15" bestFit="1" customWidth="1"/>
    <col min="3" max="3" width="23" bestFit="1" customWidth="1"/>
  </cols>
  <sheetData>
    <row r="1" spans="1:3" ht="15.75" thickBot="1" x14ac:dyDescent="0.3">
      <c r="A1" s="20" t="s">
        <v>3</v>
      </c>
      <c r="B1" s="21" t="s">
        <v>58</v>
      </c>
      <c r="C1" s="21" t="s">
        <v>59</v>
      </c>
    </row>
    <row r="2" spans="1:3" x14ac:dyDescent="0.25">
      <c r="A2" s="16" t="s">
        <v>60</v>
      </c>
      <c r="B2" s="16">
        <f>COUNTIF('Celková databáze'!D2:D176,"Praha")</f>
        <v>38</v>
      </c>
      <c r="C2" s="18">
        <f>B2/B5</f>
        <v>0.21714285714285714</v>
      </c>
    </row>
    <row r="3" spans="1:3" x14ac:dyDescent="0.25">
      <c r="A3" s="16" t="s">
        <v>62</v>
      </c>
      <c r="B3" s="16">
        <f>COUNTIF('Celková databáze'!D2:D176,"Středočeský kraj - Kladno")</f>
        <v>44</v>
      </c>
      <c r="C3" s="18">
        <f>B3/B5</f>
        <v>0.25142857142857145</v>
      </c>
    </row>
    <row r="4" spans="1:3" x14ac:dyDescent="0.25">
      <c r="A4" s="16" t="s">
        <v>61</v>
      </c>
      <c r="B4" s="17">
        <f>COUNTIF('Celková databáze'!D2:D176,"Středočeský kraj - obec")</f>
        <v>93</v>
      </c>
      <c r="C4" s="19">
        <f>B4/B5</f>
        <v>0.53142857142857147</v>
      </c>
    </row>
    <row r="5" spans="1:3" ht="15.75" thickBot="1" x14ac:dyDescent="0.3">
      <c r="A5" s="22" t="s">
        <v>63</v>
      </c>
      <c r="B5" s="22">
        <f>SUM(B2:B4)</f>
        <v>175</v>
      </c>
      <c r="C5" s="23">
        <f>SUM(C2:C4)</f>
        <v>1</v>
      </c>
    </row>
    <row r="6" spans="1:3" ht="15.75" thickTop="1" x14ac:dyDescent="0.25"/>
    <row r="8" spans="1:3" ht="15.75" thickBot="1" x14ac:dyDescent="0.3">
      <c r="A8" s="20" t="s">
        <v>0</v>
      </c>
      <c r="B8" s="21" t="s">
        <v>58</v>
      </c>
      <c r="C8" s="21" t="s">
        <v>59</v>
      </c>
    </row>
    <row r="9" spans="1:3" x14ac:dyDescent="0.25">
      <c r="A9" s="16" t="s">
        <v>65</v>
      </c>
      <c r="B9" s="16">
        <f>COUNTIF('Celková databáze'!A2:A176,"Muž")</f>
        <v>95</v>
      </c>
      <c r="C9" s="18">
        <f>B9/B11</f>
        <v>0.54285714285714282</v>
      </c>
    </row>
    <row r="10" spans="1:3" x14ac:dyDescent="0.25">
      <c r="A10" s="16" t="s">
        <v>66</v>
      </c>
      <c r="B10" s="16">
        <f>COUNTIF('Celková databáze'!A2:A176,"žena")</f>
        <v>80</v>
      </c>
      <c r="C10" s="18">
        <f>B10/B11</f>
        <v>0.45714285714285713</v>
      </c>
    </row>
    <row r="11" spans="1:3" ht="15.75" thickBot="1" x14ac:dyDescent="0.3">
      <c r="A11" s="22" t="s">
        <v>63</v>
      </c>
      <c r="B11" s="22">
        <f>SUM(B9:B10)</f>
        <v>175</v>
      </c>
      <c r="C11" s="23">
        <f>SUM(C9:C10)</f>
        <v>1</v>
      </c>
    </row>
    <row r="12" spans="1:3" ht="15.75" thickTop="1" x14ac:dyDescent="0.25"/>
    <row r="14" spans="1:3" ht="15.75" thickBot="1" x14ac:dyDescent="0.3">
      <c r="A14" s="20" t="s">
        <v>64</v>
      </c>
      <c r="B14" s="21" t="s">
        <v>58</v>
      </c>
      <c r="C14" s="21" t="s">
        <v>59</v>
      </c>
    </row>
    <row r="15" spans="1:3" x14ac:dyDescent="0.25">
      <c r="A15" s="16" t="s">
        <v>68</v>
      </c>
      <c r="B15" s="16">
        <f>COUNTIF('Celková databáze'!B2:B176,"&gt;18")-COUNTIF('Celková databáze'!B2:B176,"&gt;25")</f>
        <v>11</v>
      </c>
      <c r="C15" s="18">
        <f>B15/B19</f>
        <v>6.2857142857142861E-2</v>
      </c>
    </row>
    <row r="16" spans="1:3" x14ac:dyDescent="0.25">
      <c r="A16" s="16" t="s">
        <v>94</v>
      </c>
      <c r="B16" s="16">
        <f>COUNTIF('Celková databáze'!B2:B176,"&gt;25")-COUNTIF('Celková databáze'!B2:B176,"&gt;35")</f>
        <v>81</v>
      </c>
      <c r="C16" s="18">
        <f>B16/B19</f>
        <v>0.46285714285714286</v>
      </c>
    </row>
    <row r="17" spans="1:3" x14ac:dyDescent="0.25">
      <c r="A17" s="16" t="s">
        <v>95</v>
      </c>
      <c r="B17" s="16">
        <f>COUNTIF('Celková databáze'!B2:B176,"&gt;35")-COUNTIF('Celková databáze'!B2:B176,"&gt;45")</f>
        <v>58</v>
      </c>
      <c r="C17" s="18">
        <f>B17/B19</f>
        <v>0.33142857142857141</v>
      </c>
    </row>
    <row r="18" spans="1:3" x14ac:dyDescent="0.25">
      <c r="A18" s="16" t="s">
        <v>69</v>
      </c>
      <c r="B18" s="16">
        <f>COUNTIF('Celková databáze'!B2:B176,"&gt;45")-COUNTIF('Celková databáze'!B2:B176,"&gt;65")</f>
        <v>25</v>
      </c>
      <c r="C18" s="18">
        <f>B18/B19</f>
        <v>0.14285714285714285</v>
      </c>
    </row>
    <row r="19" spans="1:3" ht="15.75" thickBot="1" x14ac:dyDescent="0.3">
      <c r="A19" s="22" t="s">
        <v>63</v>
      </c>
      <c r="B19" s="22">
        <f>SUM(B15:B18)</f>
        <v>175</v>
      </c>
      <c r="C19" s="23">
        <f>SUM(C15:C18)</f>
        <v>1</v>
      </c>
    </row>
    <row r="20" spans="1:3" ht="15.75" thickTop="1" x14ac:dyDescent="0.25"/>
    <row r="22" spans="1:3" ht="15.75" thickBot="1" x14ac:dyDescent="0.3">
      <c r="A22" s="20" t="s">
        <v>67</v>
      </c>
      <c r="B22" s="21" t="s">
        <v>58</v>
      </c>
      <c r="C22" s="21" t="s">
        <v>59</v>
      </c>
    </row>
    <row r="23" spans="1:3" x14ac:dyDescent="0.25">
      <c r="A23" s="16" t="s">
        <v>78</v>
      </c>
      <c r="B23" s="16">
        <f>COUNTIF('Celková databáze'!C2:C176,"svobodný/á")</f>
        <v>70</v>
      </c>
      <c r="C23" s="18">
        <f>B23/B26</f>
        <v>0.4</v>
      </c>
    </row>
    <row r="24" spans="1:3" x14ac:dyDescent="0.25">
      <c r="A24" s="16" t="s">
        <v>79</v>
      </c>
      <c r="B24" s="16">
        <f>COUNTIF('Celková databáze'!C2:C176,"rozvedený/á")</f>
        <v>15</v>
      </c>
      <c r="C24" s="18">
        <f>B24/B26</f>
        <v>8.5714285714285715E-2</v>
      </c>
    </row>
    <row r="25" spans="1:3" x14ac:dyDescent="0.25">
      <c r="A25" s="16" t="s">
        <v>80</v>
      </c>
      <c r="B25" s="16">
        <f>COUNTIF('Celková databáze'!C2:C176,"ženatý/vdaná")</f>
        <v>90</v>
      </c>
      <c r="C25" s="18">
        <f>B25/B26</f>
        <v>0.51428571428571423</v>
      </c>
    </row>
    <row r="26" spans="1:3" ht="15.75" thickBot="1" x14ac:dyDescent="0.3">
      <c r="A26" s="22" t="s">
        <v>63</v>
      </c>
      <c r="B26" s="22">
        <f>SUM(B23:B25)</f>
        <v>175</v>
      </c>
      <c r="C26" s="23">
        <f>SUM(C23:C25)</f>
        <v>1</v>
      </c>
    </row>
    <row r="27" spans="1:3" ht="15.75" thickTop="1" x14ac:dyDescent="0.25"/>
    <row r="29" spans="1:3" ht="15.75" thickBot="1" x14ac:dyDescent="0.3">
      <c r="A29" s="20" t="s">
        <v>4</v>
      </c>
      <c r="B29" s="21" t="s">
        <v>58</v>
      </c>
      <c r="C29" s="21" t="s">
        <v>59</v>
      </c>
    </row>
    <row r="30" spans="1:3" x14ac:dyDescent="0.25">
      <c r="A30" s="16" t="s">
        <v>70</v>
      </c>
      <c r="B30" s="16">
        <f>COUNTIF('Celková databáze'!E2:E176,"0")</f>
        <v>56</v>
      </c>
      <c r="C30" s="18">
        <f>B30/B34</f>
        <v>0.32</v>
      </c>
    </row>
    <row r="31" spans="1:3" x14ac:dyDescent="0.25">
      <c r="A31" s="16" t="s">
        <v>71</v>
      </c>
      <c r="B31" s="16">
        <f>COUNTIF('Celková databáze'!E2:E176,"1")</f>
        <v>61</v>
      </c>
      <c r="C31" s="18">
        <f>B31/B34</f>
        <v>0.34857142857142859</v>
      </c>
    </row>
    <row r="32" spans="1:3" x14ac:dyDescent="0.25">
      <c r="A32" s="16" t="s">
        <v>72</v>
      </c>
      <c r="B32" s="16">
        <f>COUNTIF('Celková databáze'!E2:E176,"2")</f>
        <v>49</v>
      </c>
      <c r="C32" s="18">
        <f>B32/B34</f>
        <v>0.28000000000000003</v>
      </c>
    </row>
    <row r="33" spans="1:3" x14ac:dyDescent="0.25">
      <c r="A33" s="16" t="s">
        <v>73</v>
      </c>
      <c r="B33" s="16">
        <f>COUNTIF('Celková databáze'!E2:E176,"3")</f>
        <v>9</v>
      </c>
      <c r="C33" s="18">
        <f>B33/B34</f>
        <v>5.1428571428571428E-2</v>
      </c>
    </row>
    <row r="34" spans="1:3" ht="15.75" thickBot="1" x14ac:dyDescent="0.3">
      <c r="A34" s="22" t="s">
        <v>63</v>
      </c>
      <c r="B34" s="22">
        <f>SUM(B30:B33)</f>
        <v>175</v>
      </c>
      <c r="C34" s="23">
        <f>SUM(C30:C33)</f>
        <v>1</v>
      </c>
    </row>
    <row r="35" spans="1:3" ht="15.75" thickTop="1" x14ac:dyDescent="0.25"/>
    <row r="37" spans="1:3" ht="15.75" thickBot="1" x14ac:dyDescent="0.3">
      <c r="A37" s="20" t="s">
        <v>74</v>
      </c>
      <c r="B37" s="21" t="s">
        <v>58</v>
      </c>
      <c r="C37" s="21" t="s">
        <v>59</v>
      </c>
    </row>
    <row r="38" spans="1:3" x14ac:dyDescent="0.25">
      <c r="A38" s="16" t="s">
        <v>75</v>
      </c>
      <c r="B38" s="16">
        <f>COUNTIF('Celková databáze'!I2:I176,"základní")</f>
        <v>3</v>
      </c>
      <c r="C38" s="18">
        <f>B38/B43</f>
        <v>1.7142857142857144E-2</v>
      </c>
    </row>
    <row r="39" spans="1:3" x14ac:dyDescent="0.25">
      <c r="A39" s="16" t="s">
        <v>76</v>
      </c>
      <c r="B39" s="16">
        <f>COUNTIF('Celková databáze'!I2:I176,"vyučená/ý")</f>
        <v>20</v>
      </c>
      <c r="C39" s="18">
        <f>B39/B43</f>
        <v>0.11428571428571428</v>
      </c>
    </row>
    <row r="40" spans="1:3" x14ac:dyDescent="0.25">
      <c r="A40" s="16" t="s">
        <v>77</v>
      </c>
      <c r="B40" s="16">
        <f>COUNTIF('Celková databáze'!I2:I176,"maturita")</f>
        <v>91</v>
      </c>
      <c r="C40" s="18">
        <f>B40/B43</f>
        <v>0.52</v>
      </c>
    </row>
    <row r="41" spans="1:3" x14ac:dyDescent="0.25">
      <c r="A41" s="16" t="s">
        <v>81</v>
      </c>
      <c r="B41" s="16">
        <f>COUNTIF('Celková databáze'!I2:I176,"vysokoškolské - 1st")</f>
        <v>15</v>
      </c>
      <c r="C41" s="18">
        <f>B41/B43</f>
        <v>8.5714285714285715E-2</v>
      </c>
    </row>
    <row r="42" spans="1:3" x14ac:dyDescent="0.25">
      <c r="A42" s="16" t="s">
        <v>82</v>
      </c>
      <c r="B42" s="16">
        <f>COUNTIF('Celková databáze'!I2:I176,"vysokoškolské - 2st")</f>
        <v>46</v>
      </c>
      <c r="C42" s="18">
        <f>B42/B43</f>
        <v>0.26285714285714284</v>
      </c>
    </row>
    <row r="43" spans="1:3" ht="15.75" thickBot="1" x14ac:dyDescent="0.3">
      <c r="A43" s="22" t="s">
        <v>63</v>
      </c>
      <c r="B43" s="22">
        <f>SUM(B38:B42)</f>
        <v>175</v>
      </c>
      <c r="C43" s="23">
        <f>SUM(C38:C42)</f>
        <v>1</v>
      </c>
    </row>
    <row r="44" spans="1:3" ht="15.75" thickTop="1" x14ac:dyDescent="0.25"/>
    <row r="46" spans="1:3" ht="15.75" thickBot="1" x14ac:dyDescent="0.3">
      <c r="A46" s="20" t="s">
        <v>9</v>
      </c>
      <c r="B46" s="21" t="s">
        <v>58</v>
      </c>
      <c r="C46" s="21" t="s">
        <v>59</v>
      </c>
    </row>
    <row r="47" spans="1:3" x14ac:dyDescent="0.25">
      <c r="A47" s="16" t="s">
        <v>89</v>
      </c>
      <c r="B47" s="17">
        <f>COUNTIF('Celková databáze'!J2:J176,"nezaměstnaný/á")</f>
        <v>2</v>
      </c>
      <c r="C47" s="19">
        <f>B47/B54</f>
        <v>1.1428571428571429E-2</v>
      </c>
    </row>
    <row r="48" spans="1:3" x14ac:dyDescent="0.25">
      <c r="A48" s="16" t="s">
        <v>83</v>
      </c>
      <c r="B48" s="16">
        <f>COUNTIF('Celková databáze'!J2:J176,"manuální pracovník/ce")</f>
        <v>55</v>
      </c>
      <c r="C48" s="18">
        <f>B48/B54</f>
        <v>0.31428571428571428</v>
      </c>
    </row>
    <row r="49" spans="1:3" x14ac:dyDescent="0.25">
      <c r="A49" s="16" t="s">
        <v>84</v>
      </c>
      <c r="B49" s="16">
        <f>COUNTIF('Celková databáze'!J2:J176,"pracovník/ce v administrativě")</f>
        <v>35</v>
      </c>
      <c r="C49" s="18">
        <f>B49/B54</f>
        <v>0.2</v>
      </c>
    </row>
    <row r="50" spans="1:3" x14ac:dyDescent="0.25">
      <c r="A50" s="16" t="s">
        <v>85</v>
      </c>
      <c r="B50" s="16">
        <f>COUNTIF('Celková databáze'!J2:J176,"mateřská dovolená")</f>
        <v>21</v>
      </c>
      <c r="C50" s="18">
        <f>B50/B54</f>
        <v>0.12</v>
      </c>
    </row>
    <row r="51" spans="1:3" x14ac:dyDescent="0.25">
      <c r="A51" s="16" t="s">
        <v>86</v>
      </c>
      <c r="B51" s="16">
        <f>COUNTIF('Celková databáze'!J2:J176,"státní zaměstnanec/kyně")</f>
        <v>30</v>
      </c>
      <c r="C51" s="18">
        <f>B51/B54</f>
        <v>0.17142857142857143</v>
      </c>
    </row>
    <row r="52" spans="1:3" x14ac:dyDescent="0.25">
      <c r="A52" s="16" t="s">
        <v>87</v>
      </c>
      <c r="B52" s="16">
        <f>COUNTIF('Celková databáze'!J2:J176,"manažer/ka, ředitel/ka")</f>
        <v>10</v>
      </c>
      <c r="C52" s="18">
        <f>B52/B54</f>
        <v>5.7142857142857141E-2</v>
      </c>
    </row>
    <row r="53" spans="1:3" x14ac:dyDescent="0.25">
      <c r="A53" s="16" t="s">
        <v>88</v>
      </c>
      <c r="B53" s="16">
        <f>COUNTIF('Celková databáze'!J2:J176,"podnikatel/ka")</f>
        <v>22</v>
      </c>
      <c r="C53" s="18">
        <f>B53/B54</f>
        <v>0.12571428571428572</v>
      </c>
    </row>
    <row r="54" spans="1:3" ht="15.75" thickBot="1" x14ac:dyDescent="0.3">
      <c r="A54" s="22" t="s">
        <v>63</v>
      </c>
      <c r="B54" s="22">
        <f>SUM(B47:B53)</f>
        <v>175</v>
      </c>
      <c r="C54" s="23">
        <f>SUM(C47:C53)</f>
        <v>1</v>
      </c>
    </row>
    <row r="55" spans="1:3" ht="15.75" thickTop="1" x14ac:dyDescent="0.25"/>
    <row r="57" spans="1:3" ht="15.75" thickBot="1" x14ac:dyDescent="0.3">
      <c r="A57" s="20" t="s">
        <v>10</v>
      </c>
      <c r="B57" s="21" t="s">
        <v>58</v>
      </c>
      <c r="C57" s="21" t="s">
        <v>59</v>
      </c>
    </row>
    <row r="58" spans="1:3" x14ac:dyDescent="0.25">
      <c r="A58" s="16" t="s">
        <v>92</v>
      </c>
      <c r="B58" s="16">
        <f>COUNTIF('Celková databáze'!K2:K176,"u rodičů")</f>
        <v>14</v>
      </c>
      <c r="C58" s="18">
        <f>B58/B62</f>
        <v>0.08</v>
      </c>
    </row>
    <row r="59" spans="1:3" x14ac:dyDescent="0.25">
      <c r="A59" s="16" t="s">
        <v>90</v>
      </c>
      <c r="B59" s="16">
        <f>COUNTIF('Celková databáze'!K2:K176,"nájem")</f>
        <v>30</v>
      </c>
      <c r="C59" s="18">
        <f>B59/B62</f>
        <v>0.17142857142857143</v>
      </c>
    </row>
    <row r="60" spans="1:3" x14ac:dyDescent="0.25">
      <c r="A60" s="16" t="s">
        <v>91</v>
      </c>
      <c r="B60" s="16">
        <f>COUNTIF('Celková databáze'!K2:K176,"byt")</f>
        <v>54</v>
      </c>
      <c r="C60" s="18">
        <f>B60/B62</f>
        <v>0.30857142857142855</v>
      </c>
    </row>
    <row r="61" spans="1:3" x14ac:dyDescent="0.25">
      <c r="A61" s="16" t="s">
        <v>93</v>
      </c>
      <c r="B61" s="16">
        <f>COUNTIF('Celková databáze'!K2:K176,"dům")</f>
        <v>77</v>
      </c>
      <c r="C61" s="18">
        <f>B61/B62</f>
        <v>0.44</v>
      </c>
    </row>
    <row r="62" spans="1:3" ht="15.75" thickBot="1" x14ac:dyDescent="0.3">
      <c r="A62" s="22" t="s">
        <v>63</v>
      </c>
      <c r="B62" s="22">
        <f>SUM(B58:B61)</f>
        <v>175</v>
      </c>
      <c r="C62" s="23">
        <f>SUM(C58:C61)</f>
        <v>1</v>
      </c>
    </row>
    <row r="63" spans="1:3" ht="15.75" thickTop="1" x14ac:dyDescent="0.25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R394"/>
  <sheetViews>
    <sheetView tabSelected="1" topLeftCell="A163" zoomScaleNormal="100" workbookViewId="0">
      <selection activeCell="A178" sqref="A178"/>
    </sheetView>
  </sheetViews>
  <sheetFormatPr defaultRowHeight="15" x14ac:dyDescent="0.25"/>
  <cols>
    <col min="1" max="1" width="69.5703125" bestFit="1" customWidth="1"/>
    <col min="2" max="2" width="49.140625" bestFit="1" customWidth="1"/>
    <col min="3" max="3" width="27.42578125" bestFit="1" customWidth="1"/>
    <col min="4" max="4" width="27.7109375" bestFit="1" customWidth="1"/>
    <col min="5" max="5" width="15.7109375" bestFit="1" customWidth="1"/>
    <col min="6" max="6" width="23.5703125" customWidth="1"/>
    <col min="7" max="7" width="23.42578125" bestFit="1" customWidth="1"/>
    <col min="8" max="8" width="15.7109375" bestFit="1" customWidth="1"/>
    <col min="9" max="9" width="23.5703125" bestFit="1" customWidth="1"/>
    <col min="10" max="12" width="9" bestFit="1" customWidth="1"/>
    <col min="13" max="13" width="10.85546875" bestFit="1" customWidth="1"/>
    <col min="14" max="21" width="9" bestFit="1" customWidth="1"/>
    <col min="22" max="22" width="10.85546875" bestFit="1" customWidth="1"/>
    <col min="23" max="25" width="9" bestFit="1" customWidth="1"/>
    <col min="26" max="26" width="10.42578125" bestFit="1" customWidth="1"/>
    <col min="27" max="27" width="14.42578125" bestFit="1" customWidth="1"/>
    <col min="28" max="28" width="9.5703125" bestFit="1" customWidth="1"/>
    <col min="29" max="29" width="14.42578125" bestFit="1" customWidth="1"/>
    <col min="30" max="30" width="15.7109375" customWidth="1"/>
    <col min="31" max="31" width="23.5703125" customWidth="1"/>
    <col min="32" max="37" width="3.28515625" customWidth="1"/>
    <col min="38" max="39" width="14.42578125" customWidth="1"/>
    <col min="40" max="40" width="16.5703125" customWidth="1"/>
    <col min="41" max="44" width="12.42578125" customWidth="1"/>
    <col min="45" max="45" width="14" customWidth="1"/>
    <col min="46" max="47" width="16.5703125" customWidth="1"/>
    <col min="48" max="48" width="12.42578125" customWidth="1"/>
    <col min="49" max="49" width="14" customWidth="1"/>
    <col min="50" max="50" width="25.5703125" customWidth="1"/>
    <col min="51" max="51" width="17.7109375" customWidth="1"/>
    <col min="52" max="52" width="12.42578125" customWidth="1"/>
    <col min="53" max="53" width="23.28515625" customWidth="1"/>
    <col min="54" max="56" width="16.5703125" customWidth="1"/>
    <col min="57" max="57" width="12.42578125" customWidth="1"/>
    <col min="58" max="58" width="14" customWidth="1"/>
    <col min="59" max="59" width="16.5703125" customWidth="1"/>
    <col min="60" max="60" width="11.42578125" customWidth="1"/>
    <col min="61" max="61" width="16.5703125" customWidth="1"/>
    <col min="62" max="62" width="12.42578125" customWidth="1"/>
    <col min="63" max="63" width="14" customWidth="1"/>
    <col min="64" max="64" width="16.5703125" customWidth="1"/>
    <col min="65" max="65" width="14" customWidth="1"/>
    <col min="66" max="66" width="16.5703125" customWidth="1"/>
    <col min="67" max="67" width="12.42578125" customWidth="1"/>
    <col min="68" max="68" width="16.5703125" customWidth="1"/>
    <col min="69" max="69" width="20.85546875" customWidth="1"/>
    <col min="70" max="70" width="29.42578125" customWidth="1"/>
    <col min="71" max="71" width="16.5703125" bestFit="1" customWidth="1"/>
    <col min="72" max="72" width="16.42578125" customWidth="1"/>
    <col min="73" max="73" width="26" customWidth="1"/>
    <col min="74" max="75" width="17.42578125" customWidth="1"/>
    <col min="76" max="76" width="15.28515625" customWidth="1"/>
    <col min="77" max="78" width="13.5703125" customWidth="1"/>
    <col min="79" max="79" width="15.28515625" customWidth="1"/>
    <col min="80" max="80" width="13.5703125" customWidth="1"/>
    <col min="81" max="82" width="15.28515625" customWidth="1"/>
    <col min="83" max="84" width="13.5703125" customWidth="1"/>
    <col min="85" max="86" width="15.28515625" customWidth="1"/>
    <col min="87" max="91" width="13.5703125" customWidth="1"/>
    <col min="92" max="92" width="12.42578125" customWidth="1"/>
    <col min="93" max="94" width="15.28515625" customWidth="1"/>
    <col min="95" max="95" width="13.5703125" customWidth="1"/>
    <col min="96" max="96" width="15.28515625" customWidth="1"/>
    <col min="97" max="97" width="17.42578125" customWidth="1"/>
    <col min="98" max="98" width="13.5703125" customWidth="1"/>
    <col min="99" max="100" width="17.42578125" bestFit="1" customWidth="1"/>
    <col min="101" max="101" width="13.5703125" customWidth="1"/>
    <col min="102" max="105" width="17.42578125" bestFit="1" customWidth="1"/>
    <col min="106" max="107" width="17.42578125" customWidth="1"/>
    <col min="108" max="108" width="17.42578125" bestFit="1" customWidth="1"/>
    <col min="109" max="110" width="15.5703125" customWidth="1"/>
    <col min="111" max="111" width="30.85546875" bestFit="1" customWidth="1"/>
    <col min="112" max="112" width="14.42578125" bestFit="1" customWidth="1"/>
  </cols>
  <sheetData>
    <row r="1" spans="1:9" s="34" customFormat="1" ht="24" thickTop="1" x14ac:dyDescent="0.35">
      <c r="A1" s="84" t="s">
        <v>214</v>
      </c>
      <c r="B1" s="84"/>
      <c r="C1" s="84"/>
      <c r="D1" s="84"/>
      <c r="E1" s="84"/>
      <c r="F1" s="84"/>
      <c r="G1" s="84"/>
      <c r="H1" s="84"/>
      <c r="I1" s="84"/>
    </row>
    <row r="3" spans="1:9" x14ac:dyDescent="0.25">
      <c r="A3" s="10" t="s">
        <v>11</v>
      </c>
      <c r="B3" t="s">
        <v>107</v>
      </c>
    </row>
    <row r="5" spans="1:9" x14ac:dyDescent="0.25">
      <c r="A5" s="75" t="s">
        <v>218</v>
      </c>
      <c r="B5" t="s">
        <v>122</v>
      </c>
      <c r="C5" t="s">
        <v>123</v>
      </c>
      <c r="D5" t="s">
        <v>124</v>
      </c>
    </row>
    <row r="6" spans="1:9" ht="15.75" thickBot="1" x14ac:dyDescent="0.3">
      <c r="A6" s="30">
        <v>128</v>
      </c>
      <c r="B6" s="31">
        <v>471.09375</v>
      </c>
      <c r="C6" s="31">
        <v>100</v>
      </c>
      <c r="D6" s="31">
        <v>2000</v>
      </c>
    </row>
    <row r="7" spans="1:9" ht="15.75" thickTop="1" x14ac:dyDescent="0.25">
      <c r="A7" s="25" t="s">
        <v>109</v>
      </c>
      <c r="B7" s="29"/>
      <c r="C7" s="29"/>
      <c r="D7">
        <v>175</v>
      </c>
    </row>
    <row r="8" spans="1:9" ht="15.75" thickBot="1" x14ac:dyDescent="0.3">
      <c r="A8" s="27" t="s">
        <v>215</v>
      </c>
      <c r="B8" s="26"/>
      <c r="C8" s="26"/>
      <c r="D8" s="26">
        <f>GETPIVOTDATA("Penzijní př.",A6)/D7</f>
        <v>0.73142857142857143</v>
      </c>
    </row>
    <row r="9" spans="1:9" ht="15.75" thickTop="1" x14ac:dyDescent="0.25">
      <c r="A9" t="s">
        <v>216</v>
      </c>
      <c r="D9" s="38">
        <f>100%-D8</f>
        <v>0.26857142857142857</v>
      </c>
    </row>
    <row r="11" spans="1:9" x14ac:dyDescent="0.25">
      <c r="B11" s="32" t="s">
        <v>67</v>
      </c>
    </row>
    <row r="12" spans="1:9" x14ac:dyDescent="0.25">
      <c r="B12" s="28" t="s">
        <v>39</v>
      </c>
      <c r="C12" s="28" t="s">
        <v>38</v>
      </c>
      <c r="D12" s="28" t="s">
        <v>37</v>
      </c>
      <c r="E12" s="28" t="s">
        <v>106</v>
      </c>
    </row>
    <row r="13" spans="1:9" ht="15.75" thickBot="1" x14ac:dyDescent="0.3">
      <c r="A13" t="s">
        <v>120</v>
      </c>
      <c r="B13" s="31">
        <v>525</v>
      </c>
      <c r="C13" s="31">
        <v>360.78431372549022</v>
      </c>
      <c r="D13" s="31">
        <v>547.69230769230774</v>
      </c>
      <c r="E13" s="31">
        <v>471.09375</v>
      </c>
    </row>
    <row r="14" spans="1:9" ht="15.75" thickTop="1" x14ac:dyDescent="0.25"/>
    <row r="15" spans="1:9" x14ac:dyDescent="0.25">
      <c r="B15" s="32" t="s">
        <v>0</v>
      </c>
    </row>
    <row r="16" spans="1:9" x14ac:dyDescent="0.25">
      <c r="B16" s="28" t="s">
        <v>20</v>
      </c>
      <c r="C16" s="28" t="s">
        <v>19</v>
      </c>
      <c r="D16" s="28" t="s">
        <v>106</v>
      </c>
    </row>
    <row r="17" spans="1:8" ht="15.75" thickBot="1" x14ac:dyDescent="0.3">
      <c r="A17" t="s">
        <v>120</v>
      </c>
      <c r="B17" s="31">
        <v>484.84848484848487</v>
      </c>
      <c r="C17" s="31">
        <v>456.45161290322579</v>
      </c>
      <c r="D17" s="31">
        <v>471.09375</v>
      </c>
    </row>
    <row r="18" spans="1:8" ht="15.75" thickTop="1" x14ac:dyDescent="0.25"/>
    <row r="19" spans="1:8" x14ac:dyDescent="0.25">
      <c r="B19" s="33" t="s">
        <v>9</v>
      </c>
    </row>
    <row r="20" spans="1:8" x14ac:dyDescent="0.25">
      <c r="B20" s="28" t="s">
        <v>45</v>
      </c>
      <c r="C20" s="28" t="s">
        <v>48</v>
      </c>
      <c r="D20" s="28" t="s">
        <v>31</v>
      </c>
      <c r="E20" s="28" t="s">
        <v>44</v>
      </c>
      <c r="F20" s="28" t="s">
        <v>51</v>
      </c>
      <c r="G20" s="28" t="s">
        <v>50</v>
      </c>
      <c r="H20" s="28" t="s">
        <v>106</v>
      </c>
    </row>
    <row r="21" spans="1:8" ht="15.75" thickBot="1" x14ac:dyDescent="0.3">
      <c r="A21" t="s">
        <v>120</v>
      </c>
      <c r="B21" s="31">
        <v>600</v>
      </c>
      <c r="C21" s="31">
        <v>391.02564102564105</v>
      </c>
      <c r="D21" s="31">
        <v>287.5</v>
      </c>
      <c r="E21" s="31">
        <v>620</v>
      </c>
      <c r="F21" s="31">
        <v>537.93103448275861</v>
      </c>
      <c r="G21" s="31">
        <v>534.21052631578948</v>
      </c>
      <c r="H21" s="31">
        <v>473.8095238095238</v>
      </c>
    </row>
    <row r="22" spans="1:8" ht="15.75" thickTop="1" x14ac:dyDescent="0.25">
      <c r="B22" s="37"/>
      <c r="C22" s="37"/>
      <c r="D22" s="37"/>
      <c r="E22" s="37"/>
      <c r="F22" s="37"/>
      <c r="G22" s="37"/>
      <c r="H22" s="37"/>
    </row>
    <row r="23" spans="1:8" x14ac:dyDescent="0.25">
      <c r="A23" s="33" t="s">
        <v>196</v>
      </c>
      <c r="B23" s="28" t="s">
        <v>120</v>
      </c>
    </row>
    <row r="24" spans="1:8" x14ac:dyDescent="0.25">
      <c r="A24" s="75" t="s">
        <v>204</v>
      </c>
      <c r="B24" s="37">
        <v>325</v>
      </c>
    </row>
    <row r="25" spans="1:8" x14ac:dyDescent="0.25">
      <c r="A25" s="75" t="s">
        <v>206</v>
      </c>
      <c r="B25" s="37">
        <v>347.32142857142856</v>
      </c>
    </row>
    <row r="26" spans="1:8" x14ac:dyDescent="0.25">
      <c r="A26" s="75" t="s">
        <v>205</v>
      </c>
      <c r="B26" s="37">
        <v>591.8604651162791</v>
      </c>
    </row>
    <row r="27" spans="1:8" x14ac:dyDescent="0.25">
      <c r="A27" s="75" t="s">
        <v>207</v>
      </c>
      <c r="B27" s="37">
        <v>611.11111111111109</v>
      </c>
    </row>
    <row r="28" spans="1:8" x14ac:dyDescent="0.25">
      <c r="A28" s="75" t="s">
        <v>208</v>
      </c>
      <c r="B28" s="37">
        <v>600</v>
      </c>
    </row>
    <row r="29" spans="1:8" ht="15.75" thickBot="1" x14ac:dyDescent="0.3">
      <c r="A29" s="75" t="s">
        <v>106</v>
      </c>
      <c r="B29" s="31">
        <v>471.09375</v>
      </c>
    </row>
    <row r="30" spans="1:8" ht="15.75" thickTop="1" x14ac:dyDescent="0.25"/>
    <row r="34" spans="1:36" x14ac:dyDescent="0.25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x14ac:dyDescent="0.25"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x14ac:dyDescent="0.2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ht="15.75" thickBot="1" x14ac:dyDescent="0.3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s="34" customFormat="1" ht="24" customHeight="1" thickTop="1" x14ac:dyDescent="0.35">
      <c r="A38" s="85" t="s">
        <v>118</v>
      </c>
      <c r="B38" s="85"/>
      <c r="C38" s="85"/>
      <c r="D38" s="85"/>
      <c r="E38" s="85"/>
      <c r="F38" s="85"/>
      <c r="G38" s="85"/>
      <c r="H38" s="85"/>
      <c r="I38" s="85"/>
    </row>
    <row r="40" spans="1:36" x14ac:dyDescent="0.25">
      <c r="A40" s="10" t="s">
        <v>29</v>
      </c>
      <c r="B40" t="s">
        <v>28</v>
      </c>
    </row>
    <row r="42" spans="1:36" x14ac:dyDescent="0.25">
      <c r="A42" s="75" t="s">
        <v>117</v>
      </c>
    </row>
    <row r="43" spans="1:36" ht="15.75" thickBot="1" x14ac:dyDescent="0.3">
      <c r="A43" s="30">
        <v>18</v>
      </c>
      <c r="C43" s="37"/>
      <c r="E43" s="37"/>
    </row>
    <row r="44" spans="1:36" ht="15.75" thickTop="1" x14ac:dyDescent="0.25">
      <c r="A44" s="25" t="s">
        <v>109</v>
      </c>
      <c r="B44">
        <v>175</v>
      </c>
    </row>
    <row r="45" spans="1:36" ht="15.75" thickBot="1" x14ac:dyDescent="0.3">
      <c r="A45" s="27" t="s">
        <v>180</v>
      </c>
      <c r="B45" s="26">
        <f>GETPIVOTDATA("II.pilíř",A43)/B44</f>
        <v>0.10285714285714286</v>
      </c>
    </row>
    <row r="46" spans="1:36" ht="16.5" thickTop="1" thickBot="1" x14ac:dyDescent="0.3">
      <c r="A46" s="27" t="s">
        <v>181</v>
      </c>
      <c r="B46" s="26">
        <f>100%-B45</f>
        <v>0.89714285714285713</v>
      </c>
    </row>
    <row r="47" spans="1:36" ht="15.75" thickTop="1" x14ac:dyDescent="0.25">
      <c r="C47" s="37"/>
    </row>
    <row r="48" spans="1:36" x14ac:dyDescent="0.25">
      <c r="A48" s="10" t="s">
        <v>29</v>
      </c>
      <c r="B48" t="s">
        <v>28</v>
      </c>
    </row>
    <row r="50" spans="1:8" x14ac:dyDescent="0.25">
      <c r="B50" s="32" t="s">
        <v>0</v>
      </c>
    </row>
    <row r="51" spans="1:8" x14ac:dyDescent="0.25">
      <c r="B51" s="40" t="s">
        <v>20</v>
      </c>
      <c r="C51" s="40" t="s">
        <v>19</v>
      </c>
      <c r="D51" s="40" t="s">
        <v>106</v>
      </c>
    </row>
    <row r="52" spans="1:8" x14ac:dyDescent="0.25">
      <c r="A52" t="s">
        <v>117</v>
      </c>
      <c r="B52" s="11">
        <v>10</v>
      </c>
      <c r="C52" s="11">
        <v>8</v>
      </c>
      <c r="D52" s="11">
        <v>18</v>
      </c>
    </row>
    <row r="53" spans="1:8" x14ac:dyDescent="0.25">
      <c r="A53" t="s">
        <v>109</v>
      </c>
      <c r="B53">
        <f>'Základní souhrny údajů'!B9</f>
        <v>95</v>
      </c>
      <c r="C53">
        <f>'Základní souhrny údajů'!B10</f>
        <v>80</v>
      </c>
      <c r="D53">
        <f>B53+C53</f>
        <v>175</v>
      </c>
    </row>
    <row r="54" spans="1:8" ht="15.75" thickBot="1" x14ac:dyDescent="0.3">
      <c r="A54" t="s">
        <v>119</v>
      </c>
      <c r="B54" s="39">
        <f>GETPIVOTDATA("II.pilíř",$A$50,"Pohlaví","muž")/B53</f>
        <v>0.10526315789473684</v>
      </c>
      <c r="C54" s="39">
        <f>GETPIVOTDATA("II.pilíř",$A$50,"Pohlaví","žena")/C53</f>
        <v>0.1</v>
      </c>
      <c r="D54" s="39">
        <f>GETPIVOTDATA("II.pilíř",$A$50)/D53</f>
        <v>0.10285714285714286</v>
      </c>
    </row>
    <row r="55" spans="1:8" ht="15.75" thickTop="1" x14ac:dyDescent="0.25"/>
    <row r="57" spans="1:8" x14ac:dyDescent="0.25">
      <c r="A57" s="10" t="s">
        <v>29</v>
      </c>
      <c r="B57" t="s">
        <v>28</v>
      </c>
      <c r="F57" s="28"/>
      <c r="G57" s="28"/>
      <c r="H57" s="28"/>
    </row>
    <row r="59" spans="1:8" x14ac:dyDescent="0.25">
      <c r="B59" s="32" t="s">
        <v>101</v>
      </c>
    </row>
    <row r="60" spans="1:8" x14ac:dyDescent="0.25">
      <c r="B60" s="28" t="s">
        <v>23</v>
      </c>
      <c r="C60" s="28" t="s">
        <v>40</v>
      </c>
      <c r="D60" s="28" t="s">
        <v>41</v>
      </c>
      <c r="E60" s="28" t="s">
        <v>106</v>
      </c>
    </row>
    <row r="61" spans="1:8" x14ac:dyDescent="0.25">
      <c r="A61" t="s">
        <v>117</v>
      </c>
      <c r="B61" s="11">
        <v>5</v>
      </c>
      <c r="C61" s="11">
        <v>3</v>
      </c>
      <c r="D61" s="11">
        <v>10</v>
      </c>
      <c r="E61" s="11">
        <v>18</v>
      </c>
    </row>
    <row r="62" spans="1:8" x14ac:dyDescent="0.25">
      <c r="A62" t="s">
        <v>109</v>
      </c>
      <c r="B62">
        <f>'Základní souhrny údajů'!B2</f>
        <v>38</v>
      </c>
      <c r="C62">
        <f>'Základní souhrny údajů'!B3</f>
        <v>44</v>
      </c>
      <c r="D62">
        <f>'Základní souhrny údajů'!B4</f>
        <v>93</v>
      </c>
      <c r="E62">
        <f>B62+C62+D62</f>
        <v>175</v>
      </c>
    </row>
    <row r="63" spans="1:8" ht="15.75" thickBot="1" x14ac:dyDescent="0.3">
      <c r="A63" t="s">
        <v>119</v>
      </c>
      <c r="B63" s="39">
        <f>GETPIVOTDATA("II.pilíř",$A$59,"Bydliště","Praha")/B62</f>
        <v>0.13157894736842105</v>
      </c>
      <c r="C63" s="39">
        <f>GETPIVOTDATA("II.pilíř",$A$59,"Bydliště","Středočeský kraj - Kladno")/C62</f>
        <v>6.8181818181818177E-2</v>
      </c>
      <c r="D63" s="39">
        <f>GETPIVOTDATA("II.pilíř",$A$59,"Bydliště","Středočeský kraj - obec")/D62</f>
        <v>0.10752688172043011</v>
      </c>
      <c r="E63" s="39">
        <f>GETPIVOTDATA("II.pilíř",$A$59)/E62</f>
        <v>0.10285714285714286</v>
      </c>
    </row>
    <row r="64" spans="1:8" ht="16.5" thickTop="1" thickBot="1" x14ac:dyDescent="0.3"/>
    <row r="65" spans="1:4" s="34" customFormat="1" ht="24" thickTop="1" x14ac:dyDescent="0.35">
      <c r="A65" s="84" t="s">
        <v>12</v>
      </c>
      <c r="B65" s="84"/>
      <c r="C65" s="84"/>
    </row>
    <row r="67" spans="1:4" x14ac:dyDescent="0.25">
      <c r="A67" s="10" t="s">
        <v>12</v>
      </c>
      <c r="B67" t="s">
        <v>107</v>
      </c>
    </row>
    <row r="69" spans="1:4" x14ac:dyDescent="0.25">
      <c r="A69" s="75" t="s">
        <v>121</v>
      </c>
      <c r="B69" t="s">
        <v>122</v>
      </c>
      <c r="C69" t="s">
        <v>123</v>
      </c>
      <c r="D69" t="s">
        <v>124</v>
      </c>
    </row>
    <row r="70" spans="1:4" ht="15.75" thickBot="1" x14ac:dyDescent="0.3">
      <c r="A70" s="30">
        <v>138</v>
      </c>
      <c r="B70" s="31">
        <v>1006.0869565217391</v>
      </c>
      <c r="C70" s="31">
        <v>204</v>
      </c>
      <c r="D70" s="31">
        <v>9000</v>
      </c>
    </row>
    <row r="71" spans="1:4" ht="15.75" thickTop="1" x14ac:dyDescent="0.25">
      <c r="A71" s="25" t="s">
        <v>109</v>
      </c>
      <c r="B71" s="29"/>
      <c r="C71" s="29"/>
      <c r="D71">
        <v>175</v>
      </c>
    </row>
    <row r="72" spans="1:4" ht="15.75" thickBot="1" x14ac:dyDescent="0.3">
      <c r="A72" s="27" t="s">
        <v>182</v>
      </c>
      <c r="B72" s="26"/>
      <c r="C72" s="26"/>
      <c r="D72" s="26">
        <f>GETPIVOTDATA("Životní pojištění",A70)/D71</f>
        <v>0.78857142857142859</v>
      </c>
    </row>
    <row r="73" spans="1:4" ht="15.75" thickTop="1" x14ac:dyDescent="0.25">
      <c r="A73" t="s">
        <v>183</v>
      </c>
      <c r="D73" s="38">
        <f>100%-D72</f>
        <v>0.21142857142857141</v>
      </c>
    </row>
    <row r="75" spans="1:4" x14ac:dyDescent="0.25">
      <c r="A75" s="91" t="s">
        <v>67</v>
      </c>
      <c r="B75" s="95" t="s">
        <v>143</v>
      </c>
    </row>
    <row r="76" spans="1:4" x14ac:dyDescent="0.25">
      <c r="A76" s="92" t="s">
        <v>39</v>
      </c>
      <c r="B76" s="93">
        <v>710.69230769230774</v>
      </c>
    </row>
    <row r="77" spans="1:4" x14ac:dyDescent="0.25">
      <c r="A77" s="92" t="s">
        <v>38</v>
      </c>
      <c r="B77" s="93">
        <v>918.15254237288138</v>
      </c>
    </row>
    <row r="78" spans="1:4" x14ac:dyDescent="0.25">
      <c r="A78" s="92" t="s">
        <v>37</v>
      </c>
      <c r="B78" s="93">
        <v>1142.878787878788</v>
      </c>
    </row>
    <row r="79" spans="1:4" ht="15.75" thickBot="1" x14ac:dyDescent="0.3">
      <c r="A79" s="92" t="s">
        <v>106</v>
      </c>
      <c r="B79" s="94">
        <v>1006.0869565217391</v>
      </c>
    </row>
    <row r="80" spans="1:4" ht="15.75" thickTop="1" x14ac:dyDescent="0.25"/>
    <row r="81" spans="1:8" ht="15.75" thickTop="1" x14ac:dyDescent="0.25">
      <c r="B81" s="32" t="s">
        <v>0</v>
      </c>
    </row>
    <row r="82" spans="1:8" x14ac:dyDescent="0.25">
      <c r="B82" s="28" t="s">
        <v>20</v>
      </c>
      <c r="C82" s="28" t="s">
        <v>19</v>
      </c>
      <c r="D82" s="28" t="s">
        <v>106</v>
      </c>
    </row>
    <row r="83" spans="1:8" ht="15.75" thickBot="1" x14ac:dyDescent="0.3">
      <c r="A83" t="s">
        <v>143</v>
      </c>
      <c r="B83" s="31">
        <v>1166.0138888888889</v>
      </c>
      <c r="C83" s="31">
        <v>831.62121212121212</v>
      </c>
      <c r="D83" s="31">
        <v>1006.0869565217391</v>
      </c>
    </row>
    <row r="84" spans="1:8" ht="15.75" thickTop="1" x14ac:dyDescent="0.25"/>
    <row r="85" spans="1:8" x14ac:dyDescent="0.25">
      <c r="A85" s="33" t="s">
        <v>221</v>
      </c>
      <c r="B85" s="28" t="s">
        <v>143</v>
      </c>
    </row>
    <row r="86" spans="1:8" x14ac:dyDescent="0.25">
      <c r="A86" s="79" t="s">
        <v>44</v>
      </c>
      <c r="B86" s="37">
        <v>1605.875</v>
      </c>
    </row>
    <row r="87" spans="1:8" x14ac:dyDescent="0.25">
      <c r="A87" s="79" t="s">
        <v>45</v>
      </c>
      <c r="B87" s="37">
        <v>1254.4000000000001</v>
      </c>
    </row>
    <row r="88" spans="1:8" x14ac:dyDescent="0.25">
      <c r="A88" s="79" t="s">
        <v>51</v>
      </c>
      <c r="B88" s="37">
        <v>1047</v>
      </c>
    </row>
    <row r="89" spans="1:8" x14ac:dyDescent="0.25">
      <c r="A89" s="79" t="s">
        <v>50</v>
      </c>
      <c r="B89" s="37">
        <v>882.5</v>
      </c>
    </row>
    <row r="90" spans="1:8" x14ac:dyDescent="0.25">
      <c r="A90" s="79" t="s">
        <v>48</v>
      </c>
      <c r="B90" s="37">
        <v>863.18181818181813</v>
      </c>
    </row>
    <row r="91" spans="1:8" x14ac:dyDescent="0.25">
      <c r="A91" s="79" t="s">
        <v>31</v>
      </c>
      <c r="B91" s="37">
        <v>803.52631578947364</v>
      </c>
    </row>
    <row r="92" spans="1:8" ht="15.75" thickBot="1" x14ac:dyDescent="0.3">
      <c r="A92" s="79" t="s">
        <v>106</v>
      </c>
      <c r="B92" s="31">
        <v>1006.0869565217391</v>
      </c>
    </row>
    <row r="93" spans="1:8" ht="15.75" thickTop="1" x14ac:dyDescent="0.25"/>
    <row r="94" spans="1:8" x14ac:dyDescent="0.25">
      <c r="B94" s="37"/>
      <c r="C94" s="37"/>
      <c r="D94" s="37"/>
      <c r="E94" s="37"/>
      <c r="F94" s="37"/>
      <c r="G94" s="37"/>
      <c r="H94" s="37"/>
    </row>
    <row r="95" spans="1:8" x14ac:dyDescent="0.25">
      <c r="A95" s="10" t="s">
        <v>1</v>
      </c>
      <c r="B95" t="s">
        <v>143</v>
      </c>
    </row>
    <row r="96" spans="1:8" x14ac:dyDescent="0.25">
      <c r="A96" s="75" t="s">
        <v>204</v>
      </c>
      <c r="B96" s="15">
        <v>805.66666666666663</v>
      </c>
    </row>
    <row r="97" spans="1:8" x14ac:dyDescent="0.25">
      <c r="A97" s="75" t="s">
        <v>206</v>
      </c>
      <c r="B97" s="15">
        <v>830.24</v>
      </c>
    </row>
    <row r="98" spans="1:8" x14ac:dyDescent="0.25">
      <c r="A98" s="75" t="s">
        <v>205</v>
      </c>
      <c r="B98" s="15">
        <v>1085.3571428571429</v>
      </c>
    </row>
    <row r="99" spans="1:8" x14ac:dyDescent="0.25">
      <c r="A99" s="75" t="s">
        <v>207</v>
      </c>
      <c r="B99" s="15">
        <v>883.25</v>
      </c>
    </row>
    <row r="100" spans="1:8" x14ac:dyDescent="0.25">
      <c r="A100" s="75" t="s">
        <v>208</v>
      </c>
      <c r="B100" s="15">
        <v>697</v>
      </c>
    </row>
    <row r="101" spans="1:8" x14ac:dyDescent="0.25">
      <c r="A101" s="75" t="s">
        <v>106</v>
      </c>
      <c r="B101" s="15">
        <v>891.82142857142856</v>
      </c>
    </row>
    <row r="103" spans="1:8" x14ac:dyDescent="0.25">
      <c r="D103" s="37"/>
      <c r="E103" s="37"/>
      <c r="F103" s="37"/>
      <c r="G103" s="37"/>
      <c r="H103" s="37"/>
    </row>
    <row r="104" spans="1:8" x14ac:dyDescent="0.25">
      <c r="D104" s="37"/>
      <c r="E104" s="37"/>
      <c r="F104" s="37"/>
      <c r="G104" s="37"/>
      <c r="H104" s="37"/>
    </row>
    <row r="105" spans="1:8" x14ac:dyDescent="0.25">
      <c r="D105" s="37"/>
      <c r="E105" s="37"/>
      <c r="F105" s="37"/>
      <c r="G105" s="37"/>
      <c r="H105" s="37"/>
    </row>
    <row r="106" spans="1:8" x14ac:dyDescent="0.25">
      <c r="D106" s="37"/>
      <c r="E106" s="37"/>
      <c r="F106" s="37"/>
      <c r="G106" s="37"/>
      <c r="H106" s="37"/>
    </row>
    <row r="107" spans="1:8" x14ac:dyDescent="0.25">
      <c r="D107" s="37"/>
      <c r="E107" s="37"/>
      <c r="F107" s="37"/>
      <c r="G107" s="37"/>
      <c r="H107" s="37"/>
    </row>
    <row r="108" spans="1:8" x14ac:dyDescent="0.25">
      <c r="D108" s="37"/>
      <c r="E108" s="37"/>
      <c r="F108" s="37"/>
      <c r="G108" s="37"/>
      <c r="H108" s="37"/>
    </row>
    <row r="109" spans="1:8" x14ac:dyDescent="0.25">
      <c r="D109" s="37"/>
      <c r="E109" s="37"/>
      <c r="F109" s="37"/>
      <c r="G109" s="37"/>
      <c r="H109" s="37"/>
    </row>
    <row r="110" spans="1:8" ht="15.75" thickBot="1" x14ac:dyDescent="0.3">
      <c r="D110" s="37"/>
      <c r="E110" s="37"/>
      <c r="F110" s="37"/>
      <c r="G110" s="37"/>
      <c r="H110" s="37"/>
    </row>
    <row r="111" spans="1:8" s="34" customFormat="1" ht="24" thickTop="1" x14ac:dyDescent="0.35">
      <c r="A111" s="84" t="s">
        <v>125</v>
      </c>
      <c r="B111" s="84"/>
      <c r="C111" s="84"/>
    </row>
    <row r="113" spans="1:5" x14ac:dyDescent="0.25">
      <c r="A113" s="10" t="s">
        <v>42</v>
      </c>
      <c r="B113" t="s">
        <v>107</v>
      </c>
    </row>
    <row r="115" spans="1:5" x14ac:dyDescent="0.25">
      <c r="A115" s="75" t="s">
        <v>126</v>
      </c>
      <c r="B115" t="s">
        <v>122</v>
      </c>
      <c r="C115" t="s">
        <v>123</v>
      </c>
      <c r="D115" t="s">
        <v>124</v>
      </c>
    </row>
    <row r="116" spans="1:5" ht="15.75" thickBot="1" x14ac:dyDescent="0.3">
      <c r="A116" s="30">
        <v>61</v>
      </c>
      <c r="B116" s="31">
        <v>1543.9344262295083</v>
      </c>
      <c r="C116" s="31">
        <v>100</v>
      </c>
      <c r="D116" s="31">
        <v>8400</v>
      </c>
    </row>
    <row r="117" spans="1:5" ht="15.75" thickTop="1" x14ac:dyDescent="0.25">
      <c r="A117" s="25" t="s">
        <v>109</v>
      </c>
      <c r="B117" s="29"/>
      <c r="C117" s="29"/>
      <c r="D117">
        <v>175</v>
      </c>
    </row>
    <row r="118" spans="1:5" ht="15.75" thickBot="1" x14ac:dyDescent="0.3">
      <c r="A118" s="27" t="s">
        <v>185</v>
      </c>
      <c r="B118" s="26"/>
      <c r="C118" s="26"/>
      <c r="D118" s="26">
        <f>GETPIVOTDATA("Pravidelné investice/měsíc",A116)/D117</f>
        <v>0.34857142857142859</v>
      </c>
    </row>
    <row r="119" spans="1:5" ht="15.75" thickTop="1" x14ac:dyDescent="0.25">
      <c r="A119" t="s">
        <v>184</v>
      </c>
      <c r="D119" s="38">
        <f>100%-D118</f>
        <v>0.65142857142857147</v>
      </c>
    </row>
    <row r="121" spans="1:5" x14ac:dyDescent="0.25">
      <c r="B121" s="32" t="s">
        <v>67</v>
      </c>
    </row>
    <row r="122" spans="1:5" x14ac:dyDescent="0.25">
      <c r="B122" s="28" t="s">
        <v>39</v>
      </c>
      <c r="C122" s="28" t="s">
        <v>38</v>
      </c>
      <c r="D122" s="28" t="s">
        <v>37</v>
      </c>
      <c r="E122" s="28" t="s">
        <v>106</v>
      </c>
    </row>
    <row r="123" spans="1:5" ht="15.75" thickBot="1" x14ac:dyDescent="0.3">
      <c r="A123" t="s">
        <v>127</v>
      </c>
      <c r="B123" s="31">
        <v>1175</v>
      </c>
      <c r="C123" s="31">
        <v>1231.0344827586207</v>
      </c>
      <c r="D123" s="31">
        <v>2045</v>
      </c>
      <c r="E123" s="31">
        <v>1543.9344262295083</v>
      </c>
    </row>
    <row r="124" spans="1:5" ht="15.75" thickTop="1" x14ac:dyDescent="0.25"/>
    <row r="125" spans="1:5" ht="15.75" thickTop="1" x14ac:dyDescent="0.25">
      <c r="B125" s="32" t="s">
        <v>0</v>
      </c>
    </row>
    <row r="126" spans="1:5" x14ac:dyDescent="0.25">
      <c r="B126" s="28" t="s">
        <v>20</v>
      </c>
      <c r="C126" s="28" t="s">
        <v>19</v>
      </c>
      <c r="D126" s="28" t="s">
        <v>106</v>
      </c>
    </row>
    <row r="127" spans="1:5" ht="15.75" thickBot="1" x14ac:dyDescent="0.3">
      <c r="A127" t="s">
        <v>127</v>
      </c>
      <c r="B127" s="31">
        <v>1732.7777777777778</v>
      </c>
      <c r="C127" s="31">
        <v>1272</v>
      </c>
      <c r="D127" s="31">
        <v>1543.9344262295083</v>
      </c>
    </row>
    <row r="128" spans="1:5" ht="15.75" thickTop="1" x14ac:dyDescent="0.25">
      <c r="B128" s="37"/>
      <c r="C128" s="37"/>
      <c r="D128" s="37"/>
    </row>
    <row r="129" spans="1:8" x14ac:dyDescent="0.25">
      <c r="A129" s="32" t="s">
        <v>196</v>
      </c>
      <c r="B129" s="28" t="s">
        <v>127</v>
      </c>
    </row>
    <row r="130" spans="1:8" s="28" customFormat="1" x14ac:dyDescent="0.25">
      <c r="A130" s="75" t="s">
        <v>32</v>
      </c>
      <c r="B130" s="37" t="e">
        <v>#DIV/0!</v>
      </c>
      <c r="C130"/>
      <c r="D130"/>
      <c r="E130"/>
      <c r="F130"/>
      <c r="G130"/>
    </row>
    <row r="131" spans="1:8" x14ac:dyDescent="0.25">
      <c r="A131" s="75" t="s">
        <v>34</v>
      </c>
      <c r="B131" s="37">
        <v>835</v>
      </c>
    </row>
    <row r="132" spans="1:8" x14ac:dyDescent="0.25">
      <c r="A132" s="75" t="s">
        <v>22</v>
      </c>
      <c r="B132" s="37">
        <v>1709.375</v>
      </c>
    </row>
    <row r="133" spans="1:8" x14ac:dyDescent="0.25">
      <c r="A133" s="75" t="s">
        <v>36</v>
      </c>
      <c r="B133" s="37">
        <v>1800</v>
      </c>
    </row>
    <row r="134" spans="1:8" x14ac:dyDescent="0.25">
      <c r="A134" s="75" t="s">
        <v>35</v>
      </c>
      <c r="B134" s="37">
        <v>1487.5</v>
      </c>
    </row>
    <row r="135" spans="1:8" ht="15.75" thickBot="1" x14ac:dyDescent="0.3">
      <c r="A135" s="75" t="s">
        <v>106</v>
      </c>
      <c r="B135" s="31">
        <v>1543.9344262295083</v>
      </c>
    </row>
    <row r="136" spans="1:8" ht="15.75" thickTop="1" x14ac:dyDescent="0.25">
      <c r="B136" s="37"/>
      <c r="C136" s="37"/>
      <c r="D136" s="37"/>
      <c r="E136" s="37"/>
      <c r="F136" s="37"/>
      <c r="G136" s="37"/>
      <c r="H136" s="37"/>
    </row>
    <row r="137" spans="1:8" x14ac:dyDescent="0.25">
      <c r="B137" s="37"/>
      <c r="C137" s="37"/>
      <c r="D137" s="37"/>
      <c r="E137" s="37"/>
      <c r="F137" s="37"/>
      <c r="G137" s="37"/>
      <c r="H137" s="37"/>
    </row>
    <row r="138" spans="1:8" x14ac:dyDescent="0.25">
      <c r="B138" s="37"/>
      <c r="C138" s="37"/>
      <c r="D138" s="37"/>
      <c r="E138" s="37"/>
      <c r="F138" s="37"/>
      <c r="G138" s="37"/>
      <c r="H138" s="37"/>
    </row>
    <row r="139" spans="1:8" x14ac:dyDescent="0.25">
      <c r="A139" s="33" t="s">
        <v>9</v>
      </c>
      <c r="B139" s="28" t="s">
        <v>127</v>
      </c>
      <c r="C139" s="37"/>
      <c r="D139" s="37"/>
      <c r="E139" s="37"/>
      <c r="F139" s="37"/>
      <c r="G139" s="37"/>
    </row>
    <row r="140" spans="1:8" x14ac:dyDescent="0.25">
      <c r="A140" s="75" t="s">
        <v>45</v>
      </c>
      <c r="B140" s="37">
        <v>4633.333333333333</v>
      </c>
      <c r="C140" s="37"/>
      <c r="D140" s="37"/>
      <c r="E140" s="37"/>
      <c r="F140" s="37"/>
      <c r="G140" s="37"/>
    </row>
    <row r="141" spans="1:8" x14ac:dyDescent="0.25">
      <c r="A141" s="75" t="s">
        <v>44</v>
      </c>
      <c r="B141" s="37">
        <v>2722.2222222222222</v>
      </c>
      <c r="C141" s="37"/>
      <c r="D141" s="37"/>
      <c r="E141" s="37"/>
      <c r="F141" s="37"/>
      <c r="G141" s="37"/>
    </row>
    <row r="142" spans="1:8" x14ac:dyDescent="0.25">
      <c r="A142" s="75" t="s">
        <v>51</v>
      </c>
      <c r="B142" s="37">
        <v>1467.5</v>
      </c>
      <c r="C142" s="37"/>
      <c r="D142" s="37"/>
      <c r="E142" s="37"/>
      <c r="F142" s="37"/>
      <c r="G142" s="37"/>
    </row>
    <row r="143" spans="1:8" x14ac:dyDescent="0.25">
      <c r="A143" s="75" t="s">
        <v>48</v>
      </c>
      <c r="B143" s="37">
        <v>1015.7894736842105</v>
      </c>
      <c r="C143" s="37"/>
      <c r="D143" s="37"/>
      <c r="E143" s="37"/>
      <c r="F143" s="37"/>
      <c r="G143" s="37"/>
    </row>
    <row r="144" spans="1:8" x14ac:dyDescent="0.25">
      <c r="A144" s="75" t="s">
        <v>50</v>
      </c>
      <c r="B144" s="37">
        <v>950</v>
      </c>
      <c r="C144" s="37"/>
      <c r="D144" s="37"/>
      <c r="E144" s="37"/>
      <c r="F144" s="37"/>
      <c r="G144" s="37"/>
    </row>
    <row r="145" spans="1:8" x14ac:dyDescent="0.25">
      <c r="A145" s="75" t="s">
        <v>31</v>
      </c>
      <c r="B145" s="37">
        <v>800</v>
      </c>
    </row>
    <row r="146" spans="1:8" x14ac:dyDescent="0.25">
      <c r="A146" s="75" t="s">
        <v>49</v>
      </c>
      <c r="B146" s="37" t="e">
        <v>#DIV/0!</v>
      </c>
    </row>
    <row r="147" spans="1:8" ht="15.75" thickBot="1" x14ac:dyDescent="0.3">
      <c r="A147" s="75" t="s">
        <v>106</v>
      </c>
      <c r="B147" s="31">
        <v>1543.9344262295083</v>
      </c>
    </row>
    <row r="148" spans="1:8" ht="15.75" thickTop="1" x14ac:dyDescent="0.25">
      <c r="C148" s="37"/>
      <c r="D148" s="37"/>
      <c r="E148" s="37"/>
      <c r="F148" s="37"/>
      <c r="G148" s="37"/>
      <c r="H148" s="37"/>
    </row>
    <row r="149" spans="1:8" x14ac:dyDescent="0.25">
      <c r="A149" s="33" t="s">
        <v>196</v>
      </c>
      <c r="B149" s="28" t="s">
        <v>127</v>
      </c>
    </row>
    <row r="150" spans="1:8" x14ac:dyDescent="0.25">
      <c r="A150" s="75" t="s">
        <v>204</v>
      </c>
      <c r="B150" s="37">
        <v>840.5</v>
      </c>
    </row>
    <row r="151" spans="1:8" x14ac:dyDescent="0.25">
      <c r="A151" s="75" t="s">
        <v>206</v>
      </c>
      <c r="B151" s="37">
        <v>997.48529411764707</v>
      </c>
    </row>
    <row r="152" spans="1:8" x14ac:dyDescent="0.25">
      <c r="A152" s="75" t="s">
        <v>205</v>
      </c>
      <c r="B152" s="37">
        <v>954</v>
      </c>
    </row>
    <row r="153" spans="1:8" x14ac:dyDescent="0.25">
      <c r="A153" s="75" t="s">
        <v>207</v>
      </c>
      <c r="B153" s="37">
        <v>1376.1428571428571</v>
      </c>
    </row>
    <row r="154" spans="1:8" x14ac:dyDescent="0.25">
      <c r="A154" s="75" t="s">
        <v>208</v>
      </c>
      <c r="B154" s="37">
        <v>697</v>
      </c>
    </row>
    <row r="155" spans="1:8" ht="15.75" thickBot="1" x14ac:dyDescent="0.3">
      <c r="A155" s="75" t="s">
        <v>106</v>
      </c>
      <c r="B155" s="31">
        <v>1006.0869565217391</v>
      </c>
    </row>
    <row r="156" spans="1:8" ht="15.75" thickTop="1" x14ac:dyDescent="0.25"/>
    <row r="164" spans="1:5" ht="15.75" thickBot="1" x14ac:dyDescent="0.3"/>
    <row r="165" spans="1:5" s="34" customFormat="1" ht="24" thickTop="1" x14ac:dyDescent="0.35">
      <c r="A165" s="84" t="s">
        <v>128</v>
      </c>
      <c r="B165" s="84"/>
      <c r="C165" s="84"/>
    </row>
    <row r="167" spans="1:5" x14ac:dyDescent="0.25">
      <c r="A167" s="10" t="s">
        <v>129</v>
      </c>
      <c r="B167" t="s">
        <v>107</v>
      </c>
    </row>
    <row r="169" spans="1:5" x14ac:dyDescent="0.25">
      <c r="A169" s="75" t="s">
        <v>133</v>
      </c>
      <c r="B169" t="s">
        <v>127</v>
      </c>
      <c r="C169" t="s">
        <v>131</v>
      </c>
      <c r="D169" t="s">
        <v>132</v>
      </c>
    </row>
    <row r="170" spans="1:5" ht="15.75" thickBot="1" x14ac:dyDescent="0.3">
      <c r="A170" s="30">
        <v>9</v>
      </c>
      <c r="B170" s="31">
        <v>291111.11111111112</v>
      </c>
      <c r="C170" s="31">
        <v>20000</v>
      </c>
      <c r="D170" s="31">
        <v>1000000</v>
      </c>
    </row>
    <row r="171" spans="1:5" ht="15.75" thickTop="1" x14ac:dyDescent="0.25">
      <c r="A171" s="10" t="s">
        <v>130</v>
      </c>
      <c r="B171" t="s">
        <v>107</v>
      </c>
      <c r="C171" s="37"/>
      <c r="D171" s="37"/>
      <c r="E171" s="37"/>
    </row>
    <row r="172" spans="1:5" x14ac:dyDescent="0.25">
      <c r="C172" s="37"/>
      <c r="D172" s="37"/>
      <c r="E172" s="37"/>
    </row>
    <row r="173" spans="1:5" x14ac:dyDescent="0.25">
      <c r="A173" s="75" t="s">
        <v>219</v>
      </c>
      <c r="B173" t="s">
        <v>127</v>
      </c>
      <c r="C173" t="s">
        <v>131</v>
      </c>
      <c r="D173" t="s">
        <v>132</v>
      </c>
      <c r="E173" s="37"/>
    </row>
    <row r="174" spans="1:5" ht="15.75" thickBot="1" x14ac:dyDescent="0.3">
      <c r="A174" s="30">
        <v>22</v>
      </c>
      <c r="B174" s="31">
        <v>1331818.1818181819</v>
      </c>
      <c r="C174" s="31">
        <v>200000</v>
      </c>
      <c r="D174" s="31">
        <v>2500000</v>
      </c>
      <c r="E174" s="37"/>
    </row>
    <row r="175" spans="1:5" ht="15.75" thickTop="1" x14ac:dyDescent="0.25">
      <c r="E175" s="37"/>
    </row>
    <row r="176" spans="1:5" x14ac:dyDescent="0.25">
      <c r="A176" s="25" t="s">
        <v>109</v>
      </c>
      <c r="C176" s="37"/>
      <c r="D176">
        <v>175</v>
      </c>
      <c r="E176" s="37"/>
    </row>
    <row r="177" spans="1:5" x14ac:dyDescent="0.25">
      <c r="A177" s="41" t="s">
        <v>134</v>
      </c>
      <c r="B177" s="42"/>
      <c r="C177" s="42"/>
      <c r="D177" s="42">
        <f>GETPIVOTDATA("Jednorázové investice do podílových fondů",A170)/D176</f>
        <v>5.1428571428571428E-2</v>
      </c>
      <c r="E177" s="37"/>
    </row>
    <row r="178" spans="1:5" x14ac:dyDescent="0.25">
      <c r="A178" s="41" t="s">
        <v>225</v>
      </c>
      <c r="B178" s="42"/>
      <c r="C178" s="42"/>
      <c r="D178" s="42">
        <f>GETPIVOTDATA("Jiné investice (např. nemovitosti)",A174)/D176</f>
        <v>0.12571428571428572</v>
      </c>
    </row>
    <row r="179" spans="1:5" x14ac:dyDescent="0.25">
      <c r="A179" t="s">
        <v>186</v>
      </c>
      <c r="D179" s="38">
        <f>D178+D177</f>
        <v>0.17714285714285716</v>
      </c>
    </row>
    <row r="180" spans="1:5" ht="15.75" thickBot="1" x14ac:dyDescent="0.3">
      <c r="A180" s="43" t="s">
        <v>187</v>
      </c>
      <c r="B180" s="43"/>
      <c r="C180" s="43"/>
      <c r="D180" s="44">
        <f>100%-D179</f>
        <v>0.82285714285714284</v>
      </c>
    </row>
    <row r="181" spans="1:5" ht="15.75" thickTop="1" x14ac:dyDescent="0.25"/>
    <row r="182" spans="1:5" x14ac:dyDescent="0.25">
      <c r="B182" s="32" t="s">
        <v>67</v>
      </c>
    </row>
    <row r="183" spans="1:5" x14ac:dyDescent="0.25">
      <c r="B183" s="28" t="s">
        <v>38</v>
      </c>
      <c r="C183" s="28" t="s">
        <v>37</v>
      </c>
      <c r="D183" s="28" t="s">
        <v>106</v>
      </c>
    </row>
    <row r="184" spans="1:5" ht="15.75" thickBot="1" x14ac:dyDescent="0.3">
      <c r="A184" t="s">
        <v>135</v>
      </c>
      <c r="B184" s="31">
        <v>383333.33333333331</v>
      </c>
      <c r="C184" s="31">
        <v>245000</v>
      </c>
      <c r="D184" s="31">
        <v>291111.11111111112</v>
      </c>
    </row>
    <row r="185" spans="1:5" ht="15.75" thickTop="1" x14ac:dyDescent="0.25">
      <c r="B185" s="37"/>
      <c r="C185" s="37"/>
      <c r="D185" s="37"/>
      <c r="E185" s="37"/>
    </row>
    <row r="186" spans="1:5" x14ac:dyDescent="0.25">
      <c r="B186" s="32" t="s">
        <v>67</v>
      </c>
    </row>
    <row r="187" spans="1:5" x14ac:dyDescent="0.25">
      <c r="B187" s="28" t="s">
        <v>38</v>
      </c>
      <c r="C187" s="28" t="s">
        <v>37</v>
      </c>
      <c r="D187" s="28" t="s">
        <v>106</v>
      </c>
    </row>
    <row r="188" spans="1:5" ht="15.75" thickBot="1" x14ac:dyDescent="0.3">
      <c r="A188" t="s">
        <v>220</v>
      </c>
      <c r="B188" s="31">
        <v>1500000</v>
      </c>
      <c r="C188" s="31">
        <v>1282352.9411764706</v>
      </c>
      <c r="D188" s="31">
        <v>1331818.1818181819</v>
      </c>
    </row>
    <row r="189" spans="1:5" s="45" customFormat="1" ht="16.5" thickTop="1" thickBot="1" x14ac:dyDescent="0.3">
      <c r="B189" s="46"/>
      <c r="C189" s="46"/>
      <c r="D189" s="46"/>
    </row>
    <row r="190" spans="1:5" ht="15.75" thickTop="1" x14ac:dyDescent="0.25"/>
    <row r="191" spans="1:5" x14ac:dyDescent="0.25">
      <c r="B191" s="32" t="s">
        <v>0</v>
      </c>
    </row>
    <row r="192" spans="1:5" x14ac:dyDescent="0.25">
      <c r="B192" s="28" t="s">
        <v>20</v>
      </c>
      <c r="C192" s="28" t="s">
        <v>19</v>
      </c>
      <c r="D192" s="28" t="s">
        <v>106</v>
      </c>
    </row>
    <row r="193" spans="1:4" ht="15.75" thickBot="1" x14ac:dyDescent="0.3">
      <c r="A193" t="s">
        <v>135</v>
      </c>
      <c r="B193" s="31">
        <v>331428.57142857142</v>
      </c>
      <c r="C193" s="31">
        <v>150000</v>
      </c>
      <c r="D193" s="31">
        <v>291111.11111111112</v>
      </c>
    </row>
    <row r="194" spans="1:4" ht="15.75" thickTop="1" x14ac:dyDescent="0.25"/>
    <row r="195" spans="1:4" x14ac:dyDescent="0.25">
      <c r="B195" s="32" t="s">
        <v>0</v>
      </c>
    </row>
    <row r="196" spans="1:4" x14ac:dyDescent="0.25">
      <c r="B196" s="28" t="s">
        <v>20</v>
      </c>
      <c r="C196" s="28" t="s">
        <v>19</v>
      </c>
      <c r="D196" s="28" t="s">
        <v>106</v>
      </c>
    </row>
    <row r="197" spans="1:4" ht="15.75" thickBot="1" x14ac:dyDescent="0.3">
      <c r="A197" t="s">
        <v>220</v>
      </c>
      <c r="B197" s="31">
        <v>1240000</v>
      </c>
      <c r="C197" s="31">
        <v>1408333.3333333333</v>
      </c>
      <c r="D197" s="31">
        <v>1331818.1818181819</v>
      </c>
    </row>
    <row r="198" spans="1:4" s="45" customFormat="1" ht="16.5" thickTop="1" thickBot="1" x14ac:dyDescent="0.3">
      <c r="B198" s="46"/>
      <c r="C198" s="46"/>
      <c r="D198" s="46"/>
    </row>
    <row r="199" spans="1:4" ht="15.75" thickTop="1" x14ac:dyDescent="0.25"/>
    <row r="200" spans="1:4" x14ac:dyDescent="0.25">
      <c r="A200" s="33" t="s">
        <v>221</v>
      </c>
      <c r="B200" s="28" t="s">
        <v>135</v>
      </c>
    </row>
    <row r="201" spans="1:4" x14ac:dyDescent="0.25">
      <c r="A201" s="75" t="s">
        <v>48</v>
      </c>
      <c r="B201" s="37">
        <v>533333.33333333337</v>
      </c>
    </row>
    <row r="202" spans="1:4" x14ac:dyDescent="0.25">
      <c r="A202" s="75" t="s">
        <v>51</v>
      </c>
      <c r="B202" s="37">
        <v>206666.66666666666</v>
      </c>
    </row>
    <row r="203" spans="1:4" x14ac:dyDescent="0.25">
      <c r="A203" s="75" t="s">
        <v>44</v>
      </c>
      <c r="B203" s="37">
        <v>150000</v>
      </c>
    </row>
    <row r="204" spans="1:4" x14ac:dyDescent="0.25">
      <c r="A204" s="75" t="s">
        <v>50</v>
      </c>
      <c r="B204" s="37">
        <v>100000</v>
      </c>
    </row>
    <row r="205" spans="1:4" ht="15.75" thickBot="1" x14ac:dyDescent="0.3">
      <c r="A205" s="75" t="s">
        <v>106</v>
      </c>
      <c r="B205" s="31">
        <v>291111.11111111112</v>
      </c>
    </row>
    <row r="206" spans="1:4" ht="15.75" thickTop="1" x14ac:dyDescent="0.25"/>
    <row r="207" spans="1:4" x14ac:dyDescent="0.25">
      <c r="A207" s="33" t="s">
        <v>221</v>
      </c>
      <c r="B207" s="28" t="s">
        <v>220</v>
      </c>
    </row>
    <row r="208" spans="1:4" x14ac:dyDescent="0.25">
      <c r="A208" s="75" t="s">
        <v>45</v>
      </c>
      <c r="B208" s="37">
        <v>1750000</v>
      </c>
    </row>
    <row r="209" spans="1:34" x14ac:dyDescent="0.25">
      <c r="A209" s="75" t="s">
        <v>44</v>
      </c>
      <c r="B209" s="37">
        <v>1725000</v>
      </c>
      <c r="E209" s="75"/>
      <c r="F209" s="37"/>
    </row>
    <row r="210" spans="1:34" x14ac:dyDescent="0.25">
      <c r="A210" s="75" t="s">
        <v>51</v>
      </c>
      <c r="B210" s="37">
        <v>1625000</v>
      </c>
      <c r="E210" s="75"/>
      <c r="F210" s="37"/>
    </row>
    <row r="211" spans="1:34" x14ac:dyDescent="0.25">
      <c r="A211" s="75" t="s">
        <v>31</v>
      </c>
      <c r="B211" s="37">
        <v>1375000</v>
      </c>
      <c r="E211" s="75"/>
      <c r="F211" s="37"/>
    </row>
    <row r="212" spans="1:34" x14ac:dyDescent="0.25">
      <c r="A212" s="75" t="s">
        <v>50</v>
      </c>
      <c r="B212" s="37">
        <v>1020000</v>
      </c>
      <c r="E212" s="75"/>
      <c r="F212" s="37"/>
    </row>
    <row r="213" spans="1:34" x14ac:dyDescent="0.25">
      <c r="A213" s="75" t="s">
        <v>48</v>
      </c>
      <c r="B213" s="37">
        <v>1016666.6666666666</v>
      </c>
    </row>
    <row r="214" spans="1:34" s="62" customFormat="1" ht="15.75" thickBot="1" x14ac:dyDescent="0.3">
      <c r="A214" s="75" t="s">
        <v>106</v>
      </c>
      <c r="B214" s="31">
        <v>1331818.1818181819</v>
      </c>
    </row>
    <row r="215" spans="1:34" s="53" customFormat="1" ht="16.5" thickTop="1" thickBot="1" x14ac:dyDescent="0.3">
      <c r="B215" s="63"/>
      <c r="C215" s="63"/>
      <c r="D215" s="63"/>
      <c r="E215" s="63"/>
      <c r="F215" s="63"/>
      <c r="G215" s="63"/>
      <c r="H215" s="63"/>
    </row>
    <row r="216" spans="1:34" s="34" customFormat="1" ht="24" thickTop="1" x14ac:dyDescent="0.35">
      <c r="A216" s="84" t="s">
        <v>25</v>
      </c>
      <c r="B216" s="84"/>
      <c r="C216" s="84"/>
      <c r="D216" s="84"/>
      <c r="E216" s="84"/>
      <c r="F216" s="84"/>
      <c r="G216" s="84"/>
      <c r="H216" s="84"/>
      <c r="I216" s="84"/>
    </row>
    <row r="217" spans="1:34" s="53" customFormat="1" x14ac:dyDescent="0.25"/>
    <row r="218" spans="1:34" s="53" customFormat="1" ht="15.75" thickBot="1" x14ac:dyDescent="0.3">
      <c r="A218" s="53" t="s">
        <v>25</v>
      </c>
      <c r="B218" s="53" t="s">
        <v>107</v>
      </c>
    </row>
    <row r="219" spans="1:34" s="53" customFormat="1" ht="15.75" thickTop="1" x14ac:dyDescent="0.25">
      <c r="A219" s="55"/>
      <c r="B219" s="55"/>
    </row>
    <row r="220" spans="1:34" s="53" customFormat="1" x14ac:dyDescent="0.25">
      <c r="A220" s="53" t="s">
        <v>150</v>
      </c>
      <c r="B220" t="s">
        <v>120</v>
      </c>
      <c r="C220" t="s">
        <v>151</v>
      </c>
      <c r="D220" t="s">
        <v>152</v>
      </c>
      <c r="I220"/>
    </row>
    <row r="221" spans="1:34" s="53" customFormat="1" x14ac:dyDescent="0.25">
      <c r="A221" s="56">
        <v>34</v>
      </c>
      <c r="B221" s="15">
        <v>1313.2352941176471</v>
      </c>
      <c r="C221" s="15">
        <v>100</v>
      </c>
      <c r="D221" s="15">
        <v>2500</v>
      </c>
      <c r="J221"/>
      <c r="K221"/>
      <c r="L221"/>
    </row>
    <row r="222" spans="1:34" s="53" customFormat="1" x14ac:dyDescent="0.25">
      <c r="A222" s="57" t="s">
        <v>109</v>
      </c>
      <c r="B222" s="58"/>
      <c r="C222" s="58"/>
      <c r="D222" s="53">
        <v>175</v>
      </c>
      <c r="J222"/>
      <c r="K222"/>
      <c r="L222"/>
      <c r="AF222"/>
      <c r="AG222"/>
      <c r="AH222"/>
    </row>
    <row r="223" spans="1:34" s="53" customFormat="1" ht="15.75" thickBot="1" x14ac:dyDescent="0.3">
      <c r="A223" s="59" t="s">
        <v>188</v>
      </c>
      <c r="B223" s="60"/>
      <c r="C223" s="60"/>
      <c r="D223" s="60">
        <f>GETPIVOTDATA("Stavební spoření",A221)/D222</f>
        <v>0.19428571428571428</v>
      </c>
      <c r="J223"/>
      <c r="K223"/>
      <c r="L223"/>
      <c r="AF223"/>
      <c r="AG223"/>
      <c r="AH223"/>
    </row>
    <row r="224" spans="1:34" s="53" customFormat="1" ht="15.75" thickTop="1" x14ac:dyDescent="0.25">
      <c r="A224" s="53" t="s">
        <v>189</v>
      </c>
      <c r="D224" s="61">
        <f>100%-D223</f>
        <v>0.80571428571428572</v>
      </c>
      <c r="E224"/>
      <c r="F224"/>
      <c r="G224"/>
      <c r="H224"/>
      <c r="I224"/>
      <c r="J224"/>
      <c r="K224"/>
      <c r="L224"/>
      <c r="AF224"/>
      <c r="AG224"/>
      <c r="AH224"/>
    </row>
    <row r="225" spans="1:77" s="53" customFormat="1" x14ac:dyDescent="0.25"/>
    <row r="226" spans="1:77" s="53" customFormat="1" x14ac:dyDescent="0.25">
      <c r="A226" s="32" t="s">
        <v>67</v>
      </c>
      <c r="B226" s="28" t="s">
        <v>224</v>
      </c>
    </row>
    <row r="227" spans="1:77" s="53" customFormat="1" x14ac:dyDescent="0.25">
      <c r="A227" s="28" t="s">
        <v>39</v>
      </c>
      <c r="B227" s="15">
        <v>266.66666666666669</v>
      </c>
    </row>
    <row r="228" spans="1:77" s="53" customFormat="1" x14ac:dyDescent="0.25">
      <c r="A228" s="28" t="s">
        <v>38</v>
      </c>
      <c r="B228" s="15">
        <v>1260</v>
      </c>
    </row>
    <row r="229" spans="1:77" s="53" customFormat="1" x14ac:dyDescent="0.25">
      <c r="A229" s="28" t="s">
        <v>37</v>
      </c>
      <c r="B229" s="15">
        <v>1488.0952380952381</v>
      </c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53" customFormat="1" x14ac:dyDescent="0.25">
      <c r="A230" s="82" t="s">
        <v>106</v>
      </c>
      <c r="B230" s="15">
        <v>1313.2352941176471</v>
      </c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53" customFormat="1" x14ac:dyDescent="0.25"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53" customFormat="1" x14ac:dyDescent="0.25">
      <c r="A232"/>
      <c r="B232" s="32" t="s">
        <v>0</v>
      </c>
      <c r="C232"/>
      <c r="D232"/>
    </row>
    <row r="233" spans="1:77" s="53" customFormat="1" x14ac:dyDescent="0.25">
      <c r="A233"/>
      <c r="B233" s="28" t="s">
        <v>20</v>
      </c>
      <c r="C233" s="28" t="s">
        <v>19</v>
      </c>
      <c r="D233" s="28" t="s">
        <v>106</v>
      </c>
    </row>
    <row r="234" spans="1:77" s="53" customFormat="1" x14ac:dyDescent="0.25">
      <c r="A234" t="s">
        <v>120</v>
      </c>
      <c r="B234" s="15">
        <v>1320.5882352941176</v>
      </c>
      <c r="C234" s="15">
        <v>1305.8823529411766</v>
      </c>
      <c r="D234" s="15">
        <v>1313.2352941176471</v>
      </c>
    </row>
    <row r="235" spans="1:77" s="53" customFormat="1" x14ac:dyDescent="0.25"/>
    <row r="236" spans="1:77" s="53" customFormat="1" x14ac:dyDescent="0.25">
      <c r="A236"/>
      <c r="B236" s="32" t="s">
        <v>9</v>
      </c>
      <c r="C236"/>
      <c r="D236"/>
      <c r="E236"/>
      <c r="F236"/>
      <c r="G236"/>
      <c r="H236"/>
      <c r="I236"/>
    </row>
    <row r="237" spans="1:77" s="53" customFormat="1" x14ac:dyDescent="0.25">
      <c r="A237"/>
      <c r="B237" s="28" t="s">
        <v>45</v>
      </c>
      <c r="C237" s="28" t="s">
        <v>48</v>
      </c>
      <c r="D237" s="28" t="s">
        <v>31</v>
      </c>
      <c r="E237" s="28" t="s">
        <v>44</v>
      </c>
      <c r="F237" s="28" t="s">
        <v>51</v>
      </c>
      <c r="G237" s="28" t="s">
        <v>50</v>
      </c>
      <c r="H237" s="28" t="s">
        <v>106</v>
      </c>
      <c r="I237"/>
    </row>
    <row r="238" spans="1:77" s="53" customFormat="1" x14ac:dyDescent="0.25">
      <c r="A238" t="s">
        <v>120</v>
      </c>
      <c r="B238" s="15">
        <v>900</v>
      </c>
      <c r="C238" s="15">
        <v>1311.1111111111111</v>
      </c>
      <c r="D238" s="15">
        <v>1000</v>
      </c>
      <c r="E238" s="15">
        <v>1233.3333333333333</v>
      </c>
      <c r="F238" s="15">
        <v>1393.75</v>
      </c>
      <c r="G238" s="15">
        <v>1381.8181818181818</v>
      </c>
      <c r="H238" s="15">
        <v>1313.2352941176471</v>
      </c>
      <c r="I238"/>
    </row>
    <row r="239" spans="1:77" s="53" customFormat="1" x14ac:dyDescent="0.25"/>
    <row r="240" spans="1:77" s="53" customFormat="1" x14ac:dyDescent="0.25">
      <c r="A240"/>
      <c r="B240" s="10" t="s">
        <v>1</v>
      </c>
      <c r="C240" s="54"/>
      <c r="D240"/>
      <c r="E240"/>
      <c r="F240"/>
      <c r="G240"/>
      <c r="H240"/>
      <c r="I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1006" s="53" customFormat="1" x14ac:dyDescent="0.25">
      <c r="A241"/>
      <c r="B241" t="s">
        <v>201</v>
      </c>
      <c r="C241"/>
      <c r="D241" t="s">
        <v>206</v>
      </c>
      <c r="E241" t="s">
        <v>205</v>
      </c>
      <c r="F241" t="s">
        <v>217</v>
      </c>
      <c r="G241" s="28" t="s">
        <v>106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1006" s="53" customFormat="1" x14ac:dyDescent="0.25">
      <c r="A242"/>
      <c r="B242" s="28">
        <v>23</v>
      </c>
      <c r="C242" s="28">
        <v>24</v>
      </c>
      <c r="D242"/>
      <c r="E242"/>
      <c r="F242"/>
      <c r="G242" s="28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1006" x14ac:dyDescent="0.25">
      <c r="A243" t="s">
        <v>120</v>
      </c>
      <c r="B243" s="15">
        <v>1700</v>
      </c>
      <c r="C243" s="15">
        <v>500</v>
      </c>
      <c r="D243" s="15">
        <v>1396.1538461538462</v>
      </c>
      <c r="E243" s="15">
        <v>1400</v>
      </c>
      <c r="F243" s="15">
        <v>1016.6666666666666</v>
      </c>
      <c r="G243" s="15">
        <v>1313.2352941176471</v>
      </c>
    </row>
    <row r="244" spans="1:1006" ht="15.75" thickBot="1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1006" s="48" customFormat="1" ht="24" thickTop="1" x14ac:dyDescent="0.35">
      <c r="A245" s="47" t="s">
        <v>114</v>
      </c>
      <c r="B245" s="47"/>
      <c r="C245" s="47"/>
    </row>
    <row r="247" spans="1:1006" x14ac:dyDescent="0.25">
      <c r="A247" s="10" t="s">
        <v>154</v>
      </c>
      <c r="B247" t="s">
        <v>107</v>
      </c>
    </row>
    <row r="248" spans="1:1006" ht="15.75" thickBot="1" x14ac:dyDescent="0.3"/>
    <row r="249" spans="1:1006" s="35" customFormat="1" ht="15.75" thickTop="1" x14ac:dyDescent="0.25">
      <c r="A249" s="75" t="s">
        <v>115</v>
      </c>
      <c r="B249" s="75" t="s">
        <v>112</v>
      </c>
      <c r="C249" s="75" t="s">
        <v>110</v>
      </c>
      <c r="D249" s="75" t="s">
        <v>111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</row>
    <row r="250" spans="1:1006" ht="15.75" thickBot="1" x14ac:dyDescent="0.3">
      <c r="A250" s="30">
        <v>66</v>
      </c>
      <c r="B250" s="31">
        <v>866984.84848484851</v>
      </c>
      <c r="C250" s="31">
        <v>2500000</v>
      </c>
      <c r="D250" s="31">
        <v>49000</v>
      </c>
    </row>
    <row r="251" spans="1:1006" ht="15.75" thickTop="1" x14ac:dyDescent="0.25">
      <c r="A251" s="25" t="s">
        <v>109</v>
      </c>
      <c r="B251" s="29"/>
      <c r="C251" s="29"/>
      <c r="D251">
        <v>175</v>
      </c>
    </row>
    <row r="252" spans="1:1006" ht="15.75" thickBot="1" x14ac:dyDescent="0.3">
      <c r="A252" s="27" t="s">
        <v>190</v>
      </c>
      <c r="B252" s="26"/>
      <c r="C252" s="26"/>
      <c r="D252" s="26">
        <f>GETPIVOTDATA("Hypotéky, úvěry ze stavebního spoření",A250)/D251</f>
        <v>0.37714285714285717</v>
      </c>
    </row>
    <row r="253" spans="1:1006" ht="16.5" thickTop="1" thickBot="1" x14ac:dyDescent="0.3">
      <c r="A253" s="27" t="s">
        <v>191</v>
      </c>
      <c r="B253" s="26"/>
      <c r="C253" s="26"/>
      <c r="D253" s="26">
        <f>100%-D252</f>
        <v>0.62285714285714278</v>
      </c>
    </row>
    <row r="254" spans="1:1006" ht="15.75" thickTop="1" x14ac:dyDescent="0.25"/>
    <row r="255" spans="1:1006" x14ac:dyDescent="0.25">
      <c r="A255" s="32" t="s">
        <v>67</v>
      </c>
      <c r="B255" s="28" t="s">
        <v>112</v>
      </c>
    </row>
    <row r="256" spans="1:1006" x14ac:dyDescent="0.25">
      <c r="A256" s="79" t="s">
        <v>38</v>
      </c>
      <c r="B256" s="37">
        <v>1153466.6666666667</v>
      </c>
    </row>
    <row r="257" spans="1:2" x14ac:dyDescent="0.25">
      <c r="A257" s="79" t="s">
        <v>39</v>
      </c>
      <c r="B257" s="37">
        <v>1000000</v>
      </c>
    </row>
    <row r="258" spans="1:2" x14ac:dyDescent="0.25">
      <c r="A258" s="79" t="s">
        <v>37</v>
      </c>
      <c r="B258" s="37">
        <v>778380</v>
      </c>
    </row>
    <row r="259" spans="1:2" ht="15.75" thickBot="1" x14ac:dyDescent="0.3">
      <c r="A259" s="79" t="s">
        <v>106</v>
      </c>
      <c r="B259" s="31">
        <v>866984.84848484851</v>
      </c>
    </row>
    <row r="260" spans="1:2" ht="15.75" thickTop="1" x14ac:dyDescent="0.25">
      <c r="A260" s="79"/>
      <c r="B260" s="37"/>
    </row>
    <row r="261" spans="1:2" x14ac:dyDescent="0.25">
      <c r="A261" s="32" t="s">
        <v>0</v>
      </c>
      <c r="B261" s="28" t="s">
        <v>112</v>
      </c>
    </row>
    <row r="262" spans="1:2" x14ac:dyDescent="0.25">
      <c r="A262" s="79" t="s">
        <v>20</v>
      </c>
      <c r="B262" s="37">
        <v>850985.29411764711</v>
      </c>
    </row>
    <row r="263" spans="1:2" x14ac:dyDescent="0.25">
      <c r="A263" s="79" t="s">
        <v>19</v>
      </c>
      <c r="B263" s="37">
        <v>883984.375</v>
      </c>
    </row>
    <row r="264" spans="1:2" ht="15.75" thickBot="1" x14ac:dyDescent="0.3">
      <c r="A264" s="79" t="s">
        <v>106</v>
      </c>
      <c r="B264" s="31">
        <v>866984.84848484851</v>
      </c>
    </row>
    <row r="265" spans="1:2" ht="15.75" thickTop="1" x14ac:dyDescent="0.25"/>
    <row r="266" spans="1:2" x14ac:dyDescent="0.25">
      <c r="A266" s="33" t="s">
        <v>221</v>
      </c>
      <c r="B266" s="28" t="s">
        <v>112</v>
      </c>
    </row>
    <row r="267" spans="1:2" x14ac:dyDescent="0.25">
      <c r="A267" s="79" t="s">
        <v>51</v>
      </c>
      <c r="B267" s="37">
        <v>1367727.2727272727</v>
      </c>
    </row>
    <row r="268" spans="1:2" x14ac:dyDescent="0.25">
      <c r="A268" s="79" t="s">
        <v>45</v>
      </c>
      <c r="B268" s="37">
        <v>1218750</v>
      </c>
    </row>
    <row r="269" spans="1:2" x14ac:dyDescent="0.25">
      <c r="A269" s="79" t="s">
        <v>44</v>
      </c>
      <c r="B269" s="37">
        <v>959318.18181818177</v>
      </c>
    </row>
    <row r="270" spans="1:2" x14ac:dyDescent="0.25">
      <c r="A270" s="79" t="s">
        <v>31</v>
      </c>
      <c r="B270" s="37">
        <v>810535.71428571432</v>
      </c>
    </row>
    <row r="271" spans="1:2" x14ac:dyDescent="0.25">
      <c r="A271" s="79" t="s">
        <v>50</v>
      </c>
      <c r="B271" s="37">
        <v>734062.5</v>
      </c>
    </row>
    <row r="272" spans="1:2" x14ac:dyDescent="0.25">
      <c r="A272" s="79" t="s">
        <v>48</v>
      </c>
      <c r="B272" s="37">
        <v>542852.9411764706</v>
      </c>
    </row>
    <row r="273" spans="1:73" s="28" customFormat="1" x14ac:dyDescent="0.25">
      <c r="A273" s="79" t="s">
        <v>49</v>
      </c>
      <c r="B273" s="37">
        <v>300000</v>
      </c>
      <c r="BT273"/>
      <c r="BU273"/>
    </row>
    <row r="274" spans="1:73" ht="15.75" thickBot="1" x14ac:dyDescent="0.3">
      <c r="A274" s="79" t="s">
        <v>106</v>
      </c>
      <c r="B274" s="31">
        <v>866984.84848484851</v>
      </c>
    </row>
    <row r="275" spans="1:73" ht="15.75" thickTop="1" x14ac:dyDescent="0.25">
      <c r="B275" s="37"/>
      <c r="C275" s="37"/>
      <c r="D275" s="37"/>
      <c r="E275" s="37"/>
      <c r="F275" s="37"/>
      <c r="G275" s="37"/>
      <c r="H275" s="37"/>
      <c r="I275" s="37"/>
    </row>
    <row r="276" spans="1:73" x14ac:dyDescent="0.25">
      <c r="A276" s="10" t="s">
        <v>1</v>
      </c>
      <c r="B276" t="s">
        <v>211</v>
      </c>
    </row>
    <row r="277" spans="1:73" x14ac:dyDescent="0.25">
      <c r="A277" s="75" t="s">
        <v>204</v>
      </c>
      <c r="B277" s="15">
        <v>1020000</v>
      </c>
    </row>
    <row r="278" spans="1:73" x14ac:dyDescent="0.25">
      <c r="A278" s="75" t="s">
        <v>206</v>
      </c>
      <c r="B278" s="15">
        <v>1010597.2222222222</v>
      </c>
    </row>
    <row r="279" spans="1:73" x14ac:dyDescent="0.25">
      <c r="A279" s="75" t="s">
        <v>205</v>
      </c>
      <c r="B279" s="15">
        <v>701740.74074074079</v>
      </c>
    </row>
    <row r="280" spans="1:73" x14ac:dyDescent="0.25">
      <c r="A280" s="75" t="s">
        <v>207</v>
      </c>
      <c r="B280" s="15">
        <v>436250</v>
      </c>
    </row>
    <row r="281" spans="1:73" x14ac:dyDescent="0.25">
      <c r="A281" s="75" t="s">
        <v>203</v>
      </c>
      <c r="B281" s="15" t="e">
        <v>#DIV/0!</v>
      </c>
    </row>
    <row r="282" spans="1:73" x14ac:dyDescent="0.25">
      <c r="A282" s="75" t="s">
        <v>106</v>
      </c>
      <c r="B282" s="15">
        <v>866984.84848484851</v>
      </c>
    </row>
    <row r="284" spans="1:73" x14ac:dyDescent="0.25">
      <c r="D284" s="37"/>
      <c r="E284" s="37"/>
      <c r="F284" s="37"/>
      <c r="G284" s="37"/>
      <c r="H284" s="37"/>
      <c r="I284" s="37"/>
    </row>
    <row r="285" spans="1:73" x14ac:dyDescent="0.25">
      <c r="D285" s="37"/>
      <c r="E285" s="37"/>
      <c r="F285" s="37"/>
      <c r="G285" s="37"/>
      <c r="H285" s="37"/>
      <c r="I285" s="37"/>
    </row>
    <row r="286" spans="1:73" x14ac:dyDescent="0.25">
      <c r="D286" s="37"/>
      <c r="E286" s="37"/>
      <c r="F286" s="37"/>
      <c r="G286" s="37"/>
      <c r="H286" s="37"/>
      <c r="I286" s="37"/>
    </row>
    <row r="287" spans="1:73" x14ac:dyDescent="0.25">
      <c r="D287" s="37"/>
      <c r="E287" s="37"/>
      <c r="F287" s="37"/>
      <c r="G287" s="37"/>
      <c r="H287" s="37"/>
      <c r="I287" s="37"/>
    </row>
    <row r="288" spans="1:73" x14ac:dyDescent="0.25">
      <c r="D288" s="37"/>
      <c r="E288" s="37"/>
      <c r="F288" s="37"/>
      <c r="G288" s="37"/>
      <c r="H288" s="37"/>
      <c r="I288" s="37"/>
    </row>
    <row r="289" spans="1:73" x14ac:dyDescent="0.25">
      <c r="D289" s="37"/>
      <c r="E289" s="37"/>
      <c r="F289" s="37"/>
      <c r="G289" s="37"/>
      <c r="H289" s="37"/>
      <c r="I289" s="37"/>
    </row>
    <row r="290" spans="1:73" x14ac:dyDescent="0.25">
      <c r="D290" s="37"/>
      <c r="E290" s="37"/>
      <c r="F290" s="37"/>
      <c r="G290" s="37"/>
      <c r="H290" s="37"/>
      <c r="I290" s="37"/>
    </row>
    <row r="291" spans="1:73" ht="15.75" thickBot="1" x14ac:dyDescent="0.3"/>
    <row r="292" spans="1:73" s="24" customFormat="1" ht="24" thickTop="1" x14ac:dyDescent="0.35">
      <c r="A292" s="52" t="s">
        <v>116</v>
      </c>
      <c r="B292" s="52"/>
      <c r="C292" s="52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BT292"/>
      <c r="BU292"/>
    </row>
    <row r="294" spans="1:73" x14ac:dyDescent="0.25">
      <c r="A294" s="10" t="s">
        <v>14</v>
      </c>
      <c r="B294" t="s">
        <v>107</v>
      </c>
    </row>
    <row r="296" spans="1:73" x14ac:dyDescent="0.25">
      <c r="A296" s="75" t="s">
        <v>113</v>
      </c>
      <c r="B296" t="s">
        <v>112</v>
      </c>
      <c r="C296" t="s">
        <v>111</v>
      </c>
      <c r="D296" t="s">
        <v>110</v>
      </c>
    </row>
    <row r="297" spans="1:73" ht="15.75" thickBot="1" x14ac:dyDescent="0.3">
      <c r="A297" s="30">
        <v>34</v>
      </c>
      <c r="B297" s="31">
        <v>166720.29411764705</v>
      </c>
      <c r="C297" s="31">
        <v>15000</v>
      </c>
      <c r="D297" s="31">
        <v>550000</v>
      </c>
    </row>
    <row r="298" spans="1:73" ht="15.75" thickTop="1" x14ac:dyDescent="0.25">
      <c r="A298" s="25" t="s">
        <v>109</v>
      </c>
      <c r="B298" s="29"/>
      <c r="C298" s="29"/>
      <c r="D298">
        <v>175</v>
      </c>
    </row>
    <row r="299" spans="1:73" ht="15.75" thickBot="1" x14ac:dyDescent="0.3">
      <c r="A299" s="27" t="s">
        <v>192</v>
      </c>
      <c r="B299" s="26"/>
      <c r="C299" s="26"/>
      <c r="D299" s="26">
        <f>GETPIVOTDATA("Spotřebitelský úvěr",A297)/D298</f>
        <v>0.19428571428571428</v>
      </c>
    </row>
    <row r="300" spans="1:73" ht="16.5" thickTop="1" thickBot="1" x14ac:dyDescent="0.3">
      <c r="A300" s="72" t="s">
        <v>193</v>
      </c>
      <c r="B300" s="26"/>
      <c r="C300" s="26"/>
      <c r="D300" s="73">
        <f>100%-D299</f>
        <v>0.80571428571428572</v>
      </c>
    </row>
    <row r="301" spans="1:73" ht="15.75" thickTop="1" x14ac:dyDescent="0.25"/>
    <row r="302" spans="1:73" x14ac:dyDescent="0.25">
      <c r="A302" s="32" t="s">
        <v>67</v>
      </c>
      <c r="B302" s="67" t="s">
        <v>112</v>
      </c>
    </row>
    <row r="303" spans="1:73" x14ac:dyDescent="0.25">
      <c r="A303" s="79" t="s">
        <v>39</v>
      </c>
      <c r="B303" s="37">
        <v>253108.75</v>
      </c>
    </row>
    <row r="304" spans="1:73" x14ac:dyDescent="0.25">
      <c r="A304" s="79" t="s">
        <v>38</v>
      </c>
      <c r="B304" s="37">
        <v>184128.4375</v>
      </c>
    </row>
    <row r="305" spans="1:2" x14ac:dyDescent="0.25">
      <c r="A305" s="79" t="s">
        <v>37</v>
      </c>
      <c r="B305" s="37">
        <v>122142.85714285714</v>
      </c>
    </row>
    <row r="306" spans="1:2" ht="15.75" thickBot="1" x14ac:dyDescent="0.3">
      <c r="A306" s="79" t="s">
        <v>106</v>
      </c>
      <c r="B306" s="31">
        <v>166720.29411764705</v>
      </c>
    </row>
    <row r="307" spans="1:2" ht="15.75" thickTop="1" x14ac:dyDescent="0.25"/>
    <row r="308" spans="1:2" x14ac:dyDescent="0.25">
      <c r="A308" s="32" t="s">
        <v>0</v>
      </c>
      <c r="B308" s="67" t="s">
        <v>222</v>
      </c>
    </row>
    <row r="309" spans="1:2" x14ac:dyDescent="0.25">
      <c r="A309" s="79" t="s">
        <v>20</v>
      </c>
      <c r="B309" s="15">
        <v>175324.5</v>
      </c>
    </row>
    <row r="310" spans="1:2" x14ac:dyDescent="0.25">
      <c r="A310" s="79" t="s">
        <v>19</v>
      </c>
      <c r="B310" s="15">
        <v>154428.57142857142</v>
      </c>
    </row>
    <row r="311" spans="1:2" x14ac:dyDescent="0.25">
      <c r="A311" s="79" t="s">
        <v>106</v>
      </c>
      <c r="B311" s="15">
        <v>166720.29411764705</v>
      </c>
    </row>
    <row r="313" spans="1:2" x14ac:dyDescent="0.25">
      <c r="A313" s="33" t="s">
        <v>221</v>
      </c>
      <c r="B313" s="67" t="s">
        <v>112</v>
      </c>
    </row>
    <row r="314" spans="1:2" x14ac:dyDescent="0.25">
      <c r="A314" s="79" t="s">
        <v>48</v>
      </c>
      <c r="B314" s="37">
        <v>210540.83333333334</v>
      </c>
    </row>
    <row r="315" spans="1:2" x14ac:dyDescent="0.25">
      <c r="A315" s="79" t="s">
        <v>45</v>
      </c>
      <c r="B315" s="37">
        <v>194166.66666666666</v>
      </c>
    </row>
    <row r="316" spans="1:2" x14ac:dyDescent="0.25">
      <c r="A316" s="79" t="s">
        <v>31</v>
      </c>
      <c r="B316" s="37">
        <v>150000</v>
      </c>
    </row>
    <row r="317" spans="1:2" x14ac:dyDescent="0.25">
      <c r="A317" s="79" t="s">
        <v>50</v>
      </c>
      <c r="B317" s="37">
        <v>135000</v>
      </c>
    </row>
    <row r="318" spans="1:2" x14ac:dyDescent="0.25">
      <c r="A318" s="79" t="s">
        <v>44</v>
      </c>
      <c r="B318" s="37">
        <v>112500</v>
      </c>
    </row>
    <row r="319" spans="1:2" x14ac:dyDescent="0.25">
      <c r="A319" s="79" t="s">
        <v>51</v>
      </c>
      <c r="B319" s="37">
        <v>104250</v>
      </c>
    </row>
    <row r="320" spans="1:2" ht="15.75" thickBot="1" x14ac:dyDescent="0.3">
      <c r="A320" s="79" t="s">
        <v>106</v>
      </c>
      <c r="B320" s="31">
        <v>166720.29411764705</v>
      </c>
    </row>
    <row r="321" spans="1:73" ht="15.75" thickTop="1" x14ac:dyDescent="0.25">
      <c r="A321" s="79"/>
      <c r="B321" s="37"/>
    </row>
    <row r="322" spans="1:73" x14ac:dyDescent="0.25">
      <c r="A322" s="32" t="s">
        <v>100</v>
      </c>
      <c r="B322" s="67" t="s">
        <v>222</v>
      </c>
    </row>
    <row r="323" spans="1:73" x14ac:dyDescent="0.25">
      <c r="A323" s="79" t="s">
        <v>32</v>
      </c>
      <c r="B323" s="15">
        <v>300000</v>
      </c>
    </row>
    <row r="324" spans="1:73" x14ac:dyDescent="0.25">
      <c r="A324" s="79" t="s">
        <v>34</v>
      </c>
      <c r="B324" s="15">
        <v>246298</v>
      </c>
    </row>
    <row r="325" spans="1:73" x14ac:dyDescent="0.25">
      <c r="A325" s="79" t="s">
        <v>22</v>
      </c>
      <c r="B325" s="15">
        <v>162272.72727272726</v>
      </c>
    </row>
    <row r="326" spans="1:73" x14ac:dyDescent="0.25">
      <c r="A326" s="79" t="s">
        <v>35</v>
      </c>
      <c r="B326" s="15">
        <v>103400</v>
      </c>
    </row>
    <row r="327" spans="1:73" x14ac:dyDescent="0.25">
      <c r="A327" s="79" t="s">
        <v>36</v>
      </c>
      <c r="B327" s="15">
        <v>50000</v>
      </c>
    </row>
    <row r="328" spans="1:73" x14ac:dyDescent="0.25">
      <c r="A328" s="79" t="s">
        <v>106</v>
      </c>
      <c r="B328" s="15">
        <v>166720.29411764705</v>
      </c>
    </row>
    <row r="329" spans="1:73" ht="15.75" thickBot="1" x14ac:dyDescent="0.3">
      <c r="A329" s="79"/>
      <c r="B329" s="37"/>
    </row>
    <row r="330" spans="1:73" s="34" customFormat="1" ht="24" thickTop="1" x14ac:dyDescent="0.35">
      <c r="A330" s="84" t="s">
        <v>16</v>
      </c>
      <c r="B330" s="84"/>
      <c r="C330" s="84"/>
      <c r="BT330"/>
      <c r="BU330"/>
    </row>
    <row r="331" spans="1:73" x14ac:dyDescent="0.25">
      <c r="A331" s="53"/>
    </row>
    <row r="332" spans="1:73" x14ac:dyDescent="0.25">
      <c r="A332" s="10" t="s">
        <v>16</v>
      </c>
      <c r="B332" t="s">
        <v>107</v>
      </c>
    </row>
    <row r="334" spans="1:73" x14ac:dyDescent="0.25">
      <c r="A334" t="s">
        <v>142</v>
      </c>
      <c r="B334" t="s">
        <v>143</v>
      </c>
      <c r="C334" t="s">
        <v>144</v>
      </c>
      <c r="D334" t="s">
        <v>145</v>
      </c>
    </row>
    <row r="335" spans="1:73" x14ac:dyDescent="0.25">
      <c r="A335" s="11">
        <v>68</v>
      </c>
      <c r="B335" s="15">
        <v>237.64705882352942</v>
      </c>
      <c r="C335" s="15">
        <v>45</v>
      </c>
      <c r="D335" s="15">
        <v>800</v>
      </c>
    </row>
    <row r="336" spans="1:73" x14ac:dyDescent="0.25">
      <c r="A336" s="36" t="s">
        <v>109</v>
      </c>
      <c r="B336" s="29"/>
      <c r="C336" s="29"/>
      <c r="D336">
        <v>175</v>
      </c>
    </row>
    <row r="337" spans="1:4" ht="15.75" thickBot="1" x14ac:dyDescent="0.3">
      <c r="A337" s="27" t="s">
        <v>195</v>
      </c>
      <c r="B337" s="26"/>
      <c r="C337" s="26"/>
      <c r="D337" s="26">
        <f>GETPIVOTDATA("Majetkové pojištění",A335)/D336</f>
        <v>0.38857142857142857</v>
      </c>
    </row>
    <row r="338" spans="1:4" ht="15.75" thickTop="1" x14ac:dyDescent="0.25">
      <c r="A338" t="s">
        <v>194</v>
      </c>
      <c r="D338" s="38">
        <f>100%-D337</f>
        <v>0.61142857142857143</v>
      </c>
    </row>
    <row r="339" spans="1:4" x14ac:dyDescent="0.25">
      <c r="D339" s="38"/>
    </row>
    <row r="340" spans="1:4" x14ac:dyDescent="0.25">
      <c r="A340" s="91" t="s">
        <v>196</v>
      </c>
      <c r="B340" s="28" t="s">
        <v>143</v>
      </c>
      <c r="D340" s="38"/>
    </row>
    <row r="341" spans="1:4" x14ac:dyDescent="0.25">
      <c r="A341" s="92" t="s">
        <v>39</v>
      </c>
      <c r="B341" s="15">
        <v>144</v>
      </c>
    </row>
    <row r="342" spans="1:4" x14ac:dyDescent="0.25">
      <c r="A342" s="92" t="s">
        <v>38</v>
      </c>
      <c r="B342" s="15">
        <v>218.64</v>
      </c>
    </row>
    <row r="343" spans="1:4" x14ac:dyDescent="0.25">
      <c r="A343" s="92" t="s">
        <v>37</v>
      </c>
      <c r="B343" s="15">
        <v>276.41176470588238</v>
      </c>
    </row>
    <row r="344" spans="1:4" x14ac:dyDescent="0.25">
      <c r="A344" s="92" t="s">
        <v>106</v>
      </c>
      <c r="B344" s="15">
        <v>237.64705882352942</v>
      </c>
    </row>
    <row r="346" spans="1:4" x14ac:dyDescent="0.25">
      <c r="B346" s="32" t="s">
        <v>0</v>
      </c>
    </row>
    <row r="347" spans="1:4" x14ac:dyDescent="0.25">
      <c r="B347" s="28" t="s">
        <v>20</v>
      </c>
      <c r="C347" s="28" t="s">
        <v>19</v>
      </c>
      <c r="D347" s="28" t="s">
        <v>106</v>
      </c>
    </row>
    <row r="348" spans="1:4" x14ac:dyDescent="0.25">
      <c r="A348" t="s">
        <v>143</v>
      </c>
      <c r="B348" s="15">
        <v>228.85365853658536</v>
      </c>
      <c r="C348" s="15">
        <v>251</v>
      </c>
      <c r="D348" s="15">
        <v>237.64705882352942</v>
      </c>
    </row>
    <row r="350" spans="1:4" x14ac:dyDescent="0.25">
      <c r="A350" s="33" t="s">
        <v>196</v>
      </c>
      <c r="B350" s="28" t="s">
        <v>143</v>
      </c>
    </row>
    <row r="351" spans="1:4" x14ac:dyDescent="0.25">
      <c r="A351" s="79" t="s">
        <v>31</v>
      </c>
      <c r="B351" s="15">
        <v>335</v>
      </c>
    </row>
    <row r="352" spans="1:4" x14ac:dyDescent="0.25">
      <c r="A352" s="79" t="s">
        <v>44</v>
      </c>
      <c r="B352" s="15">
        <v>323.8</v>
      </c>
    </row>
    <row r="353" spans="1:73" x14ac:dyDescent="0.25">
      <c r="A353" s="79" t="s">
        <v>50</v>
      </c>
      <c r="B353" s="15">
        <v>231.28571428571428</v>
      </c>
    </row>
    <row r="354" spans="1:73" x14ac:dyDescent="0.25">
      <c r="A354" s="79" t="s">
        <v>51</v>
      </c>
      <c r="B354" s="15">
        <v>217.42857142857142</v>
      </c>
    </row>
    <row r="355" spans="1:73" x14ac:dyDescent="0.25">
      <c r="A355" s="79" t="s">
        <v>45</v>
      </c>
      <c r="B355" s="15">
        <v>215</v>
      </c>
    </row>
    <row r="356" spans="1:73" x14ac:dyDescent="0.25">
      <c r="A356" s="79" t="s">
        <v>48</v>
      </c>
      <c r="B356" s="15">
        <v>185.3</v>
      </c>
    </row>
    <row r="357" spans="1:73" x14ac:dyDescent="0.25">
      <c r="A357" s="79" t="s">
        <v>106</v>
      </c>
      <c r="B357" s="15">
        <v>237.64705882352942</v>
      </c>
    </row>
    <row r="358" spans="1:73" x14ac:dyDescent="0.25">
      <c r="B358" s="37"/>
      <c r="C358" s="37"/>
      <c r="D358" s="37"/>
      <c r="E358" s="37"/>
      <c r="F358" s="37"/>
      <c r="G358" s="37"/>
      <c r="H358" s="37"/>
    </row>
    <row r="359" spans="1:73" x14ac:dyDescent="0.25">
      <c r="B359" s="10" t="s">
        <v>1</v>
      </c>
      <c r="C359" s="54"/>
    </row>
    <row r="360" spans="1:73" x14ac:dyDescent="0.25">
      <c r="B360" t="s">
        <v>197</v>
      </c>
      <c r="C360" t="s">
        <v>198</v>
      </c>
      <c r="D360" t="s">
        <v>205</v>
      </c>
      <c r="E360" t="s">
        <v>200</v>
      </c>
      <c r="F360" t="s">
        <v>202</v>
      </c>
      <c r="G360" s="28" t="s">
        <v>106</v>
      </c>
      <c r="AD360" s="28"/>
      <c r="AE360" s="28"/>
      <c r="AF360" s="28"/>
    </row>
    <row r="361" spans="1:73" ht="15.75" thickBot="1" x14ac:dyDescent="0.3">
      <c r="G361" s="28"/>
      <c r="AD361" s="31"/>
      <c r="AE361" s="31"/>
      <c r="AF361" s="31"/>
    </row>
    <row r="362" spans="1:73" ht="16.5" thickTop="1" thickBot="1" x14ac:dyDescent="0.3">
      <c r="A362" t="s">
        <v>143</v>
      </c>
      <c r="B362" s="15">
        <v>112</v>
      </c>
      <c r="C362" s="15">
        <v>181.42857142857142</v>
      </c>
      <c r="D362" s="15">
        <v>269.93103448275861</v>
      </c>
      <c r="E362" s="15">
        <v>324.33333333333331</v>
      </c>
      <c r="F362" s="15">
        <v>360.66666666666669</v>
      </c>
      <c r="G362" s="15">
        <v>237.64705882352942</v>
      </c>
    </row>
    <row r="363" spans="1:73" s="34" customFormat="1" ht="24.75" thickTop="1" thickBot="1" x14ac:dyDescent="0.4">
      <c r="A363" s="84" t="s">
        <v>146</v>
      </c>
      <c r="B363" s="84"/>
      <c r="C363" s="84"/>
      <c r="BT363"/>
      <c r="BU363"/>
    </row>
    <row r="364" spans="1:73" ht="15.75" thickTop="1" x14ac:dyDescent="0.25">
      <c r="A364" s="53"/>
    </row>
    <row r="365" spans="1:73" x14ac:dyDescent="0.25">
      <c r="A365" s="10" t="s">
        <v>153</v>
      </c>
      <c r="B365" t="s">
        <v>107</v>
      </c>
    </row>
    <row r="367" spans="1:73" x14ac:dyDescent="0.25">
      <c r="A367" t="s">
        <v>149</v>
      </c>
      <c r="B367" t="s">
        <v>143</v>
      </c>
      <c r="C367" t="s">
        <v>144</v>
      </c>
      <c r="D367" t="s">
        <v>145</v>
      </c>
    </row>
    <row r="368" spans="1:73" x14ac:dyDescent="0.25">
      <c r="A368" s="11">
        <v>55</v>
      </c>
      <c r="B368" s="15">
        <v>374.45454545454544</v>
      </c>
      <c r="C368" s="15">
        <v>100</v>
      </c>
      <c r="D368" s="15">
        <v>1700</v>
      </c>
    </row>
    <row r="369" spans="1:8" x14ac:dyDescent="0.25">
      <c r="A369" s="51" t="s">
        <v>109</v>
      </c>
      <c r="B369" s="29"/>
      <c r="C369" s="29"/>
      <c r="D369">
        <v>175</v>
      </c>
    </row>
    <row r="370" spans="1:8" ht="15.75" thickBot="1" x14ac:dyDescent="0.3">
      <c r="A370" s="27" t="s">
        <v>147</v>
      </c>
      <c r="B370" s="26"/>
      <c r="C370" s="26"/>
      <c r="D370" s="26">
        <f>GETPIVOTDATA("Majetkové pojištění",A368)/D369</f>
        <v>0.31428571428571428</v>
      </c>
    </row>
    <row r="371" spans="1:8" ht="15.75" thickTop="1" x14ac:dyDescent="0.25">
      <c r="A371" t="s">
        <v>148</v>
      </c>
      <c r="D371" s="38">
        <f>100%-D370</f>
        <v>0.68571428571428572</v>
      </c>
    </row>
    <row r="373" spans="1:8" x14ac:dyDescent="0.25">
      <c r="B373" s="32" t="s">
        <v>67</v>
      </c>
    </row>
    <row r="374" spans="1:8" x14ac:dyDescent="0.25">
      <c r="B374" s="28" t="s">
        <v>39</v>
      </c>
      <c r="C374" s="28" t="s">
        <v>38</v>
      </c>
      <c r="D374" s="28" t="s">
        <v>37</v>
      </c>
      <c r="E374" s="28" t="s">
        <v>106</v>
      </c>
    </row>
    <row r="375" spans="1:8" x14ac:dyDescent="0.25">
      <c r="A375" t="s">
        <v>143</v>
      </c>
      <c r="B375" s="15">
        <v>356.33333333333331</v>
      </c>
      <c r="C375" s="15">
        <v>329.84210526315792</v>
      </c>
      <c r="D375" s="15">
        <v>401.78787878787881</v>
      </c>
      <c r="E375" s="15">
        <v>374.45454545454544</v>
      </c>
    </row>
    <row r="377" spans="1:8" x14ac:dyDescent="0.25">
      <c r="B377" s="32" t="s">
        <v>0</v>
      </c>
    </row>
    <row r="378" spans="1:8" x14ac:dyDescent="0.25">
      <c r="B378" s="28" t="s">
        <v>20</v>
      </c>
      <c r="C378" s="28" t="s">
        <v>19</v>
      </c>
      <c r="D378" s="28" t="s">
        <v>106</v>
      </c>
    </row>
    <row r="379" spans="1:8" x14ac:dyDescent="0.25">
      <c r="A379" t="s">
        <v>143</v>
      </c>
      <c r="B379" s="15">
        <v>423.5151515151515</v>
      </c>
      <c r="C379" s="15">
        <v>300.86363636363637</v>
      </c>
      <c r="D379" s="15">
        <v>374.45454545454544</v>
      </c>
    </row>
    <row r="381" spans="1:8" x14ac:dyDescent="0.25">
      <c r="A381" s="32" t="s">
        <v>221</v>
      </c>
      <c r="B381" s="28" t="s">
        <v>143</v>
      </c>
      <c r="G381" s="79"/>
      <c r="H381" s="15"/>
    </row>
    <row r="382" spans="1:8" x14ac:dyDescent="0.25">
      <c r="A382" s="79" t="s">
        <v>44</v>
      </c>
      <c r="B382" s="15">
        <v>817.33333333333337</v>
      </c>
      <c r="G382" s="79"/>
      <c r="H382" s="15"/>
    </row>
    <row r="383" spans="1:8" x14ac:dyDescent="0.25">
      <c r="A383" s="79" t="s">
        <v>45</v>
      </c>
      <c r="B383" s="15">
        <v>468.75</v>
      </c>
      <c r="G383" s="79"/>
      <c r="H383" s="15"/>
    </row>
    <row r="384" spans="1:8" x14ac:dyDescent="0.25">
      <c r="A384" s="79" t="s">
        <v>51</v>
      </c>
      <c r="B384" s="15">
        <v>361.15384615384613</v>
      </c>
      <c r="G384" s="79"/>
      <c r="H384" s="15"/>
    </row>
    <row r="385" spans="1:27" x14ac:dyDescent="0.25">
      <c r="A385" s="79" t="s">
        <v>48</v>
      </c>
      <c r="B385" s="15">
        <v>313.5263157894737</v>
      </c>
      <c r="G385" s="79"/>
      <c r="H385" s="15"/>
    </row>
    <row r="386" spans="1:27" x14ac:dyDescent="0.25">
      <c r="A386" s="79" t="s">
        <v>50</v>
      </c>
      <c r="B386" s="15">
        <v>259.2</v>
      </c>
      <c r="G386" s="79"/>
      <c r="H386" s="15"/>
    </row>
    <row r="387" spans="1:27" x14ac:dyDescent="0.25">
      <c r="A387" s="79" t="s">
        <v>31</v>
      </c>
      <c r="B387" s="15">
        <v>190.66666666666666</v>
      </c>
    </row>
    <row r="388" spans="1:27" x14ac:dyDescent="0.25">
      <c r="A388" s="79" t="s">
        <v>106</v>
      </c>
      <c r="B388" s="15">
        <v>374.45454545454544</v>
      </c>
    </row>
    <row r="390" spans="1:27" x14ac:dyDescent="0.25">
      <c r="B390" s="37"/>
      <c r="C390" s="37"/>
      <c r="D390" s="37"/>
      <c r="E390" s="37"/>
      <c r="F390" s="37"/>
      <c r="G390" s="37"/>
      <c r="H390" s="37"/>
    </row>
    <row r="391" spans="1:27" x14ac:dyDescent="0.25">
      <c r="B391" s="10" t="s">
        <v>1</v>
      </c>
      <c r="C391" s="54"/>
    </row>
    <row r="392" spans="1:27" x14ac:dyDescent="0.25">
      <c r="B392" t="s">
        <v>197</v>
      </c>
      <c r="C392" t="s">
        <v>198</v>
      </c>
      <c r="M392" t="s">
        <v>199</v>
      </c>
      <c r="V392" t="s">
        <v>200</v>
      </c>
      <c r="AA392" s="28" t="s">
        <v>106</v>
      </c>
    </row>
    <row r="393" spans="1:27" ht="15.75" thickBot="1" x14ac:dyDescent="0.3">
      <c r="B393" s="28">
        <v>23</v>
      </c>
      <c r="C393" s="28">
        <v>26</v>
      </c>
      <c r="D393" s="28">
        <v>27</v>
      </c>
      <c r="E393" s="28">
        <v>28</v>
      </c>
      <c r="F393" s="28">
        <v>29</v>
      </c>
      <c r="G393" s="28">
        <v>30</v>
      </c>
      <c r="H393" s="28">
        <v>31</v>
      </c>
      <c r="I393" s="28">
        <v>32</v>
      </c>
      <c r="J393" s="28">
        <v>33</v>
      </c>
      <c r="K393" s="28">
        <v>34</v>
      </c>
      <c r="L393" s="28">
        <v>35</v>
      </c>
      <c r="M393" s="28">
        <v>37</v>
      </c>
      <c r="N393" s="28">
        <v>38</v>
      </c>
      <c r="O393" s="28">
        <v>39</v>
      </c>
      <c r="P393" s="28">
        <v>40</v>
      </c>
      <c r="Q393" s="28">
        <v>41</v>
      </c>
      <c r="R393" s="28">
        <v>42</v>
      </c>
      <c r="S393" s="28">
        <v>43</v>
      </c>
      <c r="T393" s="28">
        <v>44</v>
      </c>
      <c r="U393" s="28">
        <v>45</v>
      </c>
      <c r="V393" s="28">
        <v>46</v>
      </c>
      <c r="W393" s="28">
        <v>47</v>
      </c>
      <c r="X393" s="28">
        <v>48</v>
      </c>
      <c r="Y393" s="28">
        <v>50</v>
      </c>
      <c r="Z393" s="28">
        <v>52</v>
      </c>
      <c r="AA393" s="28"/>
    </row>
    <row r="394" spans="1:27" ht="15.75" thickTop="1" x14ac:dyDescent="0.25">
      <c r="A394" t="s">
        <v>143</v>
      </c>
      <c r="B394" s="15">
        <v>217</v>
      </c>
      <c r="C394" s="15">
        <v>425</v>
      </c>
      <c r="D394" s="15">
        <v>181.66666666666666</v>
      </c>
      <c r="E394" s="15">
        <v>253.33333333333334</v>
      </c>
      <c r="F394" s="15">
        <v>224.33333333333334</v>
      </c>
      <c r="G394" s="15">
        <v>216.5</v>
      </c>
      <c r="H394" s="15">
        <v>345</v>
      </c>
      <c r="I394" s="15">
        <v>295.75</v>
      </c>
      <c r="J394" s="15">
        <v>436</v>
      </c>
      <c r="K394" s="15">
        <v>469</v>
      </c>
      <c r="L394" s="15">
        <v>469</v>
      </c>
      <c r="M394" s="15">
        <v>342.66666666666669</v>
      </c>
      <c r="N394" s="15">
        <v>441.66666666666669</v>
      </c>
      <c r="O394" s="15">
        <v>276.75</v>
      </c>
      <c r="P394" s="15">
        <v>237</v>
      </c>
      <c r="Q394" s="15">
        <v>322.5</v>
      </c>
      <c r="R394" s="15">
        <v>545.5</v>
      </c>
      <c r="S394" s="15">
        <v>355</v>
      </c>
      <c r="T394" s="15">
        <v>210</v>
      </c>
      <c r="U394" s="15">
        <v>674.66666666666663</v>
      </c>
      <c r="V394" s="15">
        <v>229</v>
      </c>
      <c r="W394" s="15">
        <v>300</v>
      </c>
      <c r="X394" s="15">
        <v>208</v>
      </c>
      <c r="Y394" s="15">
        <v>600</v>
      </c>
      <c r="Z394" s="15">
        <v>1700</v>
      </c>
      <c r="AA394" s="15">
        <v>374.45454545454544</v>
      </c>
    </row>
  </sheetData>
  <mergeCells count="8">
    <mergeCell ref="A363:C363"/>
    <mergeCell ref="A216:I216"/>
    <mergeCell ref="A330:C330"/>
    <mergeCell ref="A65:C65"/>
    <mergeCell ref="A1:I1"/>
    <mergeCell ref="A38:I38"/>
    <mergeCell ref="A111:C111"/>
    <mergeCell ref="A165:C165"/>
  </mergeCells>
  <pageMargins left="1.3779527559055118" right="0.78740157480314965" top="1.1811023622047245" bottom="1.1811023622047245" header="0.31496062992125984" footer="0.31496062992125984"/>
  <pageSetup paperSize="9" fitToWidth="0" orientation="landscape" horizontalDpi="300" verticalDpi="300" r:id="rId63"/>
  <drawing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I1" zoomScaleNormal="100" workbookViewId="0">
      <selection activeCell="D20" sqref="D20"/>
    </sheetView>
  </sheetViews>
  <sheetFormatPr defaultRowHeight="15" x14ac:dyDescent="0.25"/>
  <cols>
    <col min="1" max="1" width="30.5703125" bestFit="1" customWidth="1"/>
    <col min="2" max="2" width="23" customWidth="1"/>
    <col min="3" max="3" width="13.5703125" customWidth="1"/>
    <col min="4" max="4" width="21.140625" customWidth="1"/>
    <col min="5" max="5" width="27.5703125" customWidth="1"/>
    <col min="6" max="6" width="23.42578125" customWidth="1"/>
    <col min="7" max="7" width="21.7109375" customWidth="1"/>
    <col min="8" max="8" width="15.140625" customWidth="1"/>
    <col min="9" max="9" width="30.5703125" bestFit="1" customWidth="1"/>
    <col min="10" max="10" width="23" customWidth="1"/>
    <col min="11" max="11" width="4.7109375" customWidth="1"/>
    <col min="12" max="12" width="5.140625" customWidth="1"/>
    <col min="13" max="13" width="14.42578125" customWidth="1"/>
  </cols>
  <sheetData>
    <row r="1" spans="1:10" s="48" customFormat="1" ht="24" thickTop="1" x14ac:dyDescent="0.35">
      <c r="A1" s="86" t="s">
        <v>102</v>
      </c>
      <c r="B1" s="86"/>
      <c r="C1" s="86"/>
      <c r="D1" s="86"/>
      <c r="E1" s="86"/>
      <c r="F1" s="86"/>
      <c r="G1" s="86"/>
    </row>
    <row r="3" spans="1:10" x14ac:dyDescent="0.25">
      <c r="A3" s="10" t="s">
        <v>100</v>
      </c>
      <c r="B3" t="s">
        <v>98</v>
      </c>
      <c r="I3" s="10" t="s">
        <v>100</v>
      </c>
      <c r="J3" t="s">
        <v>98</v>
      </c>
    </row>
    <row r="4" spans="1:10" x14ac:dyDescent="0.25">
      <c r="A4" s="74" t="s">
        <v>32</v>
      </c>
      <c r="B4" s="15">
        <v>29666.666666666668</v>
      </c>
      <c r="I4" s="74" t="s">
        <v>32</v>
      </c>
      <c r="J4" s="15">
        <v>29666.666666666668</v>
      </c>
    </row>
    <row r="5" spans="1:10" x14ac:dyDescent="0.25">
      <c r="A5" s="74" t="s">
        <v>34</v>
      </c>
      <c r="B5" s="15">
        <v>20615</v>
      </c>
      <c r="I5" s="74" t="s">
        <v>34</v>
      </c>
      <c r="J5" s="15">
        <v>21357.894736842107</v>
      </c>
    </row>
    <row r="6" spans="1:10" x14ac:dyDescent="0.25">
      <c r="A6" s="74" t="s">
        <v>22</v>
      </c>
      <c r="B6" s="15">
        <v>25095.604395604394</v>
      </c>
      <c r="I6" s="74" t="s">
        <v>22</v>
      </c>
      <c r="J6" s="15">
        <v>26936.25</v>
      </c>
    </row>
    <row r="7" spans="1:10" x14ac:dyDescent="0.25">
      <c r="A7" s="74" t="s">
        <v>36</v>
      </c>
      <c r="B7" s="15">
        <v>17740</v>
      </c>
      <c r="I7" s="74" t="s">
        <v>36</v>
      </c>
      <c r="J7" s="15">
        <v>20216.666666666668</v>
      </c>
    </row>
    <row r="8" spans="1:10" x14ac:dyDescent="0.25">
      <c r="A8" s="74" t="s">
        <v>35</v>
      </c>
      <c r="B8" s="15">
        <v>27486.91304347826</v>
      </c>
      <c r="I8" s="74" t="s">
        <v>35</v>
      </c>
      <c r="J8" s="15">
        <v>31478.894736842107</v>
      </c>
    </row>
    <row r="9" spans="1:10" x14ac:dyDescent="0.25">
      <c r="A9" s="74" t="s">
        <v>99</v>
      </c>
      <c r="B9" s="15">
        <v>24659.98857142857</v>
      </c>
      <c r="I9" s="74" t="s">
        <v>99</v>
      </c>
      <c r="J9" s="15">
        <v>26898.013157894737</v>
      </c>
    </row>
    <row r="20" spans="1:7" ht="15.75" thickBot="1" x14ac:dyDescent="0.3"/>
    <row r="21" spans="1:7" s="48" customFormat="1" ht="24" thickTop="1" x14ac:dyDescent="0.35">
      <c r="A21" s="86" t="s">
        <v>103</v>
      </c>
      <c r="B21" s="86"/>
      <c r="C21" s="86"/>
      <c r="D21" s="86"/>
      <c r="E21" s="86"/>
      <c r="F21" s="86"/>
      <c r="G21" s="86"/>
    </row>
    <row r="22" spans="1:7" x14ac:dyDescent="0.25">
      <c r="A22" s="12"/>
      <c r="B22" s="11"/>
    </row>
    <row r="23" spans="1:7" x14ac:dyDescent="0.25">
      <c r="A23" s="10" t="s">
        <v>97</v>
      </c>
      <c r="B23" t="s">
        <v>98</v>
      </c>
    </row>
    <row r="24" spans="1:7" x14ac:dyDescent="0.25">
      <c r="A24" s="80" t="s">
        <v>49</v>
      </c>
      <c r="B24" s="15">
        <v>0</v>
      </c>
    </row>
    <row r="25" spans="1:7" x14ac:dyDescent="0.25">
      <c r="A25" s="80" t="s">
        <v>31</v>
      </c>
      <c r="B25" s="15">
        <v>10809.523809523809</v>
      </c>
    </row>
    <row r="26" spans="1:7" x14ac:dyDescent="0.25">
      <c r="A26" s="80" t="s">
        <v>48</v>
      </c>
      <c r="B26" s="15">
        <v>21127.272727272728</v>
      </c>
    </row>
    <row r="27" spans="1:7" x14ac:dyDescent="0.25">
      <c r="A27" s="80" t="s">
        <v>51</v>
      </c>
      <c r="B27" s="15">
        <v>24488.571428571428</v>
      </c>
    </row>
    <row r="28" spans="1:7" x14ac:dyDescent="0.25">
      <c r="A28" s="80" t="s">
        <v>50</v>
      </c>
      <c r="B28" s="15">
        <v>25386.6</v>
      </c>
    </row>
    <row r="29" spans="1:7" x14ac:dyDescent="0.25">
      <c r="A29" s="80" t="s">
        <v>44</v>
      </c>
      <c r="B29" s="15">
        <v>39650</v>
      </c>
    </row>
    <row r="30" spans="1:7" x14ac:dyDescent="0.25">
      <c r="A30" s="80" t="s">
        <v>45</v>
      </c>
      <c r="B30" s="15">
        <v>43550</v>
      </c>
    </row>
    <row r="31" spans="1:7" x14ac:dyDescent="0.25">
      <c r="A31" s="79" t="s">
        <v>99</v>
      </c>
      <c r="B31" s="15">
        <v>24659.98857142857</v>
      </c>
    </row>
    <row r="32" spans="1:7" x14ac:dyDescent="0.25">
      <c r="A32" s="12"/>
      <c r="B32" s="11"/>
    </row>
    <row r="33" spans="1:10" x14ac:dyDescent="0.25">
      <c r="A33" s="13"/>
      <c r="B33" s="11"/>
    </row>
    <row r="34" spans="1:10" x14ac:dyDescent="0.25">
      <c r="A34" s="14"/>
      <c r="B34" s="11"/>
    </row>
    <row r="35" spans="1:10" x14ac:dyDescent="0.25">
      <c r="A35" s="13"/>
      <c r="B35" s="11"/>
    </row>
    <row r="36" spans="1:10" x14ac:dyDescent="0.25">
      <c r="A36" s="13"/>
      <c r="B36" s="11"/>
    </row>
    <row r="37" spans="1:10" x14ac:dyDescent="0.25">
      <c r="A37" s="13"/>
      <c r="B37" s="11"/>
    </row>
    <row r="38" spans="1:10" x14ac:dyDescent="0.25">
      <c r="A38" s="12"/>
      <c r="B38" s="11"/>
    </row>
    <row r="39" spans="1:10" x14ac:dyDescent="0.25">
      <c r="A39" s="13"/>
      <c r="B39" s="11"/>
    </row>
    <row r="40" spans="1:10" ht="15.75" thickBot="1" x14ac:dyDescent="0.3">
      <c r="A40" s="13"/>
      <c r="B40" s="11"/>
    </row>
    <row r="41" spans="1:10" s="48" customFormat="1" ht="24" thickTop="1" x14ac:dyDescent="0.35">
      <c r="A41" s="86" t="s">
        <v>104</v>
      </c>
      <c r="B41" s="86"/>
      <c r="C41" s="86"/>
      <c r="D41" s="86"/>
      <c r="E41" s="86"/>
      <c r="F41" s="86"/>
      <c r="G41" s="86"/>
    </row>
    <row r="42" spans="1:10" x14ac:dyDescent="0.25">
      <c r="A42" s="12"/>
      <c r="B42" s="11"/>
    </row>
    <row r="43" spans="1:10" x14ac:dyDescent="0.25">
      <c r="A43" s="10" t="s">
        <v>101</v>
      </c>
      <c r="B43" t="s">
        <v>98</v>
      </c>
      <c r="I43" s="10" t="s">
        <v>101</v>
      </c>
      <c r="J43" t="s">
        <v>98</v>
      </c>
    </row>
    <row r="44" spans="1:10" x14ac:dyDescent="0.25">
      <c r="A44" s="74" t="s">
        <v>23</v>
      </c>
      <c r="B44" s="15">
        <v>28447.315789473683</v>
      </c>
      <c r="I44" s="74" t="s">
        <v>23</v>
      </c>
      <c r="J44" s="15">
        <v>30425.657142857144</v>
      </c>
    </row>
    <row r="45" spans="1:10" x14ac:dyDescent="0.25">
      <c r="A45" s="74" t="s">
        <v>40</v>
      </c>
      <c r="B45" s="15">
        <v>20531.81818181818</v>
      </c>
      <c r="I45" s="74" t="s">
        <v>40</v>
      </c>
      <c r="J45" s="15">
        <v>21933.333333333332</v>
      </c>
    </row>
    <row r="46" spans="1:10" x14ac:dyDescent="0.25">
      <c r="A46" s="74" t="s">
        <v>41</v>
      </c>
      <c r="B46" s="15">
        <v>25065.591397849461</v>
      </c>
      <c r="I46" s="74" t="s">
        <v>41</v>
      </c>
      <c r="J46" s="15">
        <v>27797.435897435898</v>
      </c>
    </row>
    <row r="47" spans="1:10" x14ac:dyDescent="0.25">
      <c r="A47" s="74" t="s">
        <v>99</v>
      </c>
      <c r="B47" s="15">
        <v>24659.98857142857</v>
      </c>
      <c r="I47" s="74" t="s">
        <v>99</v>
      </c>
      <c r="J47" s="15">
        <v>26898.013157894737</v>
      </c>
    </row>
    <row r="60" spans="1:10" ht="15.75" thickBot="1" x14ac:dyDescent="0.3"/>
    <row r="61" spans="1:10" s="48" customFormat="1" ht="24" thickTop="1" x14ac:dyDescent="0.35">
      <c r="A61" s="86" t="s">
        <v>139</v>
      </c>
      <c r="B61" s="86"/>
      <c r="C61" s="86"/>
      <c r="D61" s="86"/>
      <c r="E61" s="86"/>
      <c r="F61" s="86"/>
      <c r="G61" s="86"/>
    </row>
    <row r="62" spans="1:10" x14ac:dyDescent="0.25">
      <c r="A62" s="13"/>
      <c r="B62" s="11"/>
    </row>
    <row r="63" spans="1:10" x14ac:dyDescent="0.25">
      <c r="A63" s="10" t="s">
        <v>1</v>
      </c>
      <c r="B63" t="s">
        <v>98</v>
      </c>
      <c r="I63" s="10" t="s">
        <v>1</v>
      </c>
      <c r="J63" t="s">
        <v>98</v>
      </c>
    </row>
    <row r="64" spans="1:10" x14ac:dyDescent="0.25">
      <c r="A64" s="74" t="s">
        <v>204</v>
      </c>
      <c r="B64" s="15">
        <v>20427.272727272728</v>
      </c>
      <c r="I64" s="74" t="s">
        <v>204</v>
      </c>
      <c r="J64" s="15">
        <v>20427.272727272728</v>
      </c>
    </row>
    <row r="65" spans="1:10" x14ac:dyDescent="0.25">
      <c r="A65" s="74" t="s">
        <v>206</v>
      </c>
      <c r="B65" s="15">
        <v>20565.432098765432</v>
      </c>
      <c r="I65" s="74" t="s">
        <v>206</v>
      </c>
      <c r="J65" s="15">
        <v>23779.365079365078</v>
      </c>
    </row>
    <row r="66" spans="1:10" x14ac:dyDescent="0.25">
      <c r="A66" s="74" t="s">
        <v>205</v>
      </c>
      <c r="B66" s="15">
        <v>30303.448275862069</v>
      </c>
      <c r="I66" s="74" t="s">
        <v>205</v>
      </c>
      <c r="J66" s="15">
        <v>32043.396226415094</v>
      </c>
    </row>
    <row r="67" spans="1:10" x14ac:dyDescent="0.25">
      <c r="A67" s="74" t="s">
        <v>207</v>
      </c>
      <c r="B67" s="15">
        <v>25700</v>
      </c>
      <c r="I67" s="74" t="s">
        <v>207</v>
      </c>
      <c r="J67" s="15">
        <v>25700</v>
      </c>
    </row>
    <row r="68" spans="1:10" x14ac:dyDescent="0.25">
      <c r="A68" s="74" t="s">
        <v>208</v>
      </c>
      <c r="B68" s="15">
        <v>30679.599999999999</v>
      </c>
      <c r="I68" s="74" t="s">
        <v>208</v>
      </c>
      <c r="J68" s="15">
        <v>30679.599999999999</v>
      </c>
    </row>
    <row r="69" spans="1:10" x14ac:dyDescent="0.25">
      <c r="A69" s="74" t="s">
        <v>99</v>
      </c>
      <c r="B69" s="15">
        <v>24659.98857142857</v>
      </c>
      <c r="I69" s="74" t="s">
        <v>99</v>
      </c>
      <c r="J69" s="15">
        <v>26898.013157894737</v>
      </c>
    </row>
    <row r="81" spans="1:10" ht="15.75" thickBot="1" x14ac:dyDescent="0.3"/>
    <row r="82" spans="1:10" s="48" customFormat="1" ht="24" thickTop="1" x14ac:dyDescent="0.35">
      <c r="A82" s="86" t="s">
        <v>105</v>
      </c>
      <c r="B82" s="86"/>
      <c r="C82" s="86"/>
      <c r="D82" s="86"/>
      <c r="E82" s="86"/>
      <c r="F82" s="86"/>
      <c r="G82" s="86"/>
    </row>
    <row r="84" spans="1:10" x14ac:dyDescent="0.25">
      <c r="A84" s="10" t="s">
        <v>1</v>
      </c>
      <c r="B84" t="s">
        <v>98</v>
      </c>
      <c r="I84" s="10" t="s">
        <v>1</v>
      </c>
      <c r="J84" t="s">
        <v>98</v>
      </c>
    </row>
    <row r="85" spans="1:10" x14ac:dyDescent="0.25">
      <c r="A85" s="79" t="s">
        <v>20</v>
      </c>
      <c r="B85" s="15">
        <v>29334.736842105263</v>
      </c>
      <c r="I85" s="74" t="s">
        <v>20</v>
      </c>
      <c r="J85" s="15">
        <v>29646.808510638297</v>
      </c>
    </row>
    <row r="86" spans="1:10" x14ac:dyDescent="0.25">
      <c r="A86" s="79" t="s">
        <v>19</v>
      </c>
      <c r="B86" s="15">
        <v>19108.724999999999</v>
      </c>
      <c r="I86" s="74" t="s">
        <v>19</v>
      </c>
      <c r="J86" s="15">
        <v>22443.068965517243</v>
      </c>
    </row>
    <row r="87" spans="1:10" x14ac:dyDescent="0.25">
      <c r="A87" s="79" t="s">
        <v>99</v>
      </c>
      <c r="B87" s="15">
        <v>24659.98857142857</v>
      </c>
      <c r="I87" s="74" t="s">
        <v>99</v>
      </c>
      <c r="J87" s="15">
        <v>26898.013157894737</v>
      </c>
    </row>
    <row r="100" spans="1:2" x14ac:dyDescent="0.25">
      <c r="A100" s="9"/>
      <c r="B100" s="15"/>
    </row>
    <row r="101" spans="1:2" x14ac:dyDescent="0.25">
      <c r="A101" s="9"/>
      <c r="B101" s="15"/>
    </row>
    <row r="105" spans="1:2" x14ac:dyDescent="0.25">
      <c r="A105" s="9"/>
      <c r="B105" s="15"/>
    </row>
    <row r="106" spans="1:2" x14ac:dyDescent="0.25">
      <c r="A106" s="9"/>
      <c r="B106" s="15"/>
    </row>
    <row r="107" spans="1:2" x14ac:dyDescent="0.25">
      <c r="A107" s="9"/>
      <c r="B107" s="15"/>
    </row>
    <row r="108" spans="1:2" x14ac:dyDescent="0.25">
      <c r="A108" s="9"/>
      <c r="B108" s="15"/>
    </row>
  </sheetData>
  <mergeCells count="5">
    <mergeCell ref="A61:G61"/>
    <mergeCell ref="A82:G82"/>
    <mergeCell ref="A41:G41"/>
    <mergeCell ref="A21:G21"/>
    <mergeCell ref="A1:G1"/>
  </mergeCells>
  <pageMargins left="0.7" right="0.7" top="0.78740157499999996" bottom="0.78740157499999996" header="0.3" footer="0.3"/>
  <pageSetup paperSize="9" scale="27" orientation="landscape" horizontalDpi="300" verticalDpi="300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73" zoomScaleNormal="100" workbookViewId="0">
      <selection activeCell="U27" sqref="U27"/>
    </sheetView>
  </sheetViews>
  <sheetFormatPr defaultRowHeight="15" x14ac:dyDescent="0.25"/>
  <cols>
    <col min="1" max="1" width="29.42578125" bestFit="1" customWidth="1"/>
    <col min="2" max="2" width="23.7109375" customWidth="1"/>
    <col min="3" max="3" width="14" bestFit="1" customWidth="1"/>
    <col min="4" max="5" width="9.140625" customWidth="1"/>
  </cols>
  <sheetData>
    <row r="1" spans="1:16" s="24" customFormat="1" ht="23.25" x14ac:dyDescent="0.35">
      <c r="A1" s="87" t="s">
        <v>137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3" spans="1:16" x14ac:dyDescent="0.25">
      <c r="A3" s="10" t="s">
        <v>100</v>
      </c>
      <c r="B3" t="s">
        <v>140</v>
      </c>
    </row>
    <row r="4" spans="1:16" x14ac:dyDescent="0.25">
      <c r="A4" s="74" t="s">
        <v>32</v>
      </c>
      <c r="B4" s="15">
        <v>27206.666666666668</v>
      </c>
    </row>
    <row r="5" spans="1:16" x14ac:dyDescent="0.25">
      <c r="A5" s="74" t="s">
        <v>34</v>
      </c>
      <c r="B5" s="15">
        <v>15692.5</v>
      </c>
    </row>
    <row r="6" spans="1:16" x14ac:dyDescent="0.25">
      <c r="A6" s="74" t="s">
        <v>22</v>
      </c>
      <c r="B6" s="15">
        <v>18604.835164835164</v>
      </c>
    </row>
    <row r="7" spans="1:16" x14ac:dyDescent="0.25">
      <c r="A7" s="74" t="s">
        <v>36</v>
      </c>
      <c r="B7" s="15">
        <v>13905.333333333334</v>
      </c>
    </row>
    <row r="8" spans="1:16" x14ac:dyDescent="0.25">
      <c r="A8" s="74" t="s">
        <v>35</v>
      </c>
      <c r="B8" s="15">
        <v>18121.08695652174</v>
      </c>
    </row>
    <row r="9" spans="1:16" x14ac:dyDescent="0.25">
      <c r="A9" s="74" t="s">
        <v>99</v>
      </c>
      <c r="B9" s="15">
        <v>17889.485714285714</v>
      </c>
    </row>
    <row r="16" spans="1:16" x14ac:dyDescent="0.25">
      <c r="A16" s="36"/>
      <c r="B16" s="15"/>
    </row>
    <row r="18" spans="1:10" s="24" customFormat="1" ht="23.25" x14ac:dyDescent="0.35">
      <c r="A18" s="87" t="s">
        <v>136</v>
      </c>
      <c r="B18" s="87"/>
      <c r="C18" s="87"/>
      <c r="D18" s="87"/>
      <c r="E18" s="87"/>
      <c r="F18" s="87"/>
      <c r="G18" s="87"/>
      <c r="H18" s="87"/>
      <c r="I18" s="87"/>
    </row>
    <row r="19" spans="1:10" x14ac:dyDescent="0.25">
      <c r="A19" s="13"/>
      <c r="B19" s="11"/>
    </row>
    <row r="20" spans="1:10" x14ac:dyDescent="0.25">
      <c r="A20" s="10" t="s">
        <v>1</v>
      </c>
      <c r="B20" t="s">
        <v>140</v>
      </c>
    </row>
    <row r="21" spans="1:10" x14ac:dyDescent="0.25">
      <c r="A21" s="75" t="s">
        <v>204</v>
      </c>
      <c r="B21" s="15">
        <v>14931.818181818182</v>
      </c>
      <c r="I21" s="36"/>
      <c r="J21" s="15"/>
    </row>
    <row r="22" spans="1:10" x14ac:dyDescent="0.25">
      <c r="A22" s="75" t="s">
        <v>206</v>
      </c>
      <c r="B22" s="15">
        <v>15482.962962962964</v>
      </c>
      <c r="I22" s="36"/>
      <c r="J22" s="15"/>
    </row>
    <row r="23" spans="1:10" x14ac:dyDescent="0.25">
      <c r="A23" s="75" t="s">
        <v>205</v>
      </c>
      <c r="B23" s="15">
        <v>20962.586206896551</v>
      </c>
      <c r="I23" s="36"/>
      <c r="J23" s="15"/>
    </row>
    <row r="24" spans="1:10" x14ac:dyDescent="0.25">
      <c r="A24" s="75" t="s">
        <v>207</v>
      </c>
      <c r="B24" s="15">
        <v>20313</v>
      </c>
      <c r="I24" s="36"/>
      <c r="J24" s="15"/>
    </row>
    <row r="25" spans="1:10" x14ac:dyDescent="0.25">
      <c r="A25" s="75" t="s">
        <v>208</v>
      </c>
      <c r="B25" s="15">
        <v>18040</v>
      </c>
      <c r="I25" s="36"/>
      <c r="J25" s="15"/>
    </row>
    <row r="26" spans="1:10" x14ac:dyDescent="0.25">
      <c r="A26" s="75" t="s">
        <v>99</v>
      </c>
      <c r="B26" s="11">
        <v>17889.485714285714</v>
      </c>
      <c r="I26" s="36"/>
      <c r="J26" s="15"/>
    </row>
    <row r="27" spans="1:10" x14ac:dyDescent="0.25">
      <c r="I27" s="36"/>
      <c r="J27" s="15"/>
    </row>
    <row r="28" spans="1:10" x14ac:dyDescent="0.25">
      <c r="I28" s="36"/>
      <c r="J28" s="15"/>
    </row>
    <row r="29" spans="1:10" x14ac:dyDescent="0.25">
      <c r="I29" s="36"/>
      <c r="J29" s="15"/>
    </row>
    <row r="30" spans="1:10" x14ac:dyDescent="0.25">
      <c r="I30" s="36"/>
      <c r="J30" s="15"/>
    </row>
    <row r="31" spans="1:10" x14ac:dyDescent="0.25">
      <c r="I31" s="36"/>
      <c r="J31" s="15"/>
    </row>
    <row r="32" spans="1:10" x14ac:dyDescent="0.25">
      <c r="I32" s="36"/>
      <c r="J32" s="15"/>
    </row>
    <row r="33" spans="1:10" x14ac:dyDescent="0.25">
      <c r="I33" s="36"/>
      <c r="J33" s="15"/>
    </row>
    <row r="34" spans="1:10" x14ac:dyDescent="0.25">
      <c r="I34" s="36"/>
      <c r="J34" s="15"/>
    </row>
    <row r="35" spans="1:10" x14ac:dyDescent="0.25">
      <c r="I35" s="36"/>
      <c r="J35" s="15"/>
    </row>
    <row r="36" spans="1:10" x14ac:dyDescent="0.25">
      <c r="I36" s="36"/>
      <c r="J36" s="15"/>
    </row>
    <row r="37" spans="1:10" x14ac:dyDescent="0.25">
      <c r="I37" s="36"/>
      <c r="J37" s="15"/>
    </row>
    <row r="39" spans="1:10" s="24" customFormat="1" ht="23.25" x14ac:dyDescent="0.35">
      <c r="A39" s="87" t="s">
        <v>138</v>
      </c>
      <c r="B39" s="87"/>
      <c r="C39" s="87"/>
      <c r="D39" s="87"/>
      <c r="E39" s="87"/>
      <c r="F39" s="87"/>
      <c r="G39" s="87"/>
      <c r="H39" s="87"/>
      <c r="I39" s="87"/>
    </row>
    <row r="41" spans="1:10" x14ac:dyDescent="0.25">
      <c r="A41" s="10" t="s">
        <v>4</v>
      </c>
      <c r="B41" t="s">
        <v>140</v>
      </c>
    </row>
    <row r="42" spans="1:10" x14ac:dyDescent="0.25">
      <c r="A42" s="74">
        <v>0</v>
      </c>
      <c r="B42" s="15">
        <v>16191.428571428571</v>
      </c>
    </row>
    <row r="43" spans="1:10" x14ac:dyDescent="0.25">
      <c r="A43" s="74">
        <v>1</v>
      </c>
      <c r="B43" s="15">
        <v>16402.786885245903</v>
      </c>
    </row>
    <row r="44" spans="1:10" x14ac:dyDescent="0.25">
      <c r="A44" s="74">
        <v>2</v>
      </c>
      <c r="B44" s="15">
        <v>21776.938775510203</v>
      </c>
    </row>
    <row r="45" spans="1:10" x14ac:dyDescent="0.25">
      <c r="A45" s="74" t="s">
        <v>223</v>
      </c>
      <c r="B45" s="15">
        <v>17366.666666666668</v>
      </c>
    </row>
    <row r="46" spans="1:10" x14ac:dyDescent="0.25">
      <c r="A46" s="74" t="s">
        <v>99</v>
      </c>
      <c r="B46" s="15">
        <v>17889.485714285714</v>
      </c>
    </row>
    <row r="57" spans="1:11" ht="15.75" thickBot="1" x14ac:dyDescent="0.3"/>
    <row r="58" spans="1:11" s="49" customFormat="1" ht="24" thickTop="1" x14ac:dyDescent="0.35">
      <c r="A58" s="86" t="s">
        <v>141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60" spans="1:11" x14ac:dyDescent="0.25">
      <c r="A60" s="10" t="s">
        <v>101</v>
      </c>
      <c r="B60" t="s">
        <v>140</v>
      </c>
    </row>
    <row r="61" spans="1:11" x14ac:dyDescent="0.25">
      <c r="A61" s="74" t="s">
        <v>23</v>
      </c>
      <c r="B61" s="15">
        <v>20839.21052631579</v>
      </c>
    </row>
    <row r="62" spans="1:11" x14ac:dyDescent="0.25">
      <c r="A62" s="74" t="s">
        <v>40</v>
      </c>
      <c r="B62" s="15">
        <v>14821.59090909091</v>
      </c>
    </row>
    <row r="63" spans="1:11" x14ac:dyDescent="0.25">
      <c r="A63" s="74" t="s">
        <v>41</v>
      </c>
      <c r="B63" s="15">
        <v>18135.698924731183</v>
      </c>
    </row>
    <row r="64" spans="1:11" x14ac:dyDescent="0.25">
      <c r="A64" s="74" t="s">
        <v>99</v>
      </c>
      <c r="B64" s="15">
        <v>17889.485714285714</v>
      </c>
    </row>
    <row r="75" spans="1:11" ht="15.75" thickBot="1" x14ac:dyDescent="0.3"/>
    <row r="76" spans="1:11" s="49" customFormat="1" ht="24" thickTop="1" x14ac:dyDescent="0.35">
      <c r="A76" s="86" t="s">
        <v>212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8" spans="1:11" x14ac:dyDescent="0.25">
      <c r="A78" s="10" t="s">
        <v>10</v>
      </c>
      <c r="B78" t="s">
        <v>140</v>
      </c>
    </row>
    <row r="79" spans="1:11" x14ac:dyDescent="0.25">
      <c r="A79" s="79" t="s">
        <v>33</v>
      </c>
      <c r="B79" s="15">
        <v>11478.571428571429</v>
      </c>
    </row>
    <row r="80" spans="1:11" x14ac:dyDescent="0.25">
      <c r="A80" s="79" t="s">
        <v>26</v>
      </c>
      <c r="B80" s="15">
        <v>15918.333333333334</v>
      </c>
    </row>
    <row r="81" spans="1:2" x14ac:dyDescent="0.25">
      <c r="A81" s="79" t="s">
        <v>24</v>
      </c>
      <c r="B81" s="15">
        <v>18703.333333333332</v>
      </c>
    </row>
    <row r="82" spans="1:2" x14ac:dyDescent="0.25">
      <c r="A82" s="79" t="s">
        <v>21</v>
      </c>
      <c r="B82" s="15">
        <v>20120.389610389611</v>
      </c>
    </row>
    <row r="83" spans="1:2" x14ac:dyDescent="0.25">
      <c r="A83" s="79" t="s">
        <v>106</v>
      </c>
      <c r="B83" s="15">
        <v>17889.485714285714</v>
      </c>
    </row>
  </sheetData>
  <mergeCells count="5">
    <mergeCell ref="A18:I18"/>
    <mergeCell ref="A39:I39"/>
    <mergeCell ref="A1:P1"/>
    <mergeCell ref="A58:K58"/>
    <mergeCell ref="A76:K76"/>
  </mergeCells>
  <pageMargins left="0.7" right="0.7" top="0.78740157499999996" bottom="0.78740157499999996" header="0.3" footer="0.3"/>
  <pageSetup paperSize="9" orientation="portrait" horizontalDpi="300" verticalDpi="3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N32" sqref="N32"/>
    </sheetView>
  </sheetViews>
  <sheetFormatPr defaultRowHeight="15" x14ac:dyDescent="0.25"/>
  <cols>
    <col min="1" max="1" width="27.5703125" bestFit="1" customWidth="1"/>
    <col min="2" max="2" width="15.85546875" customWidth="1"/>
  </cols>
  <sheetData>
    <row r="1" spans="1:10" s="81" customFormat="1" ht="24" thickTop="1" x14ac:dyDescent="0.35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</row>
    <row r="3" spans="1:10" x14ac:dyDescent="0.25">
      <c r="A3" s="10" t="s">
        <v>1</v>
      </c>
      <c r="B3" t="s">
        <v>210</v>
      </c>
    </row>
    <row r="4" spans="1:10" x14ac:dyDescent="0.25">
      <c r="A4" s="75" t="s">
        <v>204</v>
      </c>
      <c r="B4" s="15">
        <v>5495.454545454545</v>
      </c>
    </row>
    <row r="5" spans="1:10" x14ac:dyDescent="0.25">
      <c r="A5" s="75" t="s">
        <v>206</v>
      </c>
      <c r="B5" s="15">
        <v>5280</v>
      </c>
    </row>
    <row r="6" spans="1:10" x14ac:dyDescent="0.25">
      <c r="A6" s="75" t="s">
        <v>205</v>
      </c>
      <c r="B6" s="15">
        <v>9875.3448275862065</v>
      </c>
    </row>
    <row r="7" spans="1:10" x14ac:dyDescent="0.25">
      <c r="A7" s="75" t="s">
        <v>207</v>
      </c>
      <c r="B7" s="15">
        <v>5387</v>
      </c>
    </row>
    <row r="8" spans="1:10" x14ac:dyDescent="0.25">
      <c r="A8" s="75" t="s">
        <v>208</v>
      </c>
      <c r="B8" s="15">
        <v>12639.6</v>
      </c>
    </row>
    <row r="9" spans="1:10" x14ac:dyDescent="0.25">
      <c r="A9" s="75" t="s">
        <v>106</v>
      </c>
      <c r="B9" s="15">
        <v>7039.0742857142859</v>
      </c>
    </row>
    <row r="18" spans="1:2" x14ac:dyDescent="0.25">
      <c r="A18" s="10" t="s">
        <v>100</v>
      </c>
      <c r="B18" t="s">
        <v>210</v>
      </c>
    </row>
    <row r="19" spans="1:2" x14ac:dyDescent="0.25">
      <c r="A19" s="75" t="s">
        <v>32</v>
      </c>
      <c r="B19" s="15">
        <v>2460</v>
      </c>
    </row>
    <row r="20" spans="1:2" x14ac:dyDescent="0.25">
      <c r="A20" s="75" t="s">
        <v>34</v>
      </c>
      <c r="B20" s="15">
        <v>4922.5</v>
      </c>
    </row>
    <row r="21" spans="1:2" x14ac:dyDescent="0.25">
      <c r="A21" s="75" t="s">
        <v>22</v>
      </c>
      <c r="B21" s="15">
        <v>7007.2527472527472</v>
      </c>
    </row>
    <row r="22" spans="1:2" x14ac:dyDescent="0.25">
      <c r="A22" s="75" t="s">
        <v>36</v>
      </c>
      <c r="B22" s="15">
        <v>3834.6666666666665</v>
      </c>
    </row>
    <row r="23" spans="1:2" x14ac:dyDescent="0.25">
      <c r="A23" s="75" t="s">
        <v>35</v>
      </c>
      <c r="B23" s="15">
        <v>9365.826086956522</v>
      </c>
    </row>
    <row r="24" spans="1:2" x14ac:dyDescent="0.25">
      <c r="A24" s="75" t="s">
        <v>106</v>
      </c>
      <c r="B24" s="15">
        <v>7039.0742857142859</v>
      </c>
    </row>
  </sheetData>
  <mergeCells count="1">
    <mergeCell ref="A1:J1"/>
  </mergeCells>
  <pageMargins left="0.7" right="0.7" top="0.78740157499999996" bottom="0.78740157499999996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1"/>
  <sheetViews>
    <sheetView zoomScaleNormal="100" workbookViewId="0">
      <selection activeCell="K3" sqref="K3"/>
    </sheetView>
  </sheetViews>
  <sheetFormatPr defaultRowHeight="15" x14ac:dyDescent="0.25"/>
  <cols>
    <col min="1" max="1" width="66.28515625" bestFit="1" customWidth="1"/>
    <col min="2" max="2" width="46.5703125" bestFit="1" customWidth="1"/>
    <col min="3" max="3" width="24" bestFit="1" customWidth="1"/>
    <col min="4" max="4" width="22.7109375" bestFit="1" customWidth="1"/>
    <col min="5" max="5" width="16.140625" bestFit="1" customWidth="1"/>
    <col min="6" max="6" width="14.7109375" bestFit="1" customWidth="1"/>
    <col min="7" max="7" width="27.7109375" bestFit="1" customWidth="1"/>
    <col min="8" max="8" width="23.7109375" bestFit="1" customWidth="1"/>
    <col min="9" max="11" width="14.7109375" bestFit="1" customWidth="1"/>
    <col min="12" max="12" width="13.42578125" bestFit="1" customWidth="1"/>
    <col min="13" max="14" width="14.7109375" bestFit="1" customWidth="1"/>
    <col min="15" max="16" width="13.42578125" bestFit="1" customWidth="1"/>
    <col min="17" max="17" width="13.42578125" customWidth="1"/>
    <col min="18" max="18" width="14.7109375" bestFit="1" customWidth="1"/>
    <col min="19" max="20" width="13.42578125" bestFit="1" customWidth="1"/>
    <col min="21" max="21" width="15.7109375" bestFit="1" customWidth="1"/>
    <col min="22" max="22" width="45.28515625" bestFit="1" customWidth="1"/>
    <col min="23" max="23" width="14.7109375" bestFit="1" customWidth="1"/>
    <col min="24" max="24" width="13.42578125" bestFit="1" customWidth="1"/>
    <col min="25" max="25" width="16.5703125" bestFit="1" customWidth="1"/>
    <col min="26" max="27" width="13.42578125" bestFit="1" customWidth="1"/>
    <col min="28" max="28" width="13.42578125" customWidth="1"/>
    <col min="29" max="30" width="14.7109375" bestFit="1" customWidth="1"/>
    <col min="31" max="31" width="13.42578125" bestFit="1" customWidth="1"/>
    <col min="32" max="32" width="14.7109375" bestFit="1" customWidth="1"/>
    <col min="33" max="33" width="16.5703125" bestFit="1" customWidth="1"/>
    <col min="34" max="34" width="13.42578125" bestFit="1" customWidth="1"/>
    <col min="35" max="35" width="8.28515625" bestFit="1" customWidth="1"/>
    <col min="36" max="36" width="14.7109375" bestFit="1" customWidth="1"/>
    <col min="37" max="37" width="13.42578125" bestFit="1" customWidth="1"/>
    <col min="38" max="38" width="14.7109375" bestFit="1" customWidth="1"/>
    <col min="39" max="39" width="12.42578125" bestFit="1" customWidth="1"/>
    <col min="40" max="40" width="7" customWidth="1"/>
    <col min="41" max="41" width="11.42578125" bestFit="1" customWidth="1"/>
    <col min="42" max="42" width="12.42578125" bestFit="1" customWidth="1"/>
    <col min="43" max="43" width="7" customWidth="1"/>
    <col min="44" max="45" width="11.42578125" bestFit="1" customWidth="1"/>
    <col min="46" max="46" width="11.42578125" customWidth="1"/>
    <col min="47" max="47" width="12.42578125" bestFit="1" customWidth="1"/>
    <col min="48" max="48" width="11.42578125" customWidth="1"/>
    <col min="49" max="49" width="11.42578125" bestFit="1" customWidth="1"/>
    <col min="50" max="50" width="11.42578125" customWidth="1"/>
    <col min="51" max="51" width="12.42578125" bestFit="1" customWidth="1"/>
    <col min="52" max="52" width="7" customWidth="1"/>
    <col min="53" max="53" width="11.42578125" customWidth="1"/>
    <col min="54" max="55" width="11.42578125" bestFit="1" customWidth="1"/>
    <col min="56" max="56" width="7" customWidth="1"/>
    <col min="57" max="57" width="11.42578125" customWidth="1"/>
    <col min="58" max="58" width="7" customWidth="1"/>
    <col min="59" max="59" width="11.42578125" bestFit="1" customWidth="1"/>
    <col min="60" max="60" width="7" customWidth="1"/>
    <col min="61" max="61" width="11.42578125" customWidth="1"/>
    <col min="62" max="63" width="11.42578125" bestFit="1" customWidth="1"/>
    <col min="64" max="64" width="12.42578125" bestFit="1" customWidth="1"/>
    <col min="65" max="66" width="11.42578125" customWidth="1"/>
    <col min="67" max="67" width="7" customWidth="1"/>
    <col min="68" max="68" width="12.42578125" bestFit="1" customWidth="1"/>
    <col min="69" max="69" width="11.42578125" bestFit="1" customWidth="1"/>
    <col min="70" max="71" width="12.42578125" bestFit="1" customWidth="1"/>
    <col min="72" max="72" width="11.42578125" bestFit="1" customWidth="1"/>
    <col min="73" max="73" width="12.42578125" bestFit="1" customWidth="1"/>
    <col min="74" max="74" width="11.42578125" bestFit="1" customWidth="1"/>
    <col min="75" max="76" width="12.42578125" bestFit="1" customWidth="1"/>
    <col min="77" max="77" width="11.42578125" customWidth="1"/>
    <col min="78" max="78" width="14" bestFit="1" customWidth="1"/>
    <col min="79" max="79" width="11.42578125" customWidth="1"/>
    <col min="80" max="80" width="7" customWidth="1"/>
    <col min="81" max="81" width="14" bestFit="1" customWidth="1"/>
    <col min="82" max="82" width="14.42578125" bestFit="1" customWidth="1"/>
    <col min="83" max="84" width="12.42578125" bestFit="1" customWidth="1"/>
    <col min="85" max="86" width="14" bestFit="1" customWidth="1"/>
    <col min="87" max="88" width="11.42578125" bestFit="1" customWidth="1"/>
    <col min="89" max="89" width="7" customWidth="1"/>
    <col min="90" max="90" width="10.140625" bestFit="1" customWidth="1"/>
    <col min="91" max="92" width="12.42578125" bestFit="1" customWidth="1"/>
    <col min="93" max="94" width="11.42578125" bestFit="1" customWidth="1"/>
    <col min="95" max="95" width="14.42578125" bestFit="1" customWidth="1"/>
  </cols>
  <sheetData>
    <row r="1" spans="1:20" s="49" customFormat="1" ht="24" thickTop="1" x14ac:dyDescent="0.35">
      <c r="A1" s="89" t="s">
        <v>155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15.75" x14ac:dyDescent="0.25">
      <c r="A2" s="50"/>
    </row>
    <row r="3" spans="1:20" x14ac:dyDescent="0.25">
      <c r="A3" s="10" t="s">
        <v>27</v>
      </c>
      <c r="B3" t="s">
        <v>107</v>
      </c>
    </row>
    <row r="5" spans="1:20" s="67" customFormat="1" x14ac:dyDescent="0.25">
      <c r="A5" s="67" t="s">
        <v>160</v>
      </c>
      <c r="B5" s="67" t="s">
        <v>158</v>
      </c>
      <c r="C5" s="67" t="s">
        <v>157</v>
      </c>
      <c r="D5" s="67" t="s">
        <v>159</v>
      </c>
    </row>
    <row r="6" spans="1:20" x14ac:dyDescent="0.25">
      <c r="A6" s="11">
        <v>121</v>
      </c>
      <c r="B6" s="15">
        <v>165231.40495867768</v>
      </c>
      <c r="C6" s="15">
        <v>5000</v>
      </c>
      <c r="D6" s="15">
        <v>2000000</v>
      </c>
    </row>
    <row r="7" spans="1:20" x14ac:dyDescent="0.25">
      <c r="A7" s="68" t="s">
        <v>178</v>
      </c>
      <c r="B7" s="69"/>
      <c r="C7" s="69"/>
      <c r="D7" s="70">
        <f>GETPIVOTDATA("Počet osob, vlastnících určitou fin. rezervu na osobním/spořícím účtu",A6)/175</f>
        <v>0.69142857142857139</v>
      </c>
    </row>
    <row r="8" spans="1:20" x14ac:dyDescent="0.25">
      <c r="A8" s="68" t="s">
        <v>179</v>
      </c>
      <c r="B8" s="69"/>
      <c r="C8" s="69"/>
      <c r="D8" s="70">
        <f>100%-D7</f>
        <v>0.30857142857142861</v>
      </c>
    </row>
    <row r="9" spans="1:20" x14ac:dyDescent="0.25">
      <c r="A9" s="77"/>
      <c r="B9" s="37"/>
      <c r="C9" s="37"/>
      <c r="D9" s="78"/>
    </row>
    <row r="10" spans="1:20" x14ac:dyDescent="0.25">
      <c r="A10" s="32" t="s">
        <v>1</v>
      </c>
      <c r="B10" t="s">
        <v>156</v>
      </c>
      <c r="C10" s="37"/>
      <c r="D10" s="78"/>
    </row>
    <row r="11" spans="1:20" x14ac:dyDescent="0.25">
      <c r="A11" s="75" t="s">
        <v>204</v>
      </c>
      <c r="B11" s="15">
        <v>43636.36363636364</v>
      </c>
      <c r="C11" s="37"/>
      <c r="D11" s="78"/>
    </row>
    <row r="12" spans="1:20" x14ac:dyDescent="0.25">
      <c r="A12" s="75" t="s">
        <v>206</v>
      </c>
      <c r="B12" s="15">
        <v>81055.555555555562</v>
      </c>
      <c r="C12" s="37"/>
      <c r="D12" s="78"/>
    </row>
    <row r="13" spans="1:20" x14ac:dyDescent="0.25">
      <c r="A13" s="75" t="s">
        <v>205</v>
      </c>
      <c r="B13" s="15">
        <v>154913.79310344829</v>
      </c>
      <c r="C13" s="37"/>
      <c r="D13" s="78"/>
    </row>
    <row r="14" spans="1:20" x14ac:dyDescent="0.25">
      <c r="A14" s="75" t="s">
        <v>207</v>
      </c>
      <c r="B14" s="15">
        <v>170375</v>
      </c>
      <c r="C14" s="37"/>
      <c r="D14" s="78"/>
    </row>
    <row r="15" spans="1:20" x14ac:dyDescent="0.25">
      <c r="A15" s="75" t="s">
        <v>208</v>
      </c>
      <c r="B15" s="15">
        <v>111000</v>
      </c>
      <c r="C15" s="37"/>
      <c r="D15" s="78"/>
    </row>
    <row r="16" spans="1:20" x14ac:dyDescent="0.25">
      <c r="A16" s="75" t="s">
        <v>106</v>
      </c>
      <c r="B16" s="15">
        <v>114245.71428571429</v>
      </c>
      <c r="C16" s="37"/>
      <c r="D16" s="78"/>
    </row>
    <row r="17" spans="1:4" x14ac:dyDescent="0.25">
      <c r="C17" s="37"/>
      <c r="D17" s="78"/>
    </row>
    <row r="18" spans="1:4" x14ac:dyDescent="0.25">
      <c r="C18" s="37"/>
      <c r="D18" s="78"/>
    </row>
    <row r="19" spans="1:4" x14ac:dyDescent="0.25">
      <c r="C19" s="37"/>
      <c r="D19" s="78"/>
    </row>
    <row r="20" spans="1:4" x14ac:dyDescent="0.25">
      <c r="C20" s="37"/>
      <c r="D20" s="78"/>
    </row>
    <row r="21" spans="1:4" x14ac:dyDescent="0.25">
      <c r="C21" s="37"/>
      <c r="D21" s="78"/>
    </row>
    <row r="22" spans="1:4" x14ac:dyDescent="0.25">
      <c r="C22" s="37"/>
      <c r="D22" s="78"/>
    </row>
    <row r="23" spans="1:4" x14ac:dyDescent="0.25">
      <c r="C23" s="37"/>
      <c r="D23" s="78"/>
    </row>
    <row r="24" spans="1:4" x14ac:dyDescent="0.25">
      <c r="C24" s="37"/>
      <c r="D24" s="78"/>
    </row>
    <row r="25" spans="1:4" x14ac:dyDescent="0.25">
      <c r="C25" s="37"/>
      <c r="D25" s="78"/>
    </row>
    <row r="26" spans="1:4" x14ac:dyDescent="0.25">
      <c r="A26" s="10" t="s">
        <v>196</v>
      </c>
      <c r="B26" t="s">
        <v>213</v>
      </c>
      <c r="D26" s="78"/>
    </row>
    <row r="27" spans="1:4" x14ac:dyDescent="0.25">
      <c r="A27" s="75" t="s">
        <v>32</v>
      </c>
      <c r="B27" s="15">
        <v>15833.333333333334</v>
      </c>
      <c r="D27" s="78"/>
    </row>
    <row r="28" spans="1:4" x14ac:dyDescent="0.25">
      <c r="A28" s="75" t="s">
        <v>34</v>
      </c>
      <c r="B28" s="15">
        <v>99500</v>
      </c>
      <c r="D28" s="78"/>
    </row>
    <row r="29" spans="1:4" x14ac:dyDescent="0.25">
      <c r="A29" s="75" t="s">
        <v>22</v>
      </c>
      <c r="B29" s="15">
        <v>65483.516483516483</v>
      </c>
      <c r="D29" s="78"/>
    </row>
    <row r="30" spans="1:4" x14ac:dyDescent="0.25">
      <c r="A30" s="75" t="s">
        <v>36</v>
      </c>
      <c r="B30" s="15">
        <v>191500</v>
      </c>
      <c r="D30" s="78"/>
    </row>
    <row r="31" spans="1:4" x14ac:dyDescent="0.25">
      <c r="A31" s="75" t="s">
        <v>35</v>
      </c>
      <c r="B31" s="15">
        <v>198347.82608695651</v>
      </c>
      <c r="D31" s="78"/>
    </row>
    <row r="32" spans="1:4" x14ac:dyDescent="0.25">
      <c r="A32" s="75" t="s">
        <v>106</v>
      </c>
      <c r="B32" s="15">
        <v>114245.71428571429</v>
      </c>
      <c r="D32" s="78"/>
    </row>
    <row r="33" spans="1:58" x14ac:dyDescent="0.25">
      <c r="D33" s="78"/>
    </row>
    <row r="34" spans="1:58" x14ac:dyDescent="0.25">
      <c r="D34" s="78"/>
    </row>
    <row r="35" spans="1:58" x14ac:dyDescent="0.25">
      <c r="D35" s="78"/>
    </row>
    <row r="36" spans="1:58" x14ac:dyDescent="0.25">
      <c r="D36" s="78"/>
    </row>
    <row r="37" spans="1:58" x14ac:dyDescent="0.25">
      <c r="D37" s="78"/>
    </row>
    <row r="38" spans="1:58" x14ac:dyDescent="0.25">
      <c r="D38" s="78"/>
    </row>
    <row r="39" spans="1:58" x14ac:dyDescent="0.25">
      <c r="D39" s="78"/>
    </row>
    <row r="40" spans="1:58" x14ac:dyDescent="0.25">
      <c r="D40" s="78"/>
    </row>
    <row r="41" spans="1:58" x14ac:dyDescent="0.25">
      <c r="D41" s="78"/>
    </row>
    <row r="42" spans="1:58" x14ac:dyDescent="0.25">
      <c r="D42" s="78"/>
    </row>
    <row r="45" spans="1:58" s="54" customFormat="1" x14ac:dyDescent="0.25">
      <c r="A45"/>
      <c r="B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s="28" customFormat="1" x14ac:dyDescent="0.25">
      <c r="A46"/>
      <c r="B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9" spans="1:13" s="54" customFormat="1" x14ac:dyDescent="0.25">
      <c r="B49" s="32" t="s">
        <v>0</v>
      </c>
    </row>
    <row r="50" spans="1:13" s="28" customFormat="1" x14ac:dyDescent="0.25">
      <c r="A50" s="54"/>
      <c r="B50" t="s">
        <v>20</v>
      </c>
      <c r="C50" t="s">
        <v>19</v>
      </c>
      <c r="D50" t="s">
        <v>106</v>
      </c>
    </row>
    <row r="51" spans="1:13" x14ac:dyDescent="0.25">
      <c r="A51" t="s">
        <v>156</v>
      </c>
      <c r="B51" s="15">
        <v>103910.52631578948</v>
      </c>
      <c r="C51" s="15">
        <v>126518.75</v>
      </c>
      <c r="D51" s="64">
        <v>114245.71428571429</v>
      </c>
    </row>
    <row r="53" spans="1:13" s="54" customFormat="1" x14ac:dyDescent="0.25">
      <c r="B53" s="32" t="s">
        <v>67</v>
      </c>
      <c r="K53"/>
      <c r="L53"/>
    </row>
    <row r="54" spans="1:13" s="28" customFormat="1" x14ac:dyDescent="0.25">
      <c r="A54" s="54"/>
      <c r="B54" t="s">
        <v>39</v>
      </c>
      <c r="C54" t="s">
        <v>38</v>
      </c>
      <c r="D54" t="s">
        <v>37</v>
      </c>
      <c r="E54" t="s">
        <v>106</v>
      </c>
      <c r="K54" s="65"/>
      <c r="L54"/>
    </row>
    <row r="55" spans="1:13" x14ac:dyDescent="0.25">
      <c r="A55" t="s">
        <v>156</v>
      </c>
      <c r="B55" s="15">
        <v>81000</v>
      </c>
      <c r="C55" s="15">
        <v>53642.857142857145</v>
      </c>
      <c r="D55" s="15">
        <v>166922.22222222222</v>
      </c>
      <c r="E55" s="15">
        <v>114245.71428571429</v>
      </c>
    </row>
    <row r="57" spans="1:13" s="54" customFormat="1" x14ac:dyDescent="0.25">
      <c r="B57" s="32" t="s">
        <v>101</v>
      </c>
      <c r="K57"/>
      <c r="L57"/>
      <c r="M57"/>
    </row>
    <row r="58" spans="1:13" s="28" customFormat="1" x14ac:dyDescent="0.25">
      <c r="A58" s="54"/>
      <c r="B58" t="s">
        <v>23</v>
      </c>
      <c r="C58" t="s">
        <v>40</v>
      </c>
      <c r="D58" t="s">
        <v>41</v>
      </c>
      <c r="E58" t="s">
        <v>106</v>
      </c>
      <c r="K58"/>
      <c r="L58"/>
      <c r="M58"/>
    </row>
    <row r="59" spans="1:13" x14ac:dyDescent="0.25">
      <c r="A59" t="s">
        <v>156</v>
      </c>
      <c r="B59" s="15">
        <v>95473.68421052632</v>
      </c>
      <c r="C59" s="15">
        <v>76363.636363636368</v>
      </c>
      <c r="D59" s="15">
        <v>139838.70967741936</v>
      </c>
      <c r="E59" s="15">
        <v>114245.71428571429</v>
      </c>
    </row>
    <row r="61" spans="1:13" s="54" customFormat="1" x14ac:dyDescent="0.25">
      <c r="B61" s="32" t="s">
        <v>4</v>
      </c>
      <c r="K61"/>
      <c r="L61"/>
      <c r="M61"/>
    </row>
    <row r="62" spans="1:13" s="28" customFormat="1" x14ac:dyDescent="0.25">
      <c r="A62" s="54"/>
      <c r="B62">
        <v>0</v>
      </c>
      <c r="C62">
        <v>1</v>
      </c>
      <c r="D62">
        <v>2</v>
      </c>
      <c r="E62">
        <v>3</v>
      </c>
      <c r="F62" t="s">
        <v>106</v>
      </c>
      <c r="K62"/>
      <c r="L62"/>
      <c r="M62"/>
    </row>
    <row r="63" spans="1:13" x14ac:dyDescent="0.25">
      <c r="A63" t="s">
        <v>156</v>
      </c>
      <c r="B63" s="15">
        <v>62410.714285714283</v>
      </c>
      <c r="C63" s="15">
        <v>91393.442622950824</v>
      </c>
      <c r="D63" s="15">
        <v>212714.28571428571</v>
      </c>
      <c r="E63" s="15">
        <v>55555.555555555555</v>
      </c>
      <c r="F63" s="15">
        <v>114245.71428571429</v>
      </c>
    </row>
    <row r="65" spans="1:13" s="54" customFormat="1" x14ac:dyDescent="0.25">
      <c r="B65" s="32" t="s">
        <v>100</v>
      </c>
      <c r="K65"/>
      <c r="L65"/>
      <c r="M65"/>
    </row>
    <row r="66" spans="1:13" s="28" customFormat="1" x14ac:dyDescent="0.25">
      <c r="A66" s="54"/>
      <c r="B66" t="s">
        <v>22</v>
      </c>
      <c r="C66" t="s">
        <v>36</v>
      </c>
      <c r="D66" t="s">
        <v>35</v>
      </c>
      <c r="E66" t="s">
        <v>34</v>
      </c>
      <c r="F66" t="s">
        <v>32</v>
      </c>
      <c r="G66" t="s">
        <v>106</v>
      </c>
      <c r="K66"/>
      <c r="L66"/>
      <c r="M66"/>
    </row>
    <row r="67" spans="1:13" x14ac:dyDescent="0.25">
      <c r="A67" t="s">
        <v>156</v>
      </c>
      <c r="B67" s="15">
        <v>65483.516483516483</v>
      </c>
      <c r="C67" s="15">
        <v>191500</v>
      </c>
      <c r="D67" s="15">
        <v>198347.82608695651</v>
      </c>
      <c r="E67" s="15">
        <v>99500</v>
      </c>
      <c r="F67" s="15">
        <v>15833.333333333334</v>
      </c>
      <c r="G67" s="15">
        <v>114245.71428571429</v>
      </c>
    </row>
    <row r="69" spans="1:13" s="54" customFormat="1" x14ac:dyDescent="0.25">
      <c r="B69" s="32" t="s">
        <v>9</v>
      </c>
      <c r="K69"/>
      <c r="L69"/>
      <c r="M69"/>
    </row>
    <row r="70" spans="1:13" s="28" customFormat="1" x14ac:dyDescent="0.25">
      <c r="A70" s="54"/>
      <c r="B70" t="s">
        <v>45</v>
      </c>
      <c r="C70" t="s">
        <v>48</v>
      </c>
      <c r="D70" t="s">
        <v>31</v>
      </c>
      <c r="E70" t="s">
        <v>49</v>
      </c>
      <c r="F70" t="s">
        <v>44</v>
      </c>
      <c r="G70" t="s">
        <v>51</v>
      </c>
      <c r="H70" t="s">
        <v>50</v>
      </c>
      <c r="I70" t="s">
        <v>106</v>
      </c>
      <c r="K70"/>
      <c r="L70"/>
      <c r="M70"/>
    </row>
    <row r="71" spans="1:13" x14ac:dyDescent="0.25">
      <c r="A71" t="s">
        <v>156</v>
      </c>
      <c r="B71" s="15">
        <v>170500</v>
      </c>
      <c r="C71" s="15">
        <v>27772.727272727272</v>
      </c>
      <c r="D71" s="15">
        <v>97976.190476190473</v>
      </c>
      <c r="E71" s="15">
        <v>0</v>
      </c>
      <c r="F71" s="15">
        <v>141590.90909090909</v>
      </c>
      <c r="G71" s="15">
        <v>157114.28571428571</v>
      </c>
      <c r="H71" s="15">
        <v>202966.66666666666</v>
      </c>
      <c r="I71" s="15">
        <v>114245.71428571429</v>
      </c>
    </row>
  </sheetData>
  <mergeCells count="1">
    <mergeCell ref="A1:T1"/>
  </mergeCells>
  <pageMargins left="0.7" right="0.7" top="0.78740157499999996" bottom="0.78740157499999996" header="0.3" footer="0.3"/>
  <pageSetup paperSize="9" orientation="portrait" horizontalDpi="300" verticalDpi="300" r:id="rId10"/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G37" sqref="G37"/>
    </sheetView>
  </sheetViews>
  <sheetFormatPr defaultRowHeight="15" x14ac:dyDescent="0.25"/>
  <cols>
    <col min="1" max="1" width="64.7109375" bestFit="1" customWidth="1"/>
    <col min="2" max="2" width="31.5703125" bestFit="1" customWidth="1"/>
    <col min="3" max="3" width="13.7109375" bestFit="1" customWidth="1"/>
    <col min="4" max="4" width="30.85546875" customWidth="1"/>
    <col min="5" max="5" width="19.140625" bestFit="1" customWidth="1"/>
    <col min="6" max="6" width="7.7109375" customWidth="1"/>
    <col min="7" max="7" width="15" bestFit="1" customWidth="1"/>
    <col min="8" max="8" width="14.42578125" bestFit="1" customWidth="1"/>
    <col min="9" max="9" width="7.7109375" bestFit="1" customWidth="1"/>
    <col min="10" max="10" width="14.42578125" bestFit="1" customWidth="1"/>
    <col min="11" max="11" width="7.85546875" bestFit="1" customWidth="1"/>
    <col min="12" max="12" width="5.42578125" customWidth="1"/>
    <col min="13" max="13" width="7.7109375" bestFit="1" customWidth="1"/>
    <col min="14" max="14" width="14.42578125" customWidth="1"/>
    <col min="15" max="15" width="29.42578125" customWidth="1"/>
    <col min="16" max="16" width="5.42578125" customWidth="1"/>
    <col min="17" max="17" width="35" customWidth="1"/>
    <col min="18" max="18" width="25.28515625" customWidth="1"/>
    <col min="19" max="19" width="5.42578125" customWidth="1"/>
    <col min="20" max="20" width="30.85546875" customWidth="1"/>
    <col min="21" max="21" width="14.42578125" customWidth="1"/>
    <col min="22" max="22" width="5.85546875" customWidth="1"/>
    <col min="23" max="23" width="11.140625" customWidth="1"/>
    <col min="24" max="24" width="5.85546875" customWidth="1"/>
    <col min="25" max="25" width="11.140625" customWidth="1"/>
    <col min="26" max="26" width="5.85546875" customWidth="1"/>
    <col min="27" max="27" width="11.140625" customWidth="1"/>
    <col min="28" max="28" width="5.85546875" customWidth="1"/>
    <col min="29" max="29" width="11.140625" customWidth="1"/>
    <col min="30" max="30" width="5.85546875" customWidth="1"/>
    <col min="31" max="31" width="11.140625" customWidth="1"/>
    <col min="32" max="32" width="5.85546875" customWidth="1"/>
    <col min="33" max="33" width="11.140625" customWidth="1"/>
    <col min="34" max="34" width="5.85546875" customWidth="1"/>
    <col min="35" max="35" width="11.140625" customWidth="1"/>
    <col min="36" max="36" width="5.85546875" customWidth="1"/>
    <col min="37" max="37" width="11.140625" customWidth="1"/>
    <col min="38" max="38" width="5.85546875" customWidth="1"/>
    <col min="39" max="39" width="11.140625" customWidth="1"/>
    <col min="40" max="40" width="5.85546875" customWidth="1"/>
    <col min="41" max="41" width="11.140625" customWidth="1"/>
    <col min="42" max="42" width="5.85546875" customWidth="1"/>
    <col min="43" max="43" width="11.140625" customWidth="1"/>
    <col min="44" max="44" width="5.85546875" customWidth="1"/>
    <col min="45" max="45" width="11.140625" customWidth="1"/>
    <col min="46" max="46" width="5.85546875" customWidth="1"/>
    <col min="47" max="47" width="11.140625" customWidth="1"/>
    <col min="48" max="48" width="5.85546875" customWidth="1"/>
    <col min="49" max="49" width="5.140625" customWidth="1"/>
    <col min="50" max="50" width="11.140625" customWidth="1"/>
    <col min="51" max="51" width="5.85546875" customWidth="1"/>
    <col min="52" max="52" width="11.140625" customWidth="1"/>
    <col min="53" max="53" width="5.85546875" customWidth="1"/>
    <col min="54" max="54" width="11.140625" customWidth="1"/>
    <col min="55" max="55" width="5.85546875" customWidth="1"/>
    <col min="56" max="56" width="11.140625" customWidth="1"/>
    <col min="57" max="57" width="5.85546875" customWidth="1"/>
    <col min="58" max="58" width="11.140625" customWidth="1"/>
    <col min="59" max="59" width="5.85546875" customWidth="1"/>
    <col min="60" max="60" width="11.140625" customWidth="1"/>
    <col min="61" max="61" width="5.85546875" customWidth="1"/>
    <col min="62" max="62" width="11.140625" customWidth="1"/>
    <col min="63" max="63" width="6.85546875" customWidth="1"/>
    <col min="64" max="64" width="12.140625" customWidth="1"/>
    <col min="65" max="65" width="6.85546875" customWidth="1"/>
    <col min="66" max="66" width="12.140625" customWidth="1"/>
    <col min="67" max="67" width="6.85546875" customWidth="1"/>
    <col min="68" max="68" width="12.140625" customWidth="1"/>
    <col min="69" max="69" width="6.85546875" customWidth="1"/>
    <col min="70" max="70" width="12.140625" customWidth="1"/>
    <col min="71" max="71" width="6.85546875" customWidth="1"/>
    <col min="72" max="72" width="12.140625" customWidth="1"/>
    <col min="73" max="73" width="6.85546875" customWidth="1"/>
    <col min="74" max="74" width="12.140625" customWidth="1"/>
    <col min="75" max="75" width="6.85546875" customWidth="1"/>
    <col min="76" max="76" width="12.140625" customWidth="1"/>
    <col min="77" max="77" width="6.85546875" customWidth="1"/>
    <col min="78" max="78" width="12.140625" customWidth="1"/>
    <col min="79" max="79" width="6.85546875" customWidth="1"/>
    <col min="80" max="80" width="12.140625" customWidth="1"/>
    <col min="81" max="81" width="6.85546875" customWidth="1"/>
    <col min="82" max="82" width="12.140625" customWidth="1"/>
    <col min="83" max="83" width="6.85546875" customWidth="1"/>
    <col min="84" max="84" width="12.140625" customWidth="1"/>
    <col min="85" max="85" width="6.85546875" customWidth="1"/>
    <col min="86" max="86" width="12.140625" customWidth="1"/>
    <col min="87" max="87" width="6.85546875" customWidth="1"/>
    <col min="88" max="88" width="12.140625" customWidth="1"/>
    <col min="89" max="89" width="6.85546875" customWidth="1"/>
    <col min="90" max="90" width="12.140625" customWidth="1"/>
    <col min="91" max="91" width="6.85546875" customWidth="1"/>
    <col min="92" max="92" width="12.140625" customWidth="1"/>
    <col min="93" max="93" width="6.85546875" customWidth="1"/>
    <col min="94" max="94" width="12.140625" customWidth="1"/>
    <col min="95" max="95" width="6.85546875" customWidth="1"/>
    <col min="96" max="96" width="5.140625" customWidth="1"/>
    <col min="97" max="97" width="12.140625" customWidth="1"/>
    <col min="98" max="98" width="6.85546875" customWidth="1"/>
    <col min="99" max="99" width="12.140625" bestFit="1" customWidth="1"/>
    <col min="100" max="100" width="6.85546875" customWidth="1"/>
    <col min="101" max="101" width="12.140625" bestFit="1" customWidth="1"/>
    <col min="102" max="102" width="6.85546875" customWidth="1"/>
    <col min="103" max="103" width="12.140625" bestFit="1" customWidth="1"/>
    <col min="104" max="104" width="5.42578125" customWidth="1"/>
    <col min="105" max="105" width="14.42578125" bestFit="1" customWidth="1"/>
  </cols>
  <sheetData>
    <row r="1" spans="1:20" s="49" customFormat="1" ht="24" thickTop="1" x14ac:dyDescent="0.35">
      <c r="A1" s="89" t="s">
        <v>161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3" spans="1:20" x14ac:dyDescent="0.25">
      <c r="B3" s="10" t="s">
        <v>167</v>
      </c>
      <c r="C3" t="s">
        <v>107</v>
      </c>
      <c r="D3" s="10" t="s">
        <v>12</v>
      </c>
      <c r="E3" t="s">
        <v>107</v>
      </c>
    </row>
    <row r="5" spans="1:20" x14ac:dyDescent="0.25">
      <c r="B5" s="67" t="s">
        <v>165</v>
      </c>
      <c r="C5" s="67"/>
      <c r="D5" s="67" t="s">
        <v>164</v>
      </c>
    </row>
    <row r="6" spans="1:20" x14ac:dyDescent="0.25">
      <c r="B6" s="11">
        <v>66</v>
      </c>
      <c r="D6" s="11">
        <v>138</v>
      </c>
    </row>
    <row r="7" spans="1:20" x14ac:dyDescent="0.25">
      <c r="A7" t="s">
        <v>166</v>
      </c>
      <c r="B7" s="66">
        <f>GETPIVOTDATA("Hypoteční úvěr",$B$5)/175</f>
        <v>0.37714285714285717</v>
      </c>
      <c r="C7" s="66"/>
      <c r="D7" s="66">
        <f>GETPIVOTDATA("Životní pojištění",$D$5)/175</f>
        <v>0.78857142857142859</v>
      </c>
    </row>
    <row r="10" spans="1:20" x14ac:dyDescent="0.25">
      <c r="A10" s="10" t="s">
        <v>168</v>
      </c>
      <c r="B10" t="s">
        <v>107</v>
      </c>
    </row>
    <row r="12" spans="1:20" x14ac:dyDescent="0.25">
      <c r="B12" s="32" t="s">
        <v>12</v>
      </c>
    </row>
    <row r="13" spans="1:20" x14ac:dyDescent="0.25">
      <c r="B13" s="28" t="s">
        <v>162</v>
      </c>
      <c r="C13" s="28" t="s">
        <v>163</v>
      </c>
      <c r="D13" s="28" t="s">
        <v>106</v>
      </c>
    </row>
    <row r="14" spans="1:20" x14ac:dyDescent="0.25">
      <c r="D14" s="28"/>
    </row>
    <row r="15" spans="1:20" x14ac:dyDescent="0.25">
      <c r="A15" t="s">
        <v>167</v>
      </c>
      <c r="B15" s="11">
        <v>54</v>
      </c>
      <c r="C15" s="11">
        <v>12</v>
      </c>
      <c r="D15" s="11">
        <v>66</v>
      </c>
    </row>
    <row r="17" spans="1:4" x14ac:dyDescent="0.25">
      <c r="A17" s="90" t="s">
        <v>176</v>
      </c>
      <c r="B17" s="90"/>
      <c r="C17" s="90"/>
      <c r="D17" s="66">
        <f>GETPIVOTDATA("Pojištěné osoby s uzavřeným hypotečním úvěrem",$A$12,"Životní pojištění2","Ano")/GETPIVOTDATA("Pojištěné osoby s uzavřeným hypotečním úvěrem",$A$12)</f>
        <v>0.81818181818181823</v>
      </c>
    </row>
    <row r="18" spans="1:4" x14ac:dyDescent="0.25">
      <c r="A18" s="90" t="s">
        <v>177</v>
      </c>
      <c r="B18" s="90"/>
      <c r="C18" s="90"/>
      <c r="D18" s="66">
        <f>100%-D17</f>
        <v>0.18181818181818177</v>
      </c>
    </row>
    <row r="20" spans="1:4" x14ac:dyDescent="0.25">
      <c r="A20" s="10" t="s">
        <v>173</v>
      </c>
      <c r="B20" t="s">
        <v>107</v>
      </c>
    </row>
    <row r="22" spans="1:4" x14ac:dyDescent="0.25">
      <c r="A22" s="10" t="s">
        <v>167</v>
      </c>
      <c r="B22" s="32" t="s">
        <v>12</v>
      </c>
    </row>
    <row r="23" spans="1:4" x14ac:dyDescent="0.25">
      <c r="B23" s="28" t="s">
        <v>162</v>
      </c>
      <c r="C23" s="28" t="s">
        <v>163</v>
      </c>
      <c r="D23" s="67" t="s">
        <v>106</v>
      </c>
    </row>
    <row r="24" spans="1:4" x14ac:dyDescent="0.25">
      <c r="A24" s="32" t="s">
        <v>0</v>
      </c>
      <c r="D24" s="67"/>
    </row>
    <row r="25" spans="1:4" x14ac:dyDescent="0.25">
      <c r="A25" s="76" t="s">
        <v>20</v>
      </c>
      <c r="B25" s="11">
        <v>28</v>
      </c>
      <c r="C25" s="11">
        <v>6</v>
      </c>
      <c r="D25" s="11">
        <v>34</v>
      </c>
    </row>
    <row r="26" spans="1:4" x14ac:dyDescent="0.25">
      <c r="A26" s="76" t="s">
        <v>19</v>
      </c>
      <c r="B26" s="11">
        <v>26</v>
      </c>
      <c r="C26" s="11">
        <v>6</v>
      </c>
      <c r="D26" s="11">
        <v>32</v>
      </c>
    </row>
    <row r="27" spans="1:4" x14ac:dyDescent="0.25">
      <c r="A27" s="75" t="s">
        <v>106</v>
      </c>
      <c r="B27" s="11">
        <v>54</v>
      </c>
      <c r="C27" s="11">
        <v>12</v>
      </c>
      <c r="D27" s="11">
        <v>66</v>
      </c>
    </row>
    <row r="29" spans="1:4" x14ac:dyDescent="0.25">
      <c r="A29" s="10" t="s">
        <v>174</v>
      </c>
      <c r="B29" t="s">
        <v>107</v>
      </c>
    </row>
    <row r="31" spans="1:4" x14ac:dyDescent="0.25">
      <c r="A31" s="10" t="s">
        <v>167</v>
      </c>
      <c r="B31" s="32" t="s">
        <v>12</v>
      </c>
    </row>
    <row r="32" spans="1:4" x14ac:dyDescent="0.25">
      <c r="B32" s="28" t="s">
        <v>162</v>
      </c>
      <c r="C32" s="28" t="s">
        <v>163</v>
      </c>
      <c r="D32" s="67" t="s">
        <v>106</v>
      </c>
    </row>
    <row r="33" spans="1:4" x14ac:dyDescent="0.25">
      <c r="A33" s="32" t="s">
        <v>67</v>
      </c>
      <c r="D33" s="67"/>
    </row>
    <row r="34" spans="1:4" x14ac:dyDescent="0.25">
      <c r="A34" s="75" t="s">
        <v>39</v>
      </c>
      <c r="B34" s="11">
        <v>1</v>
      </c>
      <c r="C34" s="11"/>
      <c r="D34" s="11">
        <v>1</v>
      </c>
    </row>
    <row r="35" spans="1:4" x14ac:dyDescent="0.25">
      <c r="A35" s="75" t="s">
        <v>38</v>
      </c>
      <c r="B35" s="11">
        <v>14</v>
      </c>
      <c r="C35" s="11">
        <v>1</v>
      </c>
      <c r="D35" s="11">
        <v>15</v>
      </c>
    </row>
    <row r="36" spans="1:4" x14ac:dyDescent="0.25">
      <c r="A36" s="75" t="s">
        <v>37</v>
      </c>
      <c r="B36" s="11">
        <v>39</v>
      </c>
      <c r="C36" s="11">
        <v>11</v>
      </c>
      <c r="D36" s="11">
        <v>50</v>
      </c>
    </row>
    <row r="37" spans="1:4" x14ac:dyDescent="0.25">
      <c r="A37" s="75" t="s">
        <v>106</v>
      </c>
      <c r="B37" s="11">
        <v>54</v>
      </c>
      <c r="C37" s="11">
        <v>12</v>
      </c>
      <c r="D37" s="11">
        <v>66</v>
      </c>
    </row>
    <row r="39" spans="1:4" x14ac:dyDescent="0.25">
      <c r="A39" s="10" t="s">
        <v>175</v>
      </c>
      <c r="B39" t="s">
        <v>107</v>
      </c>
    </row>
    <row r="41" spans="1:4" x14ac:dyDescent="0.25">
      <c r="A41" s="10" t="s">
        <v>167</v>
      </c>
      <c r="B41" s="32" t="s">
        <v>12</v>
      </c>
    </row>
    <row r="42" spans="1:4" x14ac:dyDescent="0.25">
      <c r="B42" s="28" t="s">
        <v>162</v>
      </c>
      <c r="C42" s="28" t="s">
        <v>163</v>
      </c>
      <c r="D42" s="67" t="s">
        <v>106</v>
      </c>
    </row>
    <row r="43" spans="1:4" x14ac:dyDescent="0.25">
      <c r="A43" s="32" t="s">
        <v>4</v>
      </c>
      <c r="D43" s="67"/>
    </row>
    <row r="44" spans="1:4" x14ac:dyDescent="0.25">
      <c r="A44" s="75" t="s">
        <v>169</v>
      </c>
      <c r="B44" s="71">
        <v>9</v>
      </c>
      <c r="C44" s="71">
        <v>2</v>
      </c>
      <c r="D44" s="71">
        <v>11</v>
      </c>
    </row>
    <row r="45" spans="1:4" x14ac:dyDescent="0.25">
      <c r="A45" s="75" t="s">
        <v>170</v>
      </c>
      <c r="B45" s="71">
        <v>25</v>
      </c>
      <c r="C45" s="71">
        <v>4</v>
      </c>
      <c r="D45" s="71">
        <v>29</v>
      </c>
    </row>
    <row r="46" spans="1:4" x14ac:dyDescent="0.25">
      <c r="A46" s="75" t="s">
        <v>171</v>
      </c>
      <c r="B46" s="71">
        <v>16</v>
      </c>
      <c r="C46" s="71">
        <v>4</v>
      </c>
      <c r="D46" s="71">
        <v>20</v>
      </c>
    </row>
    <row r="47" spans="1:4" x14ac:dyDescent="0.25">
      <c r="A47" s="75" t="s">
        <v>172</v>
      </c>
      <c r="B47" s="71">
        <v>4</v>
      </c>
      <c r="C47" s="71">
        <v>2</v>
      </c>
      <c r="D47" s="71">
        <v>6</v>
      </c>
    </row>
    <row r="48" spans="1:4" x14ac:dyDescent="0.25">
      <c r="A48" s="75" t="s">
        <v>106</v>
      </c>
      <c r="B48" s="71">
        <v>54</v>
      </c>
      <c r="C48" s="71">
        <v>12</v>
      </c>
      <c r="D48" s="71">
        <v>66</v>
      </c>
    </row>
  </sheetData>
  <mergeCells count="3">
    <mergeCell ref="A1:T1"/>
    <mergeCell ref="A17:C17"/>
    <mergeCell ref="A18:C18"/>
  </mergeCells>
  <pageMargins left="0.7" right="0.7" top="0.78740157499999996" bottom="0.78740157499999996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Celková databáze</vt:lpstr>
      <vt:lpstr>Základní souhrny údajů</vt:lpstr>
      <vt:lpstr>Identifikace fin. produktů</vt:lpstr>
      <vt:lpstr>Příjmy</vt:lpstr>
      <vt:lpstr>Výdaje</vt:lpstr>
      <vt:lpstr>Bilance</vt:lpstr>
      <vt:lpstr>Zajištění</vt:lpstr>
      <vt:lpstr>Zadlužení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zizka.jakub@email.cz</dc:creator>
  <cp:lastModifiedBy>Jakub</cp:lastModifiedBy>
  <cp:lastPrinted>2015-02-23T21:37:44Z</cp:lastPrinted>
  <dcterms:created xsi:type="dcterms:W3CDTF">2014-01-20T17:23:08Z</dcterms:created>
  <dcterms:modified xsi:type="dcterms:W3CDTF">2015-03-18T00:55:04Z</dcterms:modified>
</cp:coreProperties>
</file>