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autoCompressPictures="0"/>
  <bookViews>
    <workbookView xWindow="-80" yWindow="0" windowWidth="25600" windowHeight="15480"/>
  </bookViews>
  <sheets>
    <sheet name="France" sheetId="6" r:id="rId1"/>
    <sheet name="Germany" sheetId="10" r:id="rId2"/>
    <sheet name="Country Energy Mixes" sheetId="9" r:id="rId3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0" l="1"/>
  <c r="C9" i="6"/>
  <c r="C9" i="10"/>
  <c r="V5" i="6"/>
  <c r="AF5" i="6"/>
  <c r="J5" i="6"/>
  <c r="AC5" i="6"/>
  <c r="AD5" i="6"/>
  <c r="AE5" i="6"/>
  <c r="AG5" i="6"/>
  <c r="AJ5" i="6"/>
  <c r="V6" i="6"/>
  <c r="AF6" i="6"/>
  <c r="J6" i="6"/>
  <c r="AC6" i="6"/>
  <c r="AD6" i="6"/>
  <c r="AE6" i="6"/>
  <c r="AG6" i="6"/>
  <c r="AJ6" i="6"/>
  <c r="V7" i="6"/>
  <c r="AF7" i="6"/>
  <c r="J7" i="6"/>
  <c r="AC7" i="6"/>
  <c r="AD7" i="6"/>
  <c r="AE7" i="6"/>
  <c r="AG7" i="6"/>
  <c r="AJ7" i="6"/>
  <c r="V8" i="6"/>
  <c r="AF8" i="6"/>
  <c r="J8" i="6"/>
  <c r="AC8" i="6"/>
  <c r="AD8" i="6"/>
  <c r="AE8" i="6"/>
  <c r="AG8" i="6"/>
  <c r="AJ8" i="6"/>
  <c r="V9" i="6"/>
  <c r="AF9" i="6"/>
  <c r="J9" i="6"/>
  <c r="AC9" i="6"/>
  <c r="AD9" i="6"/>
  <c r="AE9" i="6"/>
  <c r="AG9" i="6"/>
  <c r="AJ9" i="6"/>
  <c r="V10" i="6"/>
  <c r="AF10" i="6"/>
  <c r="J10" i="6"/>
  <c r="AC10" i="6"/>
  <c r="AD10" i="6"/>
  <c r="AE10" i="6"/>
  <c r="AG10" i="6"/>
  <c r="AJ10" i="6"/>
  <c r="V11" i="6"/>
  <c r="AF11" i="6"/>
  <c r="J11" i="6"/>
  <c r="AC11" i="6"/>
  <c r="AD11" i="6"/>
  <c r="AE11" i="6"/>
  <c r="AG11" i="6"/>
  <c r="AJ11" i="6"/>
  <c r="V12" i="6"/>
  <c r="AF12" i="6"/>
  <c r="J12" i="6"/>
  <c r="AC12" i="6"/>
  <c r="AD12" i="6"/>
  <c r="AE12" i="6"/>
  <c r="AG12" i="6"/>
  <c r="AJ12" i="6"/>
  <c r="V13" i="6"/>
  <c r="AF13" i="6"/>
  <c r="J13" i="6"/>
  <c r="AC13" i="6"/>
  <c r="AD13" i="6"/>
  <c r="AE13" i="6"/>
  <c r="AG13" i="6"/>
  <c r="AJ13" i="6"/>
  <c r="V14" i="6"/>
  <c r="AF14" i="6"/>
  <c r="J14" i="6"/>
  <c r="AC14" i="6"/>
  <c r="AD14" i="6"/>
  <c r="AE14" i="6"/>
  <c r="AG14" i="6"/>
  <c r="AJ14" i="6"/>
  <c r="V15" i="6"/>
  <c r="AF15" i="6"/>
  <c r="J15" i="6"/>
  <c r="AC15" i="6"/>
  <c r="AD15" i="6"/>
  <c r="AE15" i="6"/>
  <c r="AG15" i="6"/>
  <c r="AJ15" i="6"/>
  <c r="V16" i="6"/>
  <c r="AF16" i="6"/>
  <c r="J16" i="6"/>
  <c r="AC16" i="6"/>
  <c r="AD16" i="6"/>
  <c r="AE16" i="6"/>
  <c r="AG16" i="6"/>
  <c r="AJ16" i="6"/>
  <c r="V17" i="6"/>
  <c r="AF17" i="6"/>
  <c r="D39" i="6"/>
  <c r="J17" i="6"/>
  <c r="AC17" i="6"/>
  <c r="AD17" i="6"/>
  <c r="AE17" i="6"/>
  <c r="AG17" i="6"/>
  <c r="AJ17" i="6"/>
  <c r="V18" i="6"/>
  <c r="AF18" i="6"/>
  <c r="J18" i="6"/>
  <c r="AC18" i="6"/>
  <c r="AD18" i="6"/>
  <c r="AE18" i="6"/>
  <c r="AG18" i="6"/>
  <c r="AJ18" i="6"/>
  <c r="V19" i="6"/>
  <c r="AF19" i="6"/>
  <c r="J19" i="6"/>
  <c r="AC19" i="6"/>
  <c r="AD19" i="6"/>
  <c r="AE19" i="6"/>
  <c r="AG19" i="6"/>
  <c r="AJ19" i="6"/>
  <c r="V20" i="6"/>
  <c r="AF20" i="6"/>
  <c r="J20" i="6"/>
  <c r="AC20" i="6"/>
  <c r="AD20" i="6"/>
  <c r="AE20" i="6"/>
  <c r="AG20" i="6"/>
  <c r="AJ20" i="6"/>
  <c r="V21" i="6"/>
  <c r="AF21" i="6"/>
  <c r="J21" i="6"/>
  <c r="AC21" i="6"/>
  <c r="AD21" i="6"/>
  <c r="AE21" i="6"/>
  <c r="AG21" i="6"/>
  <c r="AJ21" i="6"/>
  <c r="V22" i="6"/>
  <c r="AF22" i="6"/>
  <c r="J22" i="6"/>
  <c r="AC22" i="6"/>
  <c r="AD22" i="6"/>
  <c r="AE22" i="6"/>
  <c r="AG22" i="6"/>
  <c r="AJ22" i="6"/>
  <c r="V23" i="6"/>
  <c r="AF23" i="6"/>
  <c r="J23" i="6"/>
  <c r="AC23" i="6"/>
  <c r="AD23" i="6"/>
  <c r="AE23" i="6"/>
  <c r="AG23" i="6"/>
  <c r="AJ23" i="6"/>
  <c r="V24" i="6"/>
  <c r="AF24" i="6"/>
  <c r="J24" i="6"/>
  <c r="AC24" i="6"/>
  <c r="AD24" i="6"/>
  <c r="AE24" i="6"/>
  <c r="AG24" i="6"/>
  <c r="AJ24" i="6"/>
  <c r="V25" i="6"/>
  <c r="AF25" i="6"/>
  <c r="J25" i="6"/>
  <c r="AC25" i="6"/>
  <c r="AD25" i="6"/>
  <c r="AE25" i="6"/>
  <c r="AG25" i="6"/>
  <c r="AJ25" i="6"/>
  <c r="V26" i="6"/>
  <c r="AF26" i="6"/>
  <c r="J26" i="6"/>
  <c r="AC26" i="6"/>
  <c r="AD26" i="6"/>
  <c r="AE26" i="6"/>
  <c r="AG26" i="6"/>
  <c r="AJ26" i="6"/>
  <c r="V27" i="6"/>
  <c r="AF27" i="6"/>
  <c r="J27" i="6"/>
  <c r="AC27" i="6"/>
  <c r="AD27" i="6"/>
  <c r="AE27" i="6"/>
  <c r="AG27" i="6"/>
  <c r="AJ27" i="6"/>
  <c r="V28" i="6"/>
  <c r="AF28" i="6"/>
  <c r="J28" i="6"/>
  <c r="AC28" i="6"/>
  <c r="AD28" i="6"/>
  <c r="AE28" i="6"/>
  <c r="AG28" i="6"/>
  <c r="AJ28" i="6"/>
  <c r="V29" i="6"/>
  <c r="AF29" i="6"/>
  <c r="D40" i="6"/>
  <c r="J29" i="6"/>
  <c r="AC29" i="6"/>
  <c r="AD29" i="6"/>
  <c r="AE29" i="6"/>
  <c r="AG29" i="6"/>
  <c r="AJ29" i="6"/>
  <c r="V30" i="6"/>
  <c r="AF30" i="6"/>
  <c r="J30" i="6"/>
  <c r="AC30" i="6"/>
  <c r="AD30" i="6"/>
  <c r="AE30" i="6"/>
  <c r="AG30" i="6"/>
  <c r="AJ30" i="6"/>
  <c r="V31" i="6"/>
  <c r="AF31" i="6"/>
  <c r="J31" i="6"/>
  <c r="AC31" i="6"/>
  <c r="AD31" i="6"/>
  <c r="AE31" i="6"/>
  <c r="AG31" i="6"/>
  <c r="AJ31" i="6"/>
  <c r="V32" i="6"/>
  <c r="AF32" i="6"/>
  <c r="J32" i="6"/>
  <c r="AC32" i="6"/>
  <c r="AD32" i="6"/>
  <c r="AE32" i="6"/>
  <c r="AG32" i="6"/>
  <c r="AJ32" i="6"/>
  <c r="V33" i="6"/>
  <c r="AF33" i="6"/>
  <c r="J33" i="6"/>
  <c r="AC33" i="6"/>
  <c r="AD33" i="6"/>
  <c r="AE33" i="6"/>
  <c r="AG33" i="6"/>
  <c r="AJ33" i="6"/>
  <c r="V34" i="6"/>
  <c r="AF34" i="6"/>
  <c r="J34" i="6"/>
  <c r="AC34" i="6"/>
  <c r="AD34" i="6"/>
  <c r="AE34" i="6"/>
  <c r="AG34" i="6"/>
  <c r="AJ34" i="6"/>
  <c r="V35" i="6"/>
  <c r="AF35" i="6"/>
  <c r="J35" i="6"/>
  <c r="AC35" i="6"/>
  <c r="AD35" i="6"/>
  <c r="AE35" i="6"/>
  <c r="AG35" i="6"/>
  <c r="AJ35" i="6"/>
  <c r="V36" i="6"/>
  <c r="AF36" i="6"/>
  <c r="J36" i="6"/>
  <c r="AC36" i="6"/>
  <c r="AD36" i="6"/>
  <c r="AE36" i="6"/>
  <c r="AG36" i="6"/>
  <c r="AJ36" i="6"/>
  <c r="V37" i="6"/>
  <c r="AF37" i="6"/>
  <c r="J37" i="6"/>
  <c r="AC37" i="6"/>
  <c r="AD37" i="6"/>
  <c r="AE37" i="6"/>
  <c r="AG37" i="6"/>
  <c r="AJ37" i="6"/>
  <c r="V38" i="6"/>
  <c r="AF38" i="6"/>
  <c r="J38" i="6"/>
  <c r="AC38" i="6"/>
  <c r="AD38" i="6"/>
  <c r="AE38" i="6"/>
  <c r="AG38" i="6"/>
  <c r="AJ38" i="6"/>
  <c r="V39" i="6"/>
  <c r="AF39" i="6"/>
  <c r="J39" i="6"/>
  <c r="AC39" i="6"/>
  <c r="AD39" i="6"/>
  <c r="AE39" i="6"/>
  <c r="AG39" i="6"/>
  <c r="AJ39" i="6"/>
  <c r="V40" i="6"/>
  <c r="AF40" i="6"/>
  <c r="J40" i="6"/>
  <c r="AC40" i="6"/>
  <c r="AD40" i="6"/>
  <c r="AE40" i="6"/>
  <c r="AG40" i="6"/>
  <c r="AJ40" i="6"/>
  <c r="V41" i="6"/>
  <c r="AF41" i="6"/>
  <c r="D41" i="6"/>
  <c r="J41" i="6"/>
  <c r="AC41" i="6"/>
  <c r="AD41" i="6"/>
  <c r="AE41" i="6"/>
  <c r="AG41" i="6"/>
  <c r="AJ41" i="6"/>
  <c r="V42" i="6"/>
  <c r="AF42" i="6"/>
  <c r="J42" i="6"/>
  <c r="AC42" i="6"/>
  <c r="AD42" i="6"/>
  <c r="AE42" i="6"/>
  <c r="AG42" i="6"/>
  <c r="AJ42" i="6"/>
  <c r="V43" i="6"/>
  <c r="AF43" i="6"/>
  <c r="J43" i="6"/>
  <c r="AC43" i="6"/>
  <c r="AD43" i="6"/>
  <c r="AE43" i="6"/>
  <c r="AG43" i="6"/>
  <c r="AJ43" i="6"/>
  <c r="V44" i="6"/>
  <c r="AF44" i="6"/>
  <c r="J44" i="6"/>
  <c r="AC44" i="6"/>
  <c r="AD44" i="6"/>
  <c r="AE44" i="6"/>
  <c r="AG44" i="6"/>
  <c r="AJ44" i="6"/>
  <c r="V45" i="6"/>
  <c r="AF45" i="6"/>
  <c r="J45" i="6"/>
  <c r="AC45" i="6"/>
  <c r="AD45" i="6"/>
  <c r="AE45" i="6"/>
  <c r="AG45" i="6"/>
  <c r="AJ45" i="6"/>
  <c r="V46" i="6"/>
  <c r="AF46" i="6"/>
  <c r="J46" i="6"/>
  <c r="AC46" i="6"/>
  <c r="AD46" i="6"/>
  <c r="AE46" i="6"/>
  <c r="AG46" i="6"/>
  <c r="AJ46" i="6"/>
  <c r="V47" i="6"/>
  <c r="AF47" i="6"/>
  <c r="J47" i="6"/>
  <c r="AC47" i="6"/>
  <c r="AD47" i="6"/>
  <c r="AE47" i="6"/>
  <c r="AG47" i="6"/>
  <c r="AJ47" i="6"/>
  <c r="V48" i="6"/>
  <c r="AF48" i="6"/>
  <c r="J48" i="6"/>
  <c r="AC48" i="6"/>
  <c r="AD48" i="6"/>
  <c r="AE48" i="6"/>
  <c r="AG48" i="6"/>
  <c r="AJ48" i="6"/>
  <c r="V49" i="6"/>
  <c r="AF49" i="6"/>
  <c r="J49" i="6"/>
  <c r="AC49" i="6"/>
  <c r="AD49" i="6"/>
  <c r="AE49" i="6"/>
  <c r="AG49" i="6"/>
  <c r="AJ49" i="6"/>
  <c r="V50" i="6"/>
  <c r="AF50" i="6"/>
  <c r="J50" i="6"/>
  <c r="AC50" i="6"/>
  <c r="AD50" i="6"/>
  <c r="AE50" i="6"/>
  <c r="AG50" i="6"/>
  <c r="AJ50" i="6"/>
  <c r="V51" i="6"/>
  <c r="AF51" i="6"/>
  <c r="J51" i="6"/>
  <c r="AC51" i="6"/>
  <c r="AD51" i="6"/>
  <c r="AE51" i="6"/>
  <c r="AG51" i="6"/>
  <c r="AJ51" i="6"/>
  <c r="V52" i="6"/>
  <c r="AF52" i="6"/>
  <c r="J52" i="6"/>
  <c r="AC52" i="6"/>
  <c r="AD52" i="6"/>
  <c r="AE52" i="6"/>
  <c r="AG52" i="6"/>
  <c r="AJ52" i="6"/>
  <c r="V53" i="6"/>
  <c r="AF53" i="6"/>
  <c r="D42" i="6"/>
  <c r="J53" i="6"/>
  <c r="AC53" i="6"/>
  <c r="AD53" i="6"/>
  <c r="AE53" i="6"/>
  <c r="AG53" i="6"/>
  <c r="AJ53" i="6"/>
  <c r="V54" i="6"/>
  <c r="AF54" i="6"/>
  <c r="J54" i="6"/>
  <c r="AC54" i="6"/>
  <c r="AD54" i="6"/>
  <c r="AE54" i="6"/>
  <c r="AG54" i="6"/>
  <c r="AJ54" i="6"/>
  <c r="V55" i="6"/>
  <c r="AF55" i="6"/>
  <c r="J55" i="6"/>
  <c r="AC55" i="6"/>
  <c r="AD55" i="6"/>
  <c r="AE55" i="6"/>
  <c r="AG55" i="6"/>
  <c r="AJ55" i="6"/>
  <c r="V56" i="6"/>
  <c r="AF56" i="6"/>
  <c r="J56" i="6"/>
  <c r="AC56" i="6"/>
  <c r="AD56" i="6"/>
  <c r="AE56" i="6"/>
  <c r="AG56" i="6"/>
  <c r="AJ56" i="6"/>
  <c r="V57" i="6"/>
  <c r="AF57" i="6"/>
  <c r="J57" i="6"/>
  <c r="AC57" i="6"/>
  <c r="AD57" i="6"/>
  <c r="AE57" i="6"/>
  <c r="AG57" i="6"/>
  <c r="AJ57" i="6"/>
  <c r="V58" i="6"/>
  <c r="AF58" i="6"/>
  <c r="J58" i="6"/>
  <c r="AC58" i="6"/>
  <c r="AD58" i="6"/>
  <c r="AE58" i="6"/>
  <c r="AG58" i="6"/>
  <c r="AJ58" i="6"/>
  <c r="V59" i="6"/>
  <c r="AF59" i="6"/>
  <c r="J59" i="6"/>
  <c r="AC59" i="6"/>
  <c r="AD59" i="6"/>
  <c r="AE59" i="6"/>
  <c r="AG59" i="6"/>
  <c r="AJ59" i="6"/>
  <c r="V60" i="6"/>
  <c r="AF60" i="6"/>
  <c r="J60" i="6"/>
  <c r="AC60" i="6"/>
  <c r="AD60" i="6"/>
  <c r="AE60" i="6"/>
  <c r="AG60" i="6"/>
  <c r="AJ60" i="6"/>
  <c r="V61" i="6"/>
  <c r="AF61" i="6"/>
  <c r="J61" i="6"/>
  <c r="AC61" i="6"/>
  <c r="AD61" i="6"/>
  <c r="AE61" i="6"/>
  <c r="AG61" i="6"/>
  <c r="AJ61" i="6"/>
  <c r="V62" i="6"/>
  <c r="AF62" i="6"/>
  <c r="J62" i="6"/>
  <c r="AC62" i="6"/>
  <c r="AD62" i="6"/>
  <c r="AE62" i="6"/>
  <c r="AG62" i="6"/>
  <c r="AJ62" i="6"/>
  <c r="V63" i="6"/>
  <c r="AF63" i="6"/>
  <c r="J63" i="6"/>
  <c r="AC63" i="6"/>
  <c r="AD63" i="6"/>
  <c r="AE63" i="6"/>
  <c r="AG63" i="6"/>
  <c r="AJ63" i="6"/>
  <c r="V64" i="6"/>
  <c r="AF64" i="6"/>
  <c r="J64" i="6"/>
  <c r="AC64" i="6"/>
  <c r="AD64" i="6"/>
  <c r="AE64" i="6"/>
  <c r="AG64" i="6"/>
  <c r="AJ64" i="6"/>
  <c r="V65" i="6"/>
  <c r="AF65" i="6"/>
  <c r="D43" i="6"/>
  <c r="J65" i="6"/>
  <c r="AC65" i="6"/>
  <c r="AD65" i="6"/>
  <c r="AE65" i="6"/>
  <c r="AG65" i="6"/>
  <c r="AJ65" i="6"/>
  <c r="V66" i="6"/>
  <c r="AF66" i="6"/>
  <c r="J66" i="6"/>
  <c r="AC66" i="6"/>
  <c r="AD66" i="6"/>
  <c r="AE66" i="6"/>
  <c r="AG66" i="6"/>
  <c r="AJ66" i="6"/>
  <c r="V67" i="6"/>
  <c r="AF67" i="6"/>
  <c r="J67" i="6"/>
  <c r="AC67" i="6"/>
  <c r="AD67" i="6"/>
  <c r="AE67" i="6"/>
  <c r="AG67" i="6"/>
  <c r="AJ67" i="6"/>
  <c r="V68" i="6"/>
  <c r="AF68" i="6"/>
  <c r="J68" i="6"/>
  <c r="AC68" i="6"/>
  <c r="AD68" i="6"/>
  <c r="AE68" i="6"/>
  <c r="AG68" i="6"/>
  <c r="AJ68" i="6"/>
  <c r="V69" i="6"/>
  <c r="AF69" i="6"/>
  <c r="J69" i="6"/>
  <c r="AC69" i="6"/>
  <c r="AD69" i="6"/>
  <c r="AE69" i="6"/>
  <c r="AG69" i="6"/>
  <c r="AJ69" i="6"/>
  <c r="V70" i="6"/>
  <c r="AF70" i="6"/>
  <c r="J70" i="6"/>
  <c r="AC70" i="6"/>
  <c r="AD70" i="6"/>
  <c r="AE70" i="6"/>
  <c r="AG70" i="6"/>
  <c r="AJ70" i="6"/>
  <c r="V71" i="6"/>
  <c r="AF71" i="6"/>
  <c r="J71" i="6"/>
  <c r="AC71" i="6"/>
  <c r="AD71" i="6"/>
  <c r="AE71" i="6"/>
  <c r="AG71" i="6"/>
  <c r="AJ71" i="6"/>
  <c r="V72" i="6"/>
  <c r="AF72" i="6"/>
  <c r="J72" i="6"/>
  <c r="AC72" i="6"/>
  <c r="AD72" i="6"/>
  <c r="AE72" i="6"/>
  <c r="AG72" i="6"/>
  <c r="AJ72" i="6"/>
  <c r="V73" i="6"/>
  <c r="AF73" i="6"/>
  <c r="J73" i="6"/>
  <c r="AC73" i="6"/>
  <c r="AD73" i="6"/>
  <c r="AE73" i="6"/>
  <c r="AG73" i="6"/>
  <c r="AJ73" i="6"/>
  <c r="V74" i="6"/>
  <c r="AF74" i="6"/>
  <c r="J74" i="6"/>
  <c r="AC74" i="6"/>
  <c r="AD74" i="6"/>
  <c r="AE74" i="6"/>
  <c r="AG74" i="6"/>
  <c r="AJ74" i="6"/>
  <c r="V75" i="6"/>
  <c r="AF75" i="6"/>
  <c r="J75" i="6"/>
  <c r="AC75" i="6"/>
  <c r="AD75" i="6"/>
  <c r="AE75" i="6"/>
  <c r="AG75" i="6"/>
  <c r="AJ75" i="6"/>
  <c r="V76" i="6"/>
  <c r="AF76" i="6"/>
  <c r="J76" i="6"/>
  <c r="AC76" i="6"/>
  <c r="AD76" i="6"/>
  <c r="AE76" i="6"/>
  <c r="AG76" i="6"/>
  <c r="AJ76" i="6"/>
  <c r="V77" i="6"/>
  <c r="AF77" i="6"/>
  <c r="D44" i="6"/>
  <c r="J77" i="6"/>
  <c r="AC77" i="6"/>
  <c r="AD77" i="6"/>
  <c r="AE77" i="6"/>
  <c r="AG77" i="6"/>
  <c r="AJ77" i="6"/>
  <c r="V78" i="6"/>
  <c r="AF78" i="6"/>
  <c r="J78" i="6"/>
  <c r="AC78" i="6"/>
  <c r="AD78" i="6"/>
  <c r="AE78" i="6"/>
  <c r="AG78" i="6"/>
  <c r="AJ78" i="6"/>
  <c r="V79" i="6"/>
  <c r="AF79" i="6"/>
  <c r="J79" i="6"/>
  <c r="AC79" i="6"/>
  <c r="AD79" i="6"/>
  <c r="AE79" i="6"/>
  <c r="AG79" i="6"/>
  <c r="AJ79" i="6"/>
  <c r="V80" i="6"/>
  <c r="AF80" i="6"/>
  <c r="J80" i="6"/>
  <c r="AC80" i="6"/>
  <c r="AD80" i="6"/>
  <c r="AE80" i="6"/>
  <c r="AG80" i="6"/>
  <c r="AJ80" i="6"/>
  <c r="V81" i="6"/>
  <c r="AF81" i="6"/>
  <c r="J81" i="6"/>
  <c r="AC81" i="6"/>
  <c r="AD81" i="6"/>
  <c r="AE81" i="6"/>
  <c r="AG81" i="6"/>
  <c r="AJ81" i="6"/>
  <c r="V82" i="6"/>
  <c r="AF82" i="6"/>
  <c r="J82" i="6"/>
  <c r="AC82" i="6"/>
  <c r="AD82" i="6"/>
  <c r="AE82" i="6"/>
  <c r="AG82" i="6"/>
  <c r="AJ82" i="6"/>
  <c r="V83" i="6"/>
  <c r="AF83" i="6"/>
  <c r="J83" i="6"/>
  <c r="AC83" i="6"/>
  <c r="AD83" i="6"/>
  <c r="AE83" i="6"/>
  <c r="AG83" i="6"/>
  <c r="AJ83" i="6"/>
  <c r="V84" i="6"/>
  <c r="AF84" i="6"/>
  <c r="J84" i="6"/>
  <c r="AC84" i="6"/>
  <c r="AD84" i="6"/>
  <c r="AE84" i="6"/>
  <c r="AG84" i="6"/>
  <c r="AJ84" i="6"/>
  <c r="V85" i="6"/>
  <c r="AF85" i="6"/>
  <c r="J85" i="6"/>
  <c r="AC85" i="6"/>
  <c r="AD85" i="6"/>
  <c r="AE85" i="6"/>
  <c r="AG85" i="6"/>
  <c r="AJ85" i="6"/>
  <c r="V86" i="6"/>
  <c r="AF86" i="6"/>
  <c r="J86" i="6"/>
  <c r="AC86" i="6"/>
  <c r="AD86" i="6"/>
  <c r="AE86" i="6"/>
  <c r="AG86" i="6"/>
  <c r="AJ86" i="6"/>
  <c r="V87" i="6"/>
  <c r="AF87" i="6"/>
  <c r="J87" i="6"/>
  <c r="AC87" i="6"/>
  <c r="AD87" i="6"/>
  <c r="AE87" i="6"/>
  <c r="AG87" i="6"/>
  <c r="AJ87" i="6"/>
  <c r="V88" i="6"/>
  <c r="AF88" i="6"/>
  <c r="J88" i="6"/>
  <c r="AC88" i="6"/>
  <c r="AD88" i="6"/>
  <c r="AE88" i="6"/>
  <c r="AG88" i="6"/>
  <c r="AJ88" i="6"/>
  <c r="V89" i="6"/>
  <c r="AF89" i="6"/>
  <c r="D45" i="6"/>
  <c r="J89" i="6"/>
  <c r="AC89" i="6"/>
  <c r="AD89" i="6"/>
  <c r="AE89" i="6"/>
  <c r="AG89" i="6"/>
  <c r="AJ89" i="6"/>
  <c r="V90" i="6"/>
  <c r="AF90" i="6"/>
  <c r="J90" i="6"/>
  <c r="AC90" i="6"/>
  <c r="AD90" i="6"/>
  <c r="AE90" i="6"/>
  <c r="AG90" i="6"/>
  <c r="AJ90" i="6"/>
  <c r="V91" i="6"/>
  <c r="AF91" i="6"/>
  <c r="J91" i="6"/>
  <c r="AC91" i="6"/>
  <c r="AD91" i="6"/>
  <c r="AE91" i="6"/>
  <c r="AG91" i="6"/>
  <c r="AJ91" i="6"/>
  <c r="V92" i="6"/>
  <c r="AF92" i="6"/>
  <c r="J92" i="6"/>
  <c r="AC92" i="6"/>
  <c r="AD92" i="6"/>
  <c r="AE92" i="6"/>
  <c r="AG92" i="6"/>
  <c r="AJ92" i="6"/>
  <c r="V93" i="6"/>
  <c r="AF93" i="6"/>
  <c r="J93" i="6"/>
  <c r="AC93" i="6"/>
  <c r="AD93" i="6"/>
  <c r="AE93" i="6"/>
  <c r="AG93" i="6"/>
  <c r="AJ93" i="6"/>
  <c r="V94" i="6"/>
  <c r="AF94" i="6"/>
  <c r="J94" i="6"/>
  <c r="AC94" i="6"/>
  <c r="AD94" i="6"/>
  <c r="AE94" i="6"/>
  <c r="AG94" i="6"/>
  <c r="AJ94" i="6"/>
  <c r="V95" i="6"/>
  <c r="AF95" i="6"/>
  <c r="J95" i="6"/>
  <c r="AC95" i="6"/>
  <c r="AD95" i="6"/>
  <c r="AE95" i="6"/>
  <c r="AG95" i="6"/>
  <c r="AJ95" i="6"/>
  <c r="V96" i="6"/>
  <c r="AF96" i="6"/>
  <c r="J96" i="6"/>
  <c r="AC96" i="6"/>
  <c r="AD96" i="6"/>
  <c r="AE96" i="6"/>
  <c r="AG96" i="6"/>
  <c r="AJ96" i="6"/>
  <c r="V97" i="6"/>
  <c r="AF97" i="6"/>
  <c r="J97" i="6"/>
  <c r="AC97" i="6"/>
  <c r="AD97" i="6"/>
  <c r="AE97" i="6"/>
  <c r="AG97" i="6"/>
  <c r="AJ97" i="6"/>
  <c r="V98" i="6"/>
  <c r="AF98" i="6"/>
  <c r="J98" i="6"/>
  <c r="AC98" i="6"/>
  <c r="AD98" i="6"/>
  <c r="AE98" i="6"/>
  <c r="AG98" i="6"/>
  <c r="AJ98" i="6"/>
  <c r="V99" i="6"/>
  <c r="AF99" i="6"/>
  <c r="J99" i="6"/>
  <c r="AC99" i="6"/>
  <c r="AD99" i="6"/>
  <c r="AE99" i="6"/>
  <c r="AG99" i="6"/>
  <c r="AJ99" i="6"/>
  <c r="V100" i="6"/>
  <c r="AF100" i="6"/>
  <c r="J100" i="6"/>
  <c r="AC100" i="6"/>
  <c r="AD100" i="6"/>
  <c r="AE100" i="6"/>
  <c r="AG100" i="6"/>
  <c r="AJ100" i="6"/>
  <c r="V101" i="6"/>
  <c r="AF101" i="6"/>
  <c r="D46" i="6"/>
  <c r="J101" i="6"/>
  <c r="AC101" i="6"/>
  <c r="AD101" i="6"/>
  <c r="AE101" i="6"/>
  <c r="AG101" i="6"/>
  <c r="AJ101" i="6"/>
  <c r="V102" i="6"/>
  <c r="AF102" i="6"/>
  <c r="J102" i="6"/>
  <c r="AC102" i="6"/>
  <c r="AD102" i="6"/>
  <c r="AE102" i="6"/>
  <c r="AG102" i="6"/>
  <c r="AJ102" i="6"/>
  <c r="V103" i="6"/>
  <c r="AF103" i="6"/>
  <c r="J103" i="6"/>
  <c r="AC103" i="6"/>
  <c r="AD103" i="6"/>
  <c r="AE103" i="6"/>
  <c r="AG103" i="6"/>
  <c r="AJ103" i="6"/>
  <c r="V104" i="6"/>
  <c r="AF104" i="6"/>
  <c r="J104" i="6"/>
  <c r="AC104" i="6"/>
  <c r="AD104" i="6"/>
  <c r="AE104" i="6"/>
  <c r="AG104" i="6"/>
  <c r="AJ104" i="6"/>
  <c r="V105" i="6"/>
  <c r="AF105" i="6"/>
  <c r="J105" i="6"/>
  <c r="AC105" i="6"/>
  <c r="AD105" i="6"/>
  <c r="AE105" i="6"/>
  <c r="AG105" i="6"/>
  <c r="AJ105" i="6"/>
  <c r="V106" i="6"/>
  <c r="AF106" i="6"/>
  <c r="J106" i="6"/>
  <c r="AC106" i="6"/>
  <c r="AD106" i="6"/>
  <c r="AE106" i="6"/>
  <c r="AG106" i="6"/>
  <c r="AJ106" i="6"/>
  <c r="V107" i="6"/>
  <c r="AF107" i="6"/>
  <c r="J107" i="6"/>
  <c r="AC107" i="6"/>
  <c r="AD107" i="6"/>
  <c r="AE107" i="6"/>
  <c r="AG107" i="6"/>
  <c r="AJ107" i="6"/>
  <c r="V108" i="6"/>
  <c r="AF108" i="6"/>
  <c r="J108" i="6"/>
  <c r="AC108" i="6"/>
  <c r="AD108" i="6"/>
  <c r="AE108" i="6"/>
  <c r="AG108" i="6"/>
  <c r="AJ108" i="6"/>
  <c r="V109" i="6"/>
  <c r="AF109" i="6"/>
  <c r="J109" i="6"/>
  <c r="AC109" i="6"/>
  <c r="AD109" i="6"/>
  <c r="AE109" i="6"/>
  <c r="AG109" i="6"/>
  <c r="AJ109" i="6"/>
  <c r="V110" i="6"/>
  <c r="AF110" i="6"/>
  <c r="J110" i="6"/>
  <c r="AC110" i="6"/>
  <c r="AD110" i="6"/>
  <c r="AE110" i="6"/>
  <c r="AG110" i="6"/>
  <c r="AJ110" i="6"/>
  <c r="V111" i="6"/>
  <c r="AF111" i="6"/>
  <c r="J111" i="6"/>
  <c r="AC111" i="6"/>
  <c r="AD111" i="6"/>
  <c r="AE111" i="6"/>
  <c r="AG111" i="6"/>
  <c r="AJ111" i="6"/>
  <c r="V112" i="6"/>
  <c r="AF112" i="6"/>
  <c r="J112" i="6"/>
  <c r="AC112" i="6"/>
  <c r="AD112" i="6"/>
  <c r="AE112" i="6"/>
  <c r="AG112" i="6"/>
  <c r="AJ112" i="6"/>
  <c r="V113" i="6"/>
  <c r="AF113" i="6"/>
  <c r="D47" i="6"/>
  <c r="J113" i="6"/>
  <c r="AC113" i="6"/>
  <c r="AD113" i="6"/>
  <c r="AE113" i="6"/>
  <c r="AG113" i="6"/>
  <c r="AJ113" i="6"/>
  <c r="V114" i="6"/>
  <c r="AF114" i="6"/>
  <c r="J114" i="6"/>
  <c r="AC114" i="6"/>
  <c r="AD114" i="6"/>
  <c r="AE114" i="6"/>
  <c r="AG114" i="6"/>
  <c r="AJ114" i="6"/>
  <c r="V115" i="6"/>
  <c r="AF115" i="6"/>
  <c r="J115" i="6"/>
  <c r="AC115" i="6"/>
  <c r="AD115" i="6"/>
  <c r="AE115" i="6"/>
  <c r="AG115" i="6"/>
  <c r="AJ115" i="6"/>
  <c r="V116" i="6"/>
  <c r="AF116" i="6"/>
  <c r="J116" i="6"/>
  <c r="AC116" i="6"/>
  <c r="AD116" i="6"/>
  <c r="AE116" i="6"/>
  <c r="AG116" i="6"/>
  <c r="AJ116" i="6"/>
  <c r="V117" i="6"/>
  <c r="AF117" i="6"/>
  <c r="J117" i="6"/>
  <c r="AC117" i="6"/>
  <c r="AD117" i="6"/>
  <c r="AE117" i="6"/>
  <c r="AG117" i="6"/>
  <c r="AJ117" i="6"/>
  <c r="V118" i="6"/>
  <c r="AF118" i="6"/>
  <c r="J118" i="6"/>
  <c r="AC118" i="6"/>
  <c r="AD118" i="6"/>
  <c r="AE118" i="6"/>
  <c r="AG118" i="6"/>
  <c r="AJ118" i="6"/>
  <c r="V119" i="6"/>
  <c r="AF119" i="6"/>
  <c r="J119" i="6"/>
  <c r="AC119" i="6"/>
  <c r="AD119" i="6"/>
  <c r="AE119" i="6"/>
  <c r="AG119" i="6"/>
  <c r="AJ119" i="6"/>
  <c r="V120" i="6"/>
  <c r="AF120" i="6"/>
  <c r="J120" i="6"/>
  <c r="AC120" i="6"/>
  <c r="AD120" i="6"/>
  <c r="AE120" i="6"/>
  <c r="AG120" i="6"/>
  <c r="AJ120" i="6"/>
  <c r="V121" i="6"/>
  <c r="AF121" i="6"/>
  <c r="J121" i="6"/>
  <c r="AC121" i="6"/>
  <c r="AD121" i="6"/>
  <c r="AE121" i="6"/>
  <c r="AG121" i="6"/>
  <c r="AJ121" i="6"/>
  <c r="V122" i="6"/>
  <c r="AF122" i="6"/>
  <c r="J122" i="6"/>
  <c r="AC122" i="6"/>
  <c r="AD122" i="6"/>
  <c r="AE122" i="6"/>
  <c r="AG122" i="6"/>
  <c r="AJ122" i="6"/>
  <c r="V123" i="6"/>
  <c r="AF123" i="6"/>
  <c r="J123" i="6"/>
  <c r="AC123" i="6"/>
  <c r="AD123" i="6"/>
  <c r="AE123" i="6"/>
  <c r="AG123" i="6"/>
  <c r="AJ123" i="6"/>
  <c r="V124" i="6"/>
  <c r="AF124" i="6"/>
  <c r="J124" i="6"/>
  <c r="AC124" i="6"/>
  <c r="AD124" i="6"/>
  <c r="AE124" i="6"/>
  <c r="AG124" i="6"/>
  <c r="AJ124" i="6"/>
  <c r="M125" i="6"/>
  <c r="D48" i="6"/>
  <c r="J125" i="6"/>
  <c r="AC125" i="6"/>
  <c r="AD125" i="6"/>
  <c r="AE125" i="6"/>
  <c r="AG125" i="6"/>
  <c r="AJ125" i="6"/>
  <c r="M126" i="6"/>
  <c r="J126" i="6"/>
  <c r="AC126" i="6"/>
  <c r="AD126" i="6"/>
  <c r="AE126" i="6"/>
  <c r="AG126" i="6"/>
  <c r="AJ126" i="6"/>
  <c r="M127" i="6"/>
  <c r="J127" i="6"/>
  <c r="AC127" i="6"/>
  <c r="AD127" i="6"/>
  <c r="AE127" i="6"/>
  <c r="AG127" i="6"/>
  <c r="AJ127" i="6"/>
  <c r="M128" i="6"/>
  <c r="J128" i="6"/>
  <c r="AC128" i="6"/>
  <c r="AD128" i="6"/>
  <c r="AE128" i="6"/>
  <c r="AG128" i="6"/>
  <c r="AJ128" i="6"/>
  <c r="M129" i="6"/>
  <c r="J129" i="6"/>
  <c r="AC129" i="6"/>
  <c r="AD129" i="6"/>
  <c r="AE129" i="6"/>
  <c r="AG129" i="6"/>
  <c r="AJ129" i="6"/>
  <c r="M130" i="6"/>
  <c r="J130" i="6"/>
  <c r="AC130" i="6"/>
  <c r="AD130" i="6"/>
  <c r="AE130" i="6"/>
  <c r="AG130" i="6"/>
  <c r="AJ130" i="6"/>
  <c r="M131" i="6"/>
  <c r="J131" i="6"/>
  <c r="AC131" i="6"/>
  <c r="AD131" i="6"/>
  <c r="AE131" i="6"/>
  <c r="AG131" i="6"/>
  <c r="AJ131" i="6"/>
  <c r="M132" i="6"/>
  <c r="J132" i="6"/>
  <c r="AC132" i="6"/>
  <c r="AD132" i="6"/>
  <c r="AE132" i="6"/>
  <c r="AG132" i="6"/>
  <c r="AJ132" i="6"/>
  <c r="M133" i="6"/>
  <c r="J133" i="6"/>
  <c r="AC133" i="6"/>
  <c r="AD133" i="6"/>
  <c r="AE133" i="6"/>
  <c r="AG133" i="6"/>
  <c r="AJ133" i="6"/>
  <c r="M134" i="6"/>
  <c r="J134" i="6"/>
  <c r="AC134" i="6"/>
  <c r="AD134" i="6"/>
  <c r="AE134" i="6"/>
  <c r="AG134" i="6"/>
  <c r="AJ134" i="6"/>
  <c r="M135" i="6"/>
  <c r="J135" i="6"/>
  <c r="AC135" i="6"/>
  <c r="AD135" i="6"/>
  <c r="AE135" i="6"/>
  <c r="AG135" i="6"/>
  <c r="AJ135" i="6"/>
  <c r="M136" i="6"/>
  <c r="J136" i="6"/>
  <c r="AC136" i="6"/>
  <c r="AD136" i="6"/>
  <c r="AE136" i="6"/>
  <c r="AG136" i="6"/>
  <c r="AJ136" i="6"/>
  <c r="M137" i="6"/>
  <c r="D49" i="6"/>
  <c r="J137" i="6"/>
  <c r="AC137" i="6"/>
  <c r="AD137" i="6"/>
  <c r="AE137" i="6"/>
  <c r="AG137" i="6"/>
  <c r="AJ137" i="6"/>
  <c r="M138" i="6"/>
  <c r="J138" i="6"/>
  <c r="AC138" i="6"/>
  <c r="AD138" i="6"/>
  <c r="AE138" i="6"/>
  <c r="AG138" i="6"/>
  <c r="AJ138" i="6"/>
  <c r="M139" i="6"/>
  <c r="J139" i="6"/>
  <c r="AC139" i="6"/>
  <c r="AD139" i="6"/>
  <c r="AE139" i="6"/>
  <c r="AG139" i="6"/>
  <c r="AJ139" i="6"/>
  <c r="M140" i="6"/>
  <c r="J140" i="6"/>
  <c r="AC140" i="6"/>
  <c r="AD140" i="6"/>
  <c r="AE140" i="6"/>
  <c r="AG140" i="6"/>
  <c r="AJ140" i="6"/>
  <c r="M141" i="6"/>
  <c r="J141" i="6"/>
  <c r="AC141" i="6"/>
  <c r="AD141" i="6"/>
  <c r="AE141" i="6"/>
  <c r="AG141" i="6"/>
  <c r="AJ141" i="6"/>
  <c r="M142" i="6"/>
  <c r="J142" i="6"/>
  <c r="AC142" i="6"/>
  <c r="AD142" i="6"/>
  <c r="AE142" i="6"/>
  <c r="AG142" i="6"/>
  <c r="AJ142" i="6"/>
  <c r="M143" i="6"/>
  <c r="J143" i="6"/>
  <c r="AC143" i="6"/>
  <c r="AD143" i="6"/>
  <c r="AE143" i="6"/>
  <c r="AG143" i="6"/>
  <c r="AJ143" i="6"/>
  <c r="M144" i="6"/>
  <c r="J144" i="6"/>
  <c r="AC144" i="6"/>
  <c r="AD144" i="6"/>
  <c r="AE144" i="6"/>
  <c r="AG144" i="6"/>
  <c r="AJ144" i="6"/>
  <c r="M145" i="6"/>
  <c r="J145" i="6"/>
  <c r="AC145" i="6"/>
  <c r="AD145" i="6"/>
  <c r="AE145" i="6"/>
  <c r="AG145" i="6"/>
  <c r="AJ145" i="6"/>
  <c r="M146" i="6"/>
  <c r="J146" i="6"/>
  <c r="AC146" i="6"/>
  <c r="AD146" i="6"/>
  <c r="AE146" i="6"/>
  <c r="AG146" i="6"/>
  <c r="AJ146" i="6"/>
  <c r="M147" i="6"/>
  <c r="J147" i="6"/>
  <c r="AC147" i="6"/>
  <c r="AD147" i="6"/>
  <c r="AE147" i="6"/>
  <c r="AG147" i="6"/>
  <c r="AJ147" i="6"/>
  <c r="M148" i="6"/>
  <c r="J148" i="6"/>
  <c r="AC148" i="6"/>
  <c r="AD148" i="6"/>
  <c r="AE148" i="6"/>
  <c r="AG148" i="6"/>
  <c r="AJ148" i="6"/>
  <c r="M149" i="6"/>
  <c r="D50" i="6"/>
  <c r="J149" i="6"/>
  <c r="AC149" i="6"/>
  <c r="AD149" i="6"/>
  <c r="AE149" i="6"/>
  <c r="AG149" i="6"/>
  <c r="AJ149" i="6"/>
  <c r="M150" i="6"/>
  <c r="J150" i="6"/>
  <c r="AC150" i="6"/>
  <c r="AD150" i="6"/>
  <c r="AE150" i="6"/>
  <c r="AG150" i="6"/>
  <c r="AJ150" i="6"/>
  <c r="M151" i="6"/>
  <c r="J151" i="6"/>
  <c r="AC151" i="6"/>
  <c r="AD151" i="6"/>
  <c r="AE151" i="6"/>
  <c r="AG151" i="6"/>
  <c r="AJ151" i="6"/>
  <c r="M152" i="6"/>
  <c r="J152" i="6"/>
  <c r="AC152" i="6"/>
  <c r="AD152" i="6"/>
  <c r="AE152" i="6"/>
  <c r="AG152" i="6"/>
  <c r="AJ152" i="6"/>
  <c r="M153" i="6"/>
  <c r="J153" i="6"/>
  <c r="AC153" i="6"/>
  <c r="AD153" i="6"/>
  <c r="AE153" i="6"/>
  <c r="AG153" i="6"/>
  <c r="AJ153" i="6"/>
  <c r="M154" i="6"/>
  <c r="J154" i="6"/>
  <c r="AC154" i="6"/>
  <c r="AD154" i="6"/>
  <c r="AE154" i="6"/>
  <c r="AG154" i="6"/>
  <c r="AJ154" i="6"/>
  <c r="M155" i="6"/>
  <c r="J155" i="6"/>
  <c r="AC155" i="6"/>
  <c r="AD155" i="6"/>
  <c r="AE155" i="6"/>
  <c r="AG155" i="6"/>
  <c r="AJ155" i="6"/>
  <c r="M156" i="6"/>
  <c r="J156" i="6"/>
  <c r="AC156" i="6"/>
  <c r="AD156" i="6"/>
  <c r="AE156" i="6"/>
  <c r="AG156" i="6"/>
  <c r="AJ156" i="6"/>
  <c r="M157" i="6"/>
  <c r="J157" i="6"/>
  <c r="AC157" i="6"/>
  <c r="AD157" i="6"/>
  <c r="AE157" i="6"/>
  <c r="AG157" i="6"/>
  <c r="AJ157" i="6"/>
  <c r="M158" i="6"/>
  <c r="J158" i="6"/>
  <c r="AC158" i="6"/>
  <c r="AD158" i="6"/>
  <c r="AE158" i="6"/>
  <c r="AG158" i="6"/>
  <c r="AJ158" i="6"/>
  <c r="M159" i="6"/>
  <c r="J159" i="6"/>
  <c r="AC159" i="6"/>
  <c r="AD159" i="6"/>
  <c r="AE159" i="6"/>
  <c r="AG159" i="6"/>
  <c r="AJ159" i="6"/>
  <c r="M160" i="6"/>
  <c r="J160" i="6"/>
  <c r="AC160" i="6"/>
  <c r="AD160" i="6"/>
  <c r="AE160" i="6"/>
  <c r="AG160" i="6"/>
  <c r="AJ160" i="6"/>
  <c r="M161" i="6"/>
  <c r="D51" i="6"/>
  <c r="J161" i="6"/>
  <c r="AC161" i="6"/>
  <c r="AD161" i="6"/>
  <c r="AE161" i="6"/>
  <c r="AG161" i="6"/>
  <c r="AJ161" i="6"/>
  <c r="M162" i="6"/>
  <c r="J162" i="6"/>
  <c r="AC162" i="6"/>
  <c r="AD162" i="6"/>
  <c r="AE162" i="6"/>
  <c r="AG162" i="6"/>
  <c r="AJ162" i="6"/>
  <c r="M163" i="6"/>
  <c r="J163" i="6"/>
  <c r="AC163" i="6"/>
  <c r="AD163" i="6"/>
  <c r="AE163" i="6"/>
  <c r="AG163" i="6"/>
  <c r="AJ163" i="6"/>
  <c r="M164" i="6"/>
  <c r="J164" i="6"/>
  <c r="AC164" i="6"/>
  <c r="AD164" i="6"/>
  <c r="AE164" i="6"/>
  <c r="AG164" i="6"/>
  <c r="AJ164" i="6"/>
  <c r="M165" i="6"/>
  <c r="J165" i="6"/>
  <c r="AC165" i="6"/>
  <c r="AD165" i="6"/>
  <c r="AE165" i="6"/>
  <c r="AG165" i="6"/>
  <c r="AJ165" i="6"/>
  <c r="M166" i="6"/>
  <c r="J166" i="6"/>
  <c r="AC166" i="6"/>
  <c r="AD166" i="6"/>
  <c r="AE166" i="6"/>
  <c r="AG166" i="6"/>
  <c r="AJ166" i="6"/>
  <c r="M167" i="6"/>
  <c r="J167" i="6"/>
  <c r="AC167" i="6"/>
  <c r="AD167" i="6"/>
  <c r="AE167" i="6"/>
  <c r="AG167" i="6"/>
  <c r="AJ167" i="6"/>
  <c r="M168" i="6"/>
  <c r="J168" i="6"/>
  <c r="AC168" i="6"/>
  <c r="AD168" i="6"/>
  <c r="AE168" i="6"/>
  <c r="AG168" i="6"/>
  <c r="AJ168" i="6"/>
  <c r="M169" i="6"/>
  <c r="J169" i="6"/>
  <c r="AC169" i="6"/>
  <c r="AD169" i="6"/>
  <c r="AE169" i="6"/>
  <c r="AG169" i="6"/>
  <c r="AJ169" i="6"/>
  <c r="M170" i="6"/>
  <c r="J170" i="6"/>
  <c r="AC170" i="6"/>
  <c r="AD170" i="6"/>
  <c r="AE170" i="6"/>
  <c r="AG170" i="6"/>
  <c r="AJ170" i="6"/>
  <c r="M171" i="6"/>
  <c r="J171" i="6"/>
  <c r="AC171" i="6"/>
  <c r="AD171" i="6"/>
  <c r="AE171" i="6"/>
  <c r="AG171" i="6"/>
  <c r="AJ171" i="6"/>
  <c r="M172" i="6"/>
  <c r="J172" i="6"/>
  <c r="AC172" i="6"/>
  <c r="AD172" i="6"/>
  <c r="AE172" i="6"/>
  <c r="AG172" i="6"/>
  <c r="AJ172" i="6"/>
  <c r="M173" i="6"/>
  <c r="D52" i="6"/>
  <c r="J173" i="6"/>
  <c r="AC173" i="6"/>
  <c r="AD173" i="6"/>
  <c r="AE173" i="6"/>
  <c r="AG173" i="6"/>
  <c r="AJ173" i="6"/>
  <c r="M174" i="6"/>
  <c r="J174" i="6"/>
  <c r="AC174" i="6"/>
  <c r="AD174" i="6"/>
  <c r="AE174" i="6"/>
  <c r="AG174" i="6"/>
  <c r="AJ174" i="6"/>
  <c r="M175" i="6"/>
  <c r="J175" i="6"/>
  <c r="AC175" i="6"/>
  <c r="AD175" i="6"/>
  <c r="AE175" i="6"/>
  <c r="AG175" i="6"/>
  <c r="AJ175" i="6"/>
  <c r="M176" i="6"/>
  <c r="J176" i="6"/>
  <c r="AC176" i="6"/>
  <c r="AD176" i="6"/>
  <c r="AE176" i="6"/>
  <c r="AG176" i="6"/>
  <c r="AJ176" i="6"/>
  <c r="M177" i="6"/>
  <c r="J177" i="6"/>
  <c r="AC177" i="6"/>
  <c r="AD177" i="6"/>
  <c r="AE177" i="6"/>
  <c r="AG177" i="6"/>
  <c r="AJ177" i="6"/>
  <c r="M178" i="6"/>
  <c r="J178" i="6"/>
  <c r="AC178" i="6"/>
  <c r="AD178" i="6"/>
  <c r="AE178" i="6"/>
  <c r="AG178" i="6"/>
  <c r="AJ178" i="6"/>
  <c r="M179" i="6"/>
  <c r="J179" i="6"/>
  <c r="AC179" i="6"/>
  <c r="AD179" i="6"/>
  <c r="AE179" i="6"/>
  <c r="AG179" i="6"/>
  <c r="AJ179" i="6"/>
  <c r="M180" i="6"/>
  <c r="J180" i="6"/>
  <c r="AC180" i="6"/>
  <c r="AD180" i="6"/>
  <c r="AE180" i="6"/>
  <c r="AG180" i="6"/>
  <c r="AJ180" i="6"/>
  <c r="M181" i="6"/>
  <c r="J181" i="6"/>
  <c r="AC181" i="6"/>
  <c r="AD181" i="6"/>
  <c r="AE181" i="6"/>
  <c r="AG181" i="6"/>
  <c r="AJ181" i="6"/>
  <c r="M182" i="6"/>
  <c r="J182" i="6"/>
  <c r="AC182" i="6"/>
  <c r="AD182" i="6"/>
  <c r="AE182" i="6"/>
  <c r="AG182" i="6"/>
  <c r="AJ182" i="6"/>
  <c r="M183" i="6"/>
  <c r="J183" i="6"/>
  <c r="AC183" i="6"/>
  <c r="AD183" i="6"/>
  <c r="AE183" i="6"/>
  <c r="AG183" i="6"/>
  <c r="AJ183" i="6"/>
  <c r="M184" i="6"/>
  <c r="J184" i="6"/>
  <c r="AC184" i="6"/>
  <c r="AD184" i="6"/>
  <c r="AE184" i="6"/>
  <c r="AG184" i="6"/>
  <c r="AJ184" i="6"/>
  <c r="M185" i="6"/>
  <c r="D53" i="6"/>
  <c r="J185" i="6"/>
  <c r="AC185" i="6"/>
  <c r="AD185" i="6"/>
  <c r="AE185" i="6"/>
  <c r="AG185" i="6"/>
  <c r="AJ185" i="6"/>
  <c r="M186" i="6"/>
  <c r="J186" i="6"/>
  <c r="AC186" i="6"/>
  <c r="AD186" i="6"/>
  <c r="AE186" i="6"/>
  <c r="AG186" i="6"/>
  <c r="AJ186" i="6"/>
  <c r="M187" i="6"/>
  <c r="J187" i="6"/>
  <c r="AC187" i="6"/>
  <c r="AD187" i="6"/>
  <c r="AE187" i="6"/>
  <c r="AG187" i="6"/>
  <c r="AJ187" i="6"/>
  <c r="M188" i="6"/>
  <c r="J188" i="6"/>
  <c r="AC188" i="6"/>
  <c r="AD188" i="6"/>
  <c r="AE188" i="6"/>
  <c r="AG188" i="6"/>
  <c r="AJ188" i="6"/>
  <c r="M189" i="6"/>
  <c r="J189" i="6"/>
  <c r="AC189" i="6"/>
  <c r="AD189" i="6"/>
  <c r="AE189" i="6"/>
  <c r="AG189" i="6"/>
  <c r="AJ189" i="6"/>
  <c r="M190" i="6"/>
  <c r="J190" i="6"/>
  <c r="AC190" i="6"/>
  <c r="AD190" i="6"/>
  <c r="AE190" i="6"/>
  <c r="AG190" i="6"/>
  <c r="AJ190" i="6"/>
  <c r="M191" i="6"/>
  <c r="J191" i="6"/>
  <c r="AC191" i="6"/>
  <c r="AD191" i="6"/>
  <c r="AE191" i="6"/>
  <c r="AG191" i="6"/>
  <c r="AJ191" i="6"/>
  <c r="M192" i="6"/>
  <c r="J192" i="6"/>
  <c r="AC192" i="6"/>
  <c r="AD192" i="6"/>
  <c r="AE192" i="6"/>
  <c r="AG192" i="6"/>
  <c r="AJ192" i="6"/>
  <c r="M193" i="6"/>
  <c r="J193" i="6"/>
  <c r="AC193" i="6"/>
  <c r="AD193" i="6"/>
  <c r="AE193" i="6"/>
  <c r="AG193" i="6"/>
  <c r="AJ193" i="6"/>
  <c r="M194" i="6"/>
  <c r="J194" i="6"/>
  <c r="AC194" i="6"/>
  <c r="AD194" i="6"/>
  <c r="AE194" i="6"/>
  <c r="AG194" i="6"/>
  <c r="AJ194" i="6"/>
  <c r="M195" i="6"/>
  <c r="J195" i="6"/>
  <c r="AC195" i="6"/>
  <c r="AD195" i="6"/>
  <c r="AE195" i="6"/>
  <c r="AG195" i="6"/>
  <c r="AJ195" i="6"/>
  <c r="M196" i="6"/>
  <c r="J196" i="6"/>
  <c r="AC196" i="6"/>
  <c r="AD196" i="6"/>
  <c r="AE196" i="6"/>
  <c r="AG196" i="6"/>
  <c r="AJ196" i="6"/>
  <c r="M197" i="6"/>
  <c r="D54" i="6"/>
  <c r="J197" i="6"/>
  <c r="AC197" i="6"/>
  <c r="AD197" i="6"/>
  <c r="AE197" i="6"/>
  <c r="AG197" i="6"/>
  <c r="AJ197" i="6"/>
  <c r="M198" i="6"/>
  <c r="J198" i="6"/>
  <c r="AC198" i="6"/>
  <c r="AD198" i="6"/>
  <c r="AE198" i="6"/>
  <c r="AG198" i="6"/>
  <c r="AJ198" i="6"/>
  <c r="M199" i="6"/>
  <c r="J199" i="6"/>
  <c r="AC199" i="6"/>
  <c r="AD199" i="6"/>
  <c r="AE199" i="6"/>
  <c r="AG199" i="6"/>
  <c r="AJ199" i="6"/>
  <c r="M200" i="6"/>
  <c r="J200" i="6"/>
  <c r="AC200" i="6"/>
  <c r="AD200" i="6"/>
  <c r="AE200" i="6"/>
  <c r="AG200" i="6"/>
  <c r="AJ200" i="6"/>
  <c r="M201" i="6"/>
  <c r="J201" i="6"/>
  <c r="AC201" i="6"/>
  <c r="AD201" i="6"/>
  <c r="AE201" i="6"/>
  <c r="AG201" i="6"/>
  <c r="AJ201" i="6"/>
  <c r="M202" i="6"/>
  <c r="J202" i="6"/>
  <c r="AC202" i="6"/>
  <c r="AD202" i="6"/>
  <c r="AE202" i="6"/>
  <c r="AG202" i="6"/>
  <c r="AJ202" i="6"/>
  <c r="M203" i="6"/>
  <c r="J203" i="6"/>
  <c r="AC203" i="6"/>
  <c r="AD203" i="6"/>
  <c r="AE203" i="6"/>
  <c r="AG203" i="6"/>
  <c r="AJ203" i="6"/>
  <c r="M204" i="6"/>
  <c r="J204" i="6"/>
  <c r="AC204" i="6"/>
  <c r="AD204" i="6"/>
  <c r="AE204" i="6"/>
  <c r="AG204" i="6"/>
  <c r="AJ204" i="6"/>
  <c r="M205" i="6"/>
  <c r="J205" i="6"/>
  <c r="AC205" i="6"/>
  <c r="AD205" i="6"/>
  <c r="AE205" i="6"/>
  <c r="AG205" i="6"/>
  <c r="AJ205" i="6"/>
  <c r="M206" i="6"/>
  <c r="J206" i="6"/>
  <c r="AC206" i="6"/>
  <c r="AD206" i="6"/>
  <c r="AE206" i="6"/>
  <c r="AG206" i="6"/>
  <c r="AJ206" i="6"/>
  <c r="M207" i="6"/>
  <c r="J207" i="6"/>
  <c r="AC207" i="6"/>
  <c r="AD207" i="6"/>
  <c r="AE207" i="6"/>
  <c r="AG207" i="6"/>
  <c r="AJ207" i="6"/>
  <c r="M208" i="6"/>
  <c r="J208" i="6"/>
  <c r="AC208" i="6"/>
  <c r="AD208" i="6"/>
  <c r="AE208" i="6"/>
  <c r="AG208" i="6"/>
  <c r="AJ208" i="6"/>
  <c r="M209" i="6"/>
  <c r="D55" i="6"/>
  <c r="J209" i="6"/>
  <c r="AC209" i="6"/>
  <c r="AD209" i="6"/>
  <c r="AE209" i="6"/>
  <c r="AG209" i="6"/>
  <c r="AJ209" i="6"/>
  <c r="M210" i="6"/>
  <c r="J210" i="6"/>
  <c r="AC210" i="6"/>
  <c r="AD210" i="6"/>
  <c r="AE210" i="6"/>
  <c r="AG210" i="6"/>
  <c r="AJ210" i="6"/>
  <c r="M211" i="6"/>
  <c r="J211" i="6"/>
  <c r="AC211" i="6"/>
  <c r="AD211" i="6"/>
  <c r="AE211" i="6"/>
  <c r="AG211" i="6"/>
  <c r="AJ211" i="6"/>
  <c r="M212" i="6"/>
  <c r="J212" i="6"/>
  <c r="AC212" i="6"/>
  <c r="AD212" i="6"/>
  <c r="AE212" i="6"/>
  <c r="AG212" i="6"/>
  <c r="AJ212" i="6"/>
  <c r="M213" i="6"/>
  <c r="J213" i="6"/>
  <c r="AC213" i="6"/>
  <c r="AD213" i="6"/>
  <c r="AE213" i="6"/>
  <c r="AG213" i="6"/>
  <c r="AJ213" i="6"/>
  <c r="M214" i="6"/>
  <c r="J214" i="6"/>
  <c r="AC214" i="6"/>
  <c r="AD214" i="6"/>
  <c r="AE214" i="6"/>
  <c r="AG214" i="6"/>
  <c r="AJ214" i="6"/>
  <c r="M215" i="6"/>
  <c r="J215" i="6"/>
  <c r="AC215" i="6"/>
  <c r="AD215" i="6"/>
  <c r="AE215" i="6"/>
  <c r="AG215" i="6"/>
  <c r="AJ215" i="6"/>
  <c r="M216" i="6"/>
  <c r="J216" i="6"/>
  <c r="AC216" i="6"/>
  <c r="AD216" i="6"/>
  <c r="AE216" i="6"/>
  <c r="AG216" i="6"/>
  <c r="AJ216" i="6"/>
  <c r="M217" i="6"/>
  <c r="J217" i="6"/>
  <c r="AC217" i="6"/>
  <c r="AD217" i="6"/>
  <c r="AE217" i="6"/>
  <c r="AG217" i="6"/>
  <c r="AJ217" i="6"/>
  <c r="M218" i="6"/>
  <c r="J218" i="6"/>
  <c r="AC218" i="6"/>
  <c r="AD218" i="6"/>
  <c r="AE218" i="6"/>
  <c r="AG218" i="6"/>
  <c r="AJ218" i="6"/>
  <c r="M219" i="6"/>
  <c r="J219" i="6"/>
  <c r="AC219" i="6"/>
  <c r="AD219" i="6"/>
  <c r="AE219" i="6"/>
  <c r="AG219" i="6"/>
  <c r="AJ219" i="6"/>
  <c r="M220" i="6"/>
  <c r="J220" i="6"/>
  <c r="AC220" i="6"/>
  <c r="AD220" i="6"/>
  <c r="AE220" i="6"/>
  <c r="AG220" i="6"/>
  <c r="AJ220" i="6"/>
  <c r="M221" i="6"/>
  <c r="D56" i="6"/>
  <c r="J221" i="6"/>
  <c r="AC221" i="6"/>
  <c r="AD221" i="6"/>
  <c r="AE221" i="6"/>
  <c r="AG221" i="6"/>
  <c r="AJ221" i="6"/>
  <c r="M222" i="6"/>
  <c r="J222" i="6"/>
  <c r="AC222" i="6"/>
  <c r="AD222" i="6"/>
  <c r="AE222" i="6"/>
  <c r="AG222" i="6"/>
  <c r="AJ222" i="6"/>
  <c r="M223" i="6"/>
  <c r="J223" i="6"/>
  <c r="AC223" i="6"/>
  <c r="AD223" i="6"/>
  <c r="AE223" i="6"/>
  <c r="AG223" i="6"/>
  <c r="AJ223" i="6"/>
  <c r="M224" i="6"/>
  <c r="J224" i="6"/>
  <c r="AC224" i="6"/>
  <c r="AD224" i="6"/>
  <c r="AE224" i="6"/>
  <c r="AG224" i="6"/>
  <c r="AJ224" i="6"/>
  <c r="M225" i="6"/>
  <c r="J225" i="6"/>
  <c r="AC225" i="6"/>
  <c r="AD225" i="6"/>
  <c r="AE225" i="6"/>
  <c r="AG225" i="6"/>
  <c r="AJ225" i="6"/>
  <c r="M226" i="6"/>
  <c r="J226" i="6"/>
  <c r="AC226" i="6"/>
  <c r="AD226" i="6"/>
  <c r="AE226" i="6"/>
  <c r="AG226" i="6"/>
  <c r="AJ226" i="6"/>
  <c r="M227" i="6"/>
  <c r="J227" i="6"/>
  <c r="AC227" i="6"/>
  <c r="AD227" i="6"/>
  <c r="AE227" i="6"/>
  <c r="AG227" i="6"/>
  <c r="AJ227" i="6"/>
  <c r="M228" i="6"/>
  <c r="J228" i="6"/>
  <c r="AC228" i="6"/>
  <c r="AD228" i="6"/>
  <c r="AE228" i="6"/>
  <c r="AG228" i="6"/>
  <c r="AJ228" i="6"/>
  <c r="M229" i="6"/>
  <c r="J229" i="6"/>
  <c r="AC229" i="6"/>
  <c r="AD229" i="6"/>
  <c r="AE229" i="6"/>
  <c r="AG229" i="6"/>
  <c r="AJ229" i="6"/>
  <c r="M230" i="6"/>
  <c r="J230" i="6"/>
  <c r="AC230" i="6"/>
  <c r="AD230" i="6"/>
  <c r="AE230" i="6"/>
  <c r="AG230" i="6"/>
  <c r="AJ230" i="6"/>
  <c r="M231" i="6"/>
  <c r="J231" i="6"/>
  <c r="AC231" i="6"/>
  <c r="AD231" i="6"/>
  <c r="AE231" i="6"/>
  <c r="AG231" i="6"/>
  <c r="AJ231" i="6"/>
  <c r="M232" i="6"/>
  <c r="J232" i="6"/>
  <c r="AC232" i="6"/>
  <c r="AD232" i="6"/>
  <c r="AE232" i="6"/>
  <c r="AG232" i="6"/>
  <c r="AJ232" i="6"/>
  <c r="M233" i="6"/>
  <c r="D57" i="6"/>
  <c r="J233" i="6"/>
  <c r="AC233" i="6"/>
  <c r="AD233" i="6"/>
  <c r="AE233" i="6"/>
  <c r="AG233" i="6"/>
  <c r="AJ233" i="6"/>
  <c r="M234" i="6"/>
  <c r="J234" i="6"/>
  <c r="AC234" i="6"/>
  <c r="AD234" i="6"/>
  <c r="AE234" i="6"/>
  <c r="AG234" i="6"/>
  <c r="AJ234" i="6"/>
  <c r="M235" i="6"/>
  <c r="J235" i="6"/>
  <c r="AC235" i="6"/>
  <c r="AD235" i="6"/>
  <c r="AE235" i="6"/>
  <c r="AG235" i="6"/>
  <c r="AJ235" i="6"/>
  <c r="M236" i="6"/>
  <c r="J236" i="6"/>
  <c r="AC236" i="6"/>
  <c r="AD236" i="6"/>
  <c r="AE236" i="6"/>
  <c r="AG236" i="6"/>
  <c r="AJ236" i="6"/>
  <c r="M237" i="6"/>
  <c r="J237" i="6"/>
  <c r="AC237" i="6"/>
  <c r="AD237" i="6"/>
  <c r="AE237" i="6"/>
  <c r="AG237" i="6"/>
  <c r="AJ237" i="6"/>
  <c r="M238" i="6"/>
  <c r="J238" i="6"/>
  <c r="AC238" i="6"/>
  <c r="AD238" i="6"/>
  <c r="AE238" i="6"/>
  <c r="AG238" i="6"/>
  <c r="AJ238" i="6"/>
  <c r="M239" i="6"/>
  <c r="J239" i="6"/>
  <c r="AC239" i="6"/>
  <c r="AD239" i="6"/>
  <c r="AE239" i="6"/>
  <c r="AG239" i="6"/>
  <c r="AJ239" i="6"/>
  <c r="M240" i="6"/>
  <c r="J240" i="6"/>
  <c r="AC240" i="6"/>
  <c r="AD240" i="6"/>
  <c r="AE240" i="6"/>
  <c r="AG240" i="6"/>
  <c r="AJ240" i="6"/>
  <c r="M241" i="6"/>
  <c r="J241" i="6"/>
  <c r="AC241" i="6"/>
  <c r="AD241" i="6"/>
  <c r="AE241" i="6"/>
  <c r="AG241" i="6"/>
  <c r="AJ241" i="6"/>
  <c r="M242" i="6"/>
  <c r="J242" i="6"/>
  <c r="AC242" i="6"/>
  <c r="AD242" i="6"/>
  <c r="AE242" i="6"/>
  <c r="AG242" i="6"/>
  <c r="AJ242" i="6"/>
  <c r="M243" i="6"/>
  <c r="J243" i="6"/>
  <c r="AC243" i="6"/>
  <c r="AD243" i="6"/>
  <c r="AE243" i="6"/>
  <c r="AG243" i="6"/>
  <c r="AJ243" i="6"/>
  <c r="M244" i="6"/>
  <c r="J244" i="6"/>
  <c r="AC244" i="6"/>
  <c r="AD244" i="6"/>
  <c r="AE244" i="6"/>
  <c r="AG244" i="6"/>
  <c r="AJ244" i="6"/>
  <c r="C74" i="6"/>
  <c r="G237" i="10"/>
  <c r="G225" i="10"/>
  <c r="G213" i="10"/>
  <c r="G201" i="10"/>
  <c r="G189" i="10"/>
  <c r="G177" i="10"/>
  <c r="G165" i="10"/>
  <c r="G153" i="10"/>
  <c r="G141" i="10"/>
  <c r="G129" i="10"/>
  <c r="G117" i="10"/>
  <c r="G105" i="10"/>
  <c r="G93" i="10"/>
  <c r="G81" i="10"/>
  <c r="G69" i="10"/>
  <c r="G57" i="10"/>
  <c r="G45" i="10"/>
  <c r="G33" i="10"/>
  <c r="G21" i="10"/>
  <c r="G9" i="10"/>
  <c r="J6" i="10"/>
  <c r="K6" i="10"/>
  <c r="C6" i="10"/>
  <c r="L6" i="10"/>
  <c r="AC6" i="10"/>
  <c r="AD6" i="10"/>
  <c r="J7" i="10"/>
  <c r="K7" i="10"/>
  <c r="L7" i="10"/>
  <c r="AC7" i="10"/>
  <c r="AD7" i="10"/>
  <c r="J8" i="10"/>
  <c r="K8" i="10"/>
  <c r="L8" i="10"/>
  <c r="AC8" i="10"/>
  <c r="AD8" i="10"/>
  <c r="J9" i="10"/>
  <c r="K9" i="10"/>
  <c r="L9" i="10"/>
  <c r="AC9" i="10"/>
  <c r="AD9" i="10"/>
  <c r="J10" i="10"/>
  <c r="K10" i="10"/>
  <c r="L10" i="10"/>
  <c r="AC10" i="10"/>
  <c r="AD10" i="10"/>
  <c r="J11" i="10"/>
  <c r="K11" i="10"/>
  <c r="L11" i="10"/>
  <c r="AC11" i="10"/>
  <c r="AD11" i="10"/>
  <c r="J12" i="10"/>
  <c r="K12" i="10"/>
  <c r="L12" i="10"/>
  <c r="AC12" i="10"/>
  <c r="AD12" i="10"/>
  <c r="J13" i="10"/>
  <c r="K13" i="10"/>
  <c r="L13" i="10"/>
  <c r="AC13" i="10"/>
  <c r="AD13" i="10"/>
  <c r="J14" i="10"/>
  <c r="K14" i="10"/>
  <c r="L14" i="10"/>
  <c r="AC14" i="10"/>
  <c r="AD14" i="10"/>
  <c r="J15" i="10"/>
  <c r="K15" i="10"/>
  <c r="L15" i="10"/>
  <c r="AC15" i="10"/>
  <c r="AD15" i="10"/>
  <c r="J16" i="10"/>
  <c r="K16" i="10"/>
  <c r="L16" i="10"/>
  <c r="AC16" i="10"/>
  <c r="AD16" i="10"/>
  <c r="C39" i="10"/>
  <c r="D39" i="10"/>
  <c r="J17" i="10"/>
  <c r="K17" i="10"/>
  <c r="L17" i="10"/>
  <c r="AC17" i="10"/>
  <c r="AD17" i="10"/>
  <c r="J18" i="10"/>
  <c r="K18" i="10"/>
  <c r="L18" i="10"/>
  <c r="AC18" i="10"/>
  <c r="AD18" i="10"/>
  <c r="J19" i="10"/>
  <c r="K19" i="10"/>
  <c r="L19" i="10"/>
  <c r="AC19" i="10"/>
  <c r="AD19" i="10"/>
  <c r="J20" i="10"/>
  <c r="K20" i="10"/>
  <c r="L20" i="10"/>
  <c r="AC20" i="10"/>
  <c r="AD20" i="10"/>
  <c r="J21" i="10"/>
  <c r="K21" i="10"/>
  <c r="L21" i="10"/>
  <c r="AC21" i="10"/>
  <c r="AD21" i="10"/>
  <c r="J22" i="10"/>
  <c r="K22" i="10"/>
  <c r="L22" i="10"/>
  <c r="AC22" i="10"/>
  <c r="AD22" i="10"/>
  <c r="J23" i="10"/>
  <c r="K23" i="10"/>
  <c r="L23" i="10"/>
  <c r="AC23" i="10"/>
  <c r="AD23" i="10"/>
  <c r="J24" i="10"/>
  <c r="K24" i="10"/>
  <c r="L24" i="10"/>
  <c r="AC24" i="10"/>
  <c r="AD24" i="10"/>
  <c r="J25" i="10"/>
  <c r="K25" i="10"/>
  <c r="L25" i="10"/>
  <c r="AC25" i="10"/>
  <c r="AD25" i="10"/>
  <c r="J26" i="10"/>
  <c r="K26" i="10"/>
  <c r="L26" i="10"/>
  <c r="AC26" i="10"/>
  <c r="AD26" i="10"/>
  <c r="J27" i="10"/>
  <c r="K27" i="10"/>
  <c r="L27" i="10"/>
  <c r="AC27" i="10"/>
  <c r="AD27" i="10"/>
  <c r="J28" i="10"/>
  <c r="K28" i="10"/>
  <c r="L28" i="10"/>
  <c r="AC28" i="10"/>
  <c r="AD28" i="10"/>
  <c r="C40" i="10"/>
  <c r="D40" i="10"/>
  <c r="J29" i="10"/>
  <c r="K29" i="10"/>
  <c r="L29" i="10"/>
  <c r="AC29" i="10"/>
  <c r="AD29" i="10"/>
  <c r="J30" i="10"/>
  <c r="K30" i="10"/>
  <c r="L30" i="10"/>
  <c r="AC30" i="10"/>
  <c r="AD30" i="10"/>
  <c r="J31" i="10"/>
  <c r="K31" i="10"/>
  <c r="L31" i="10"/>
  <c r="AC31" i="10"/>
  <c r="AD31" i="10"/>
  <c r="J32" i="10"/>
  <c r="K32" i="10"/>
  <c r="L32" i="10"/>
  <c r="AC32" i="10"/>
  <c r="AD32" i="10"/>
  <c r="J33" i="10"/>
  <c r="K33" i="10"/>
  <c r="L33" i="10"/>
  <c r="AC33" i="10"/>
  <c r="AD33" i="10"/>
  <c r="J34" i="10"/>
  <c r="K34" i="10"/>
  <c r="L34" i="10"/>
  <c r="AC34" i="10"/>
  <c r="AD34" i="10"/>
  <c r="J35" i="10"/>
  <c r="K35" i="10"/>
  <c r="L35" i="10"/>
  <c r="AC35" i="10"/>
  <c r="AD35" i="10"/>
  <c r="J36" i="10"/>
  <c r="K36" i="10"/>
  <c r="L36" i="10"/>
  <c r="AC36" i="10"/>
  <c r="AD36" i="10"/>
  <c r="J37" i="10"/>
  <c r="K37" i="10"/>
  <c r="L37" i="10"/>
  <c r="AC37" i="10"/>
  <c r="AD37" i="10"/>
  <c r="J38" i="10"/>
  <c r="K38" i="10"/>
  <c r="L38" i="10"/>
  <c r="AC38" i="10"/>
  <c r="AD38" i="10"/>
  <c r="J39" i="10"/>
  <c r="K39" i="10"/>
  <c r="L39" i="10"/>
  <c r="AC39" i="10"/>
  <c r="AD39" i="10"/>
  <c r="J40" i="10"/>
  <c r="K40" i="10"/>
  <c r="L40" i="10"/>
  <c r="AC40" i="10"/>
  <c r="AD40" i="10"/>
  <c r="C41" i="10"/>
  <c r="D41" i="10"/>
  <c r="J41" i="10"/>
  <c r="K41" i="10"/>
  <c r="L41" i="10"/>
  <c r="AC41" i="10"/>
  <c r="AD41" i="10"/>
  <c r="J42" i="10"/>
  <c r="K42" i="10"/>
  <c r="L42" i="10"/>
  <c r="AC42" i="10"/>
  <c r="AD42" i="10"/>
  <c r="J43" i="10"/>
  <c r="K43" i="10"/>
  <c r="L43" i="10"/>
  <c r="AC43" i="10"/>
  <c r="AD43" i="10"/>
  <c r="J44" i="10"/>
  <c r="K44" i="10"/>
  <c r="L44" i="10"/>
  <c r="AC44" i="10"/>
  <c r="AD44" i="10"/>
  <c r="J45" i="10"/>
  <c r="K45" i="10"/>
  <c r="L45" i="10"/>
  <c r="AC45" i="10"/>
  <c r="AD45" i="10"/>
  <c r="J46" i="10"/>
  <c r="K46" i="10"/>
  <c r="L46" i="10"/>
  <c r="AC46" i="10"/>
  <c r="AD46" i="10"/>
  <c r="J47" i="10"/>
  <c r="K47" i="10"/>
  <c r="L47" i="10"/>
  <c r="AC47" i="10"/>
  <c r="AD47" i="10"/>
  <c r="J48" i="10"/>
  <c r="K48" i="10"/>
  <c r="L48" i="10"/>
  <c r="AC48" i="10"/>
  <c r="AD48" i="10"/>
  <c r="J49" i="10"/>
  <c r="K49" i="10"/>
  <c r="L49" i="10"/>
  <c r="AC49" i="10"/>
  <c r="AD49" i="10"/>
  <c r="J50" i="10"/>
  <c r="K50" i="10"/>
  <c r="L50" i="10"/>
  <c r="AC50" i="10"/>
  <c r="AD50" i="10"/>
  <c r="J51" i="10"/>
  <c r="K51" i="10"/>
  <c r="L51" i="10"/>
  <c r="AC51" i="10"/>
  <c r="AD51" i="10"/>
  <c r="J52" i="10"/>
  <c r="K52" i="10"/>
  <c r="L52" i="10"/>
  <c r="AC52" i="10"/>
  <c r="AD52" i="10"/>
  <c r="C42" i="10"/>
  <c r="D42" i="10"/>
  <c r="J53" i="10"/>
  <c r="K53" i="10"/>
  <c r="L53" i="10"/>
  <c r="AC53" i="10"/>
  <c r="AD53" i="10"/>
  <c r="J54" i="10"/>
  <c r="K54" i="10"/>
  <c r="L54" i="10"/>
  <c r="AC54" i="10"/>
  <c r="AD54" i="10"/>
  <c r="J55" i="10"/>
  <c r="K55" i="10"/>
  <c r="L55" i="10"/>
  <c r="AC55" i="10"/>
  <c r="AD55" i="10"/>
  <c r="J56" i="10"/>
  <c r="K56" i="10"/>
  <c r="L56" i="10"/>
  <c r="AC56" i="10"/>
  <c r="AD56" i="10"/>
  <c r="J57" i="10"/>
  <c r="K57" i="10"/>
  <c r="L57" i="10"/>
  <c r="AC57" i="10"/>
  <c r="AD57" i="10"/>
  <c r="J58" i="10"/>
  <c r="K58" i="10"/>
  <c r="L58" i="10"/>
  <c r="AC58" i="10"/>
  <c r="AD58" i="10"/>
  <c r="J59" i="10"/>
  <c r="K59" i="10"/>
  <c r="L59" i="10"/>
  <c r="AC59" i="10"/>
  <c r="AD59" i="10"/>
  <c r="J60" i="10"/>
  <c r="K60" i="10"/>
  <c r="L60" i="10"/>
  <c r="AC60" i="10"/>
  <c r="AD60" i="10"/>
  <c r="J61" i="10"/>
  <c r="K61" i="10"/>
  <c r="L61" i="10"/>
  <c r="AC61" i="10"/>
  <c r="AD61" i="10"/>
  <c r="J62" i="10"/>
  <c r="K62" i="10"/>
  <c r="L62" i="10"/>
  <c r="AC62" i="10"/>
  <c r="AD62" i="10"/>
  <c r="J63" i="10"/>
  <c r="K63" i="10"/>
  <c r="L63" i="10"/>
  <c r="AC63" i="10"/>
  <c r="AD63" i="10"/>
  <c r="J64" i="10"/>
  <c r="K64" i="10"/>
  <c r="L64" i="10"/>
  <c r="AC64" i="10"/>
  <c r="AD64" i="10"/>
  <c r="C43" i="10"/>
  <c r="D43" i="10"/>
  <c r="J65" i="10"/>
  <c r="K65" i="10"/>
  <c r="L65" i="10"/>
  <c r="AC65" i="10"/>
  <c r="AD65" i="10"/>
  <c r="J66" i="10"/>
  <c r="K66" i="10"/>
  <c r="L66" i="10"/>
  <c r="AC66" i="10"/>
  <c r="AD66" i="10"/>
  <c r="J67" i="10"/>
  <c r="K67" i="10"/>
  <c r="L67" i="10"/>
  <c r="AC67" i="10"/>
  <c r="AD67" i="10"/>
  <c r="J68" i="10"/>
  <c r="K68" i="10"/>
  <c r="L68" i="10"/>
  <c r="AC68" i="10"/>
  <c r="AD68" i="10"/>
  <c r="J69" i="10"/>
  <c r="K69" i="10"/>
  <c r="L69" i="10"/>
  <c r="AC69" i="10"/>
  <c r="AD69" i="10"/>
  <c r="J70" i="10"/>
  <c r="K70" i="10"/>
  <c r="L70" i="10"/>
  <c r="AC70" i="10"/>
  <c r="AD70" i="10"/>
  <c r="J71" i="10"/>
  <c r="K71" i="10"/>
  <c r="L71" i="10"/>
  <c r="AC71" i="10"/>
  <c r="AD71" i="10"/>
  <c r="J72" i="10"/>
  <c r="K72" i="10"/>
  <c r="L72" i="10"/>
  <c r="AC72" i="10"/>
  <c r="AD72" i="10"/>
  <c r="J73" i="10"/>
  <c r="K73" i="10"/>
  <c r="L73" i="10"/>
  <c r="AC73" i="10"/>
  <c r="AD73" i="10"/>
  <c r="J74" i="10"/>
  <c r="K74" i="10"/>
  <c r="L74" i="10"/>
  <c r="AC74" i="10"/>
  <c r="AD74" i="10"/>
  <c r="J75" i="10"/>
  <c r="K75" i="10"/>
  <c r="L75" i="10"/>
  <c r="AC75" i="10"/>
  <c r="AD75" i="10"/>
  <c r="J76" i="10"/>
  <c r="K76" i="10"/>
  <c r="L76" i="10"/>
  <c r="AC76" i="10"/>
  <c r="AD76" i="10"/>
  <c r="C44" i="10"/>
  <c r="D44" i="10"/>
  <c r="J77" i="10"/>
  <c r="K77" i="10"/>
  <c r="L77" i="10"/>
  <c r="AC77" i="10"/>
  <c r="AD77" i="10"/>
  <c r="J78" i="10"/>
  <c r="K78" i="10"/>
  <c r="L78" i="10"/>
  <c r="AC78" i="10"/>
  <c r="AD78" i="10"/>
  <c r="J79" i="10"/>
  <c r="K79" i="10"/>
  <c r="L79" i="10"/>
  <c r="AC79" i="10"/>
  <c r="AD79" i="10"/>
  <c r="J80" i="10"/>
  <c r="K80" i="10"/>
  <c r="L80" i="10"/>
  <c r="AC80" i="10"/>
  <c r="AD80" i="10"/>
  <c r="J81" i="10"/>
  <c r="K81" i="10"/>
  <c r="L81" i="10"/>
  <c r="AC81" i="10"/>
  <c r="AD81" i="10"/>
  <c r="J82" i="10"/>
  <c r="K82" i="10"/>
  <c r="L82" i="10"/>
  <c r="AC82" i="10"/>
  <c r="AD82" i="10"/>
  <c r="J83" i="10"/>
  <c r="K83" i="10"/>
  <c r="L83" i="10"/>
  <c r="AC83" i="10"/>
  <c r="AD83" i="10"/>
  <c r="J84" i="10"/>
  <c r="K84" i="10"/>
  <c r="L84" i="10"/>
  <c r="AC84" i="10"/>
  <c r="AD84" i="10"/>
  <c r="J85" i="10"/>
  <c r="K85" i="10"/>
  <c r="L85" i="10"/>
  <c r="AC85" i="10"/>
  <c r="AD85" i="10"/>
  <c r="J86" i="10"/>
  <c r="K86" i="10"/>
  <c r="L86" i="10"/>
  <c r="AC86" i="10"/>
  <c r="AD86" i="10"/>
  <c r="J87" i="10"/>
  <c r="K87" i="10"/>
  <c r="L87" i="10"/>
  <c r="AC87" i="10"/>
  <c r="AD87" i="10"/>
  <c r="J88" i="10"/>
  <c r="K88" i="10"/>
  <c r="L88" i="10"/>
  <c r="AC88" i="10"/>
  <c r="AD88" i="10"/>
  <c r="C45" i="10"/>
  <c r="D45" i="10"/>
  <c r="J89" i="10"/>
  <c r="K89" i="10"/>
  <c r="L89" i="10"/>
  <c r="AC89" i="10"/>
  <c r="AD89" i="10"/>
  <c r="J90" i="10"/>
  <c r="K90" i="10"/>
  <c r="L90" i="10"/>
  <c r="AC90" i="10"/>
  <c r="AD90" i="10"/>
  <c r="J91" i="10"/>
  <c r="K91" i="10"/>
  <c r="L91" i="10"/>
  <c r="AC91" i="10"/>
  <c r="AD91" i="10"/>
  <c r="J92" i="10"/>
  <c r="K92" i="10"/>
  <c r="L92" i="10"/>
  <c r="AC92" i="10"/>
  <c r="AD92" i="10"/>
  <c r="J93" i="10"/>
  <c r="K93" i="10"/>
  <c r="L93" i="10"/>
  <c r="AC93" i="10"/>
  <c r="AD93" i="10"/>
  <c r="J94" i="10"/>
  <c r="K94" i="10"/>
  <c r="L94" i="10"/>
  <c r="AC94" i="10"/>
  <c r="AD94" i="10"/>
  <c r="J95" i="10"/>
  <c r="K95" i="10"/>
  <c r="L95" i="10"/>
  <c r="AC95" i="10"/>
  <c r="AD95" i="10"/>
  <c r="J96" i="10"/>
  <c r="K96" i="10"/>
  <c r="L96" i="10"/>
  <c r="AC96" i="10"/>
  <c r="AD96" i="10"/>
  <c r="J97" i="10"/>
  <c r="K97" i="10"/>
  <c r="L97" i="10"/>
  <c r="AC97" i="10"/>
  <c r="AD97" i="10"/>
  <c r="J98" i="10"/>
  <c r="K98" i="10"/>
  <c r="L98" i="10"/>
  <c r="AC98" i="10"/>
  <c r="AD98" i="10"/>
  <c r="J99" i="10"/>
  <c r="K99" i="10"/>
  <c r="L99" i="10"/>
  <c r="AC99" i="10"/>
  <c r="AD99" i="10"/>
  <c r="J100" i="10"/>
  <c r="K100" i="10"/>
  <c r="L100" i="10"/>
  <c r="AC100" i="10"/>
  <c r="AD100" i="10"/>
  <c r="C46" i="10"/>
  <c r="D46" i="10"/>
  <c r="J101" i="10"/>
  <c r="K101" i="10"/>
  <c r="L101" i="10"/>
  <c r="AC101" i="10"/>
  <c r="AD101" i="10"/>
  <c r="J102" i="10"/>
  <c r="K102" i="10"/>
  <c r="L102" i="10"/>
  <c r="AC102" i="10"/>
  <c r="AD102" i="10"/>
  <c r="J103" i="10"/>
  <c r="K103" i="10"/>
  <c r="L103" i="10"/>
  <c r="AC103" i="10"/>
  <c r="AD103" i="10"/>
  <c r="J104" i="10"/>
  <c r="K104" i="10"/>
  <c r="L104" i="10"/>
  <c r="AC104" i="10"/>
  <c r="AD104" i="10"/>
  <c r="J105" i="10"/>
  <c r="K105" i="10"/>
  <c r="L105" i="10"/>
  <c r="AC105" i="10"/>
  <c r="AD105" i="10"/>
  <c r="J106" i="10"/>
  <c r="K106" i="10"/>
  <c r="L106" i="10"/>
  <c r="AC106" i="10"/>
  <c r="AD106" i="10"/>
  <c r="J107" i="10"/>
  <c r="K107" i="10"/>
  <c r="L107" i="10"/>
  <c r="AC107" i="10"/>
  <c r="AD107" i="10"/>
  <c r="J108" i="10"/>
  <c r="K108" i="10"/>
  <c r="L108" i="10"/>
  <c r="AC108" i="10"/>
  <c r="AD108" i="10"/>
  <c r="J109" i="10"/>
  <c r="K109" i="10"/>
  <c r="L109" i="10"/>
  <c r="AC109" i="10"/>
  <c r="AD109" i="10"/>
  <c r="J110" i="10"/>
  <c r="K110" i="10"/>
  <c r="L110" i="10"/>
  <c r="AC110" i="10"/>
  <c r="AD110" i="10"/>
  <c r="J111" i="10"/>
  <c r="K111" i="10"/>
  <c r="L111" i="10"/>
  <c r="AC111" i="10"/>
  <c r="AD111" i="10"/>
  <c r="J112" i="10"/>
  <c r="K112" i="10"/>
  <c r="L112" i="10"/>
  <c r="AC112" i="10"/>
  <c r="AD112" i="10"/>
  <c r="C47" i="10"/>
  <c r="D47" i="10"/>
  <c r="J113" i="10"/>
  <c r="K113" i="10"/>
  <c r="L113" i="10"/>
  <c r="AC113" i="10"/>
  <c r="AD113" i="10"/>
  <c r="J114" i="10"/>
  <c r="K114" i="10"/>
  <c r="L114" i="10"/>
  <c r="AC114" i="10"/>
  <c r="AD114" i="10"/>
  <c r="J115" i="10"/>
  <c r="K115" i="10"/>
  <c r="L115" i="10"/>
  <c r="AC115" i="10"/>
  <c r="AD115" i="10"/>
  <c r="J116" i="10"/>
  <c r="K116" i="10"/>
  <c r="L116" i="10"/>
  <c r="AC116" i="10"/>
  <c r="AD116" i="10"/>
  <c r="J117" i="10"/>
  <c r="K117" i="10"/>
  <c r="L117" i="10"/>
  <c r="AC117" i="10"/>
  <c r="AD117" i="10"/>
  <c r="J118" i="10"/>
  <c r="K118" i="10"/>
  <c r="L118" i="10"/>
  <c r="AC118" i="10"/>
  <c r="AD118" i="10"/>
  <c r="J119" i="10"/>
  <c r="K119" i="10"/>
  <c r="L119" i="10"/>
  <c r="AC119" i="10"/>
  <c r="AD119" i="10"/>
  <c r="J120" i="10"/>
  <c r="K120" i="10"/>
  <c r="L120" i="10"/>
  <c r="AC120" i="10"/>
  <c r="AD120" i="10"/>
  <c r="J121" i="10"/>
  <c r="K121" i="10"/>
  <c r="L121" i="10"/>
  <c r="AC121" i="10"/>
  <c r="AD121" i="10"/>
  <c r="J122" i="10"/>
  <c r="K122" i="10"/>
  <c r="L122" i="10"/>
  <c r="AC122" i="10"/>
  <c r="AD122" i="10"/>
  <c r="J123" i="10"/>
  <c r="K123" i="10"/>
  <c r="L123" i="10"/>
  <c r="AC123" i="10"/>
  <c r="AD123" i="10"/>
  <c r="J124" i="10"/>
  <c r="K124" i="10"/>
  <c r="L124" i="10"/>
  <c r="AC124" i="10"/>
  <c r="AD124" i="10"/>
  <c r="C48" i="10"/>
  <c r="D48" i="10"/>
  <c r="J125" i="10"/>
  <c r="K125" i="10"/>
  <c r="L125" i="10"/>
  <c r="M125" i="10"/>
  <c r="AC125" i="10"/>
  <c r="AD125" i="10"/>
  <c r="J126" i="10"/>
  <c r="K126" i="10"/>
  <c r="L126" i="10"/>
  <c r="M126" i="10"/>
  <c r="AC126" i="10"/>
  <c r="AD126" i="10"/>
  <c r="J127" i="10"/>
  <c r="K127" i="10"/>
  <c r="L127" i="10"/>
  <c r="M127" i="10"/>
  <c r="AC127" i="10"/>
  <c r="AD127" i="10"/>
  <c r="J128" i="10"/>
  <c r="K128" i="10"/>
  <c r="L128" i="10"/>
  <c r="M128" i="10"/>
  <c r="AC128" i="10"/>
  <c r="AD128" i="10"/>
  <c r="J129" i="10"/>
  <c r="K129" i="10"/>
  <c r="L129" i="10"/>
  <c r="M129" i="10"/>
  <c r="AC129" i="10"/>
  <c r="AD129" i="10"/>
  <c r="J130" i="10"/>
  <c r="K130" i="10"/>
  <c r="L130" i="10"/>
  <c r="M130" i="10"/>
  <c r="AC130" i="10"/>
  <c r="AD130" i="10"/>
  <c r="J131" i="10"/>
  <c r="K131" i="10"/>
  <c r="L131" i="10"/>
  <c r="M131" i="10"/>
  <c r="AC131" i="10"/>
  <c r="AD131" i="10"/>
  <c r="J132" i="10"/>
  <c r="K132" i="10"/>
  <c r="L132" i="10"/>
  <c r="M132" i="10"/>
  <c r="AC132" i="10"/>
  <c r="AD132" i="10"/>
  <c r="J133" i="10"/>
  <c r="K133" i="10"/>
  <c r="L133" i="10"/>
  <c r="M133" i="10"/>
  <c r="AC133" i="10"/>
  <c r="AD133" i="10"/>
  <c r="J134" i="10"/>
  <c r="K134" i="10"/>
  <c r="L134" i="10"/>
  <c r="M134" i="10"/>
  <c r="AC134" i="10"/>
  <c r="AD134" i="10"/>
  <c r="J135" i="10"/>
  <c r="K135" i="10"/>
  <c r="L135" i="10"/>
  <c r="M135" i="10"/>
  <c r="AC135" i="10"/>
  <c r="AD135" i="10"/>
  <c r="J136" i="10"/>
  <c r="K136" i="10"/>
  <c r="L136" i="10"/>
  <c r="M136" i="10"/>
  <c r="AC136" i="10"/>
  <c r="AD136" i="10"/>
  <c r="C49" i="10"/>
  <c r="D49" i="10"/>
  <c r="J137" i="10"/>
  <c r="K137" i="10"/>
  <c r="L137" i="10"/>
  <c r="M137" i="10"/>
  <c r="AC137" i="10"/>
  <c r="AD137" i="10"/>
  <c r="J138" i="10"/>
  <c r="K138" i="10"/>
  <c r="L138" i="10"/>
  <c r="M138" i="10"/>
  <c r="AC138" i="10"/>
  <c r="AD138" i="10"/>
  <c r="J139" i="10"/>
  <c r="K139" i="10"/>
  <c r="L139" i="10"/>
  <c r="M139" i="10"/>
  <c r="AC139" i="10"/>
  <c r="AD139" i="10"/>
  <c r="J140" i="10"/>
  <c r="K140" i="10"/>
  <c r="L140" i="10"/>
  <c r="M140" i="10"/>
  <c r="AC140" i="10"/>
  <c r="AD140" i="10"/>
  <c r="J141" i="10"/>
  <c r="K141" i="10"/>
  <c r="L141" i="10"/>
  <c r="M141" i="10"/>
  <c r="AC141" i="10"/>
  <c r="AD141" i="10"/>
  <c r="J142" i="10"/>
  <c r="K142" i="10"/>
  <c r="L142" i="10"/>
  <c r="M142" i="10"/>
  <c r="AC142" i="10"/>
  <c r="AD142" i="10"/>
  <c r="J143" i="10"/>
  <c r="K143" i="10"/>
  <c r="L143" i="10"/>
  <c r="M143" i="10"/>
  <c r="AC143" i="10"/>
  <c r="AD143" i="10"/>
  <c r="J144" i="10"/>
  <c r="K144" i="10"/>
  <c r="L144" i="10"/>
  <c r="M144" i="10"/>
  <c r="AC144" i="10"/>
  <c r="AD144" i="10"/>
  <c r="J145" i="10"/>
  <c r="K145" i="10"/>
  <c r="L145" i="10"/>
  <c r="M145" i="10"/>
  <c r="AC145" i="10"/>
  <c r="AD145" i="10"/>
  <c r="J146" i="10"/>
  <c r="K146" i="10"/>
  <c r="L146" i="10"/>
  <c r="M146" i="10"/>
  <c r="AC146" i="10"/>
  <c r="AD146" i="10"/>
  <c r="J147" i="10"/>
  <c r="K147" i="10"/>
  <c r="L147" i="10"/>
  <c r="M147" i="10"/>
  <c r="AC147" i="10"/>
  <c r="AD147" i="10"/>
  <c r="J148" i="10"/>
  <c r="K148" i="10"/>
  <c r="L148" i="10"/>
  <c r="M148" i="10"/>
  <c r="AC148" i="10"/>
  <c r="AD148" i="10"/>
  <c r="C50" i="10"/>
  <c r="D50" i="10"/>
  <c r="J149" i="10"/>
  <c r="K149" i="10"/>
  <c r="L149" i="10"/>
  <c r="M149" i="10"/>
  <c r="AC149" i="10"/>
  <c r="AD149" i="10"/>
  <c r="J150" i="10"/>
  <c r="K150" i="10"/>
  <c r="L150" i="10"/>
  <c r="M150" i="10"/>
  <c r="AC150" i="10"/>
  <c r="AD150" i="10"/>
  <c r="J151" i="10"/>
  <c r="K151" i="10"/>
  <c r="L151" i="10"/>
  <c r="M151" i="10"/>
  <c r="AC151" i="10"/>
  <c r="AD151" i="10"/>
  <c r="J152" i="10"/>
  <c r="K152" i="10"/>
  <c r="L152" i="10"/>
  <c r="M152" i="10"/>
  <c r="AC152" i="10"/>
  <c r="AD152" i="10"/>
  <c r="J153" i="10"/>
  <c r="K153" i="10"/>
  <c r="L153" i="10"/>
  <c r="M153" i="10"/>
  <c r="AC153" i="10"/>
  <c r="AD153" i="10"/>
  <c r="J154" i="10"/>
  <c r="K154" i="10"/>
  <c r="L154" i="10"/>
  <c r="M154" i="10"/>
  <c r="AC154" i="10"/>
  <c r="AD154" i="10"/>
  <c r="J155" i="10"/>
  <c r="K155" i="10"/>
  <c r="L155" i="10"/>
  <c r="M155" i="10"/>
  <c r="AC155" i="10"/>
  <c r="AD155" i="10"/>
  <c r="J156" i="10"/>
  <c r="K156" i="10"/>
  <c r="L156" i="10"/>
  <c r="M156" i="10"/>
  <c r="AC156" i="10"/>
  <c r="AD156" i="10"/>
  <c r="J157" i="10"/>
  <c r="K157" i="10"/>
  <c r="L157" i="10"/>
  <c r="M157" i="10"/>
  <c r="AC157" i="10"/>
  <c r="AD157" i="10"/>
  <c r="J158" i="10"/>
  <c r="K158" i="10"/>
  <c r="L158" i="10"/>
  <c r="M158" i="10"/>
  <c r="AC158" i="10"/>
  <c r="AD158" i="10"/>
  <c r="J159" i="10"/>
  <c r="K159" i="10"/>
  <c r="L159" i="10"/>
  <c r="M159" i="10"/>
  <c r="AC159" i="10"/>
  <c r="AD159" i="10"/>
  <c r="J160" i="10"/>
  <c r="K160" i="10"/>
  <c r="L160" i="10"/>
  <c r="M160" i="10"/>
  <c r="AC160" i="10"/>
  <c r="AD160" i="10"/>
  <c r="C51" i="10"/>
  <c r="D51" i="10"/>
  <c r="J161" i="10"/>
  <c r="K161" i="10"/>
  <c r="L161" i="10"/>
  <c r="M161" i="10"/>
  <c r="AC161" i="10"/>
  <c r="AD161" i="10"/>
  <c r="J162" i="10"/>
  <c r="K162" i="10"/>
  <c r="L162" i="10"/>
  <c r="M162" i="10"/>
  <c r="AC162" i="10"/>
  <c r="AD162" i="10"/>
  <c r="J163" i="10"/>
  <c r="K163" i="10"/>
  <c r="L163" i="10"/>
  <c r="M163" i="10"/>
  <c r="AC163" i="10"/>
  <c r="AD163" i="10"/>
  <c r="J164" i="10"/>
  <c r="K164" i="10"/>
  <c r="L164" i="10"/>
  <c r="M164" i="10"/>
  <c r="AC164" i="10"/>
  <c r="AD164" i="10"/>
  <c r="J165" i="10"/>
  <c r="K165" i="10"/>
  <c r="L165" i="10"/>
  <c r="M165" i="10"/>
  <c r="AC165" i="10"/>
  <c r="AD165" i="10"/>
  <c r="J166" i="10"/>
  <c r="K166" i="10"/>
  <c r="L166" i="10"/>
  <c r="M166" i="10"/>
  <c r="AC166" i="10"/>
  <c r="AD166" i="10"/>
  <c r="J167" i="10"/>
  <c r="K167" i="10"/>
  <c r="L167" i="10"/>
  <c r="M167" i="10"/>
  <c r="AC167" i="10"/>
  <c r="AD167" i="10"/>
  <c r="J168" i="10"/>
  <c r="K168" i="10"/>
  <c r="L168" i="10"/>
  <c r="M168" i="10"/>
  <c r="AC168" i="10"/>
  <c r="AD168" i="10"/>
  <c r="J169" i="10"/>
  <c r="K169" i="10"/>
  <c r="L169" i="10"/>
  <c r="M169" i="10"/>
  <c r="AC169" i="10"/>
  <c r="AD169" i="10"/>
  <c r="J170" i="10"/>
  <c r="K170" i="10"/>
  <c r="L170" i="10"/>
  <c r="M170" i="10"/>
  <c r="AC170" i="10"/>
  <c r="AD170" i="10"/>
  <c r="J171" i="10"/>
  <c r="K171" i="10"/>
  <c r="L171" i="10"/>
  <c r="M171" i="10"/>
  <c r="AC171" i="10"/>
  <c r="AD171" i="10"/>
  <c r="J172" i="10"/>
  <c r="K172" i="10"/>
  <c r="L172" i="10"/>
  <c r="M172" i="10"/>
  <c r="AC172" i="10"/>
  <c r="AD172" i="10"/>
  <c r="C52" i="10"/>
  <c r="D52" i="10"/>
  <c r="J173" i="10"/>
  <c r="K173" i="10"/>
  <c r="L173" i="10"/>
  <c r="M173" i="10"/>
  <c r="AC173" i="10"/>
  <c r="AD173" i="10"/>
  <c r="J174" i="10"/>
  <c r="K174" i="10"/>
  <c r="L174" i="10"/>
  <c r="M174" i="10"/>
  <c r="AC174" i="10"/>
  <c r="AD174" i="10"/>
  <c r="J175" i="10"/>
  <c r="K175" i="10"/>
  <c r="L175" i="10"/>
  <c r="M175" i="10"/>
  <c r="AC175" i="10"/>
  <c r="AD175" i="10"/>
  <c r="J176" i="10"/>
  <c r="K176" i="10"/>
  <c r="L176" i="10"/>
  <c r="M176" i="10"/>
  <c r="AC176" i="10"/>
  <c r="AD176" i="10"/>
  <c r="J177" i="10"/>
  <c r="K177" i="10"/>
  <c r="L177" i="10"/>
  <c r="M177" i="10"/>
  <c r="AC177" i="10"/>
  <c r="AD177" i="10"/>
  <c r="J178" i="10"/>
  <c r="K178" i="10"/>
  <c r="L178" i="10"/>
  <c r="M178" i="10"/>
  <c r="AC178" i="10"/>
  <c r="AD178" i="10"/>
  <c r="J179" i="10"/>
  <c r="K179" i="10"/>
  <c r="L179" i="10"/>
  <c r="M179" i="10"/>
  <c r="AC179" i="10"/>
  <c r="AD179" i="10"/>
  <c r="J180" i="10"/>
  <c r="K180" i="10"/>
  <c r="L180" i="10"/>
  <c r="M180" i="10"/>
  <c r="AC180" i="10"/>
  <c r="AD180" i="10"/>
  <c r="J181" i="10"/>
  <c r="K181" i="10"/>
  <c r="L181" i="10"/>
  <c r="M181" i="10"/>
  <c r="AC181" i="10"/>
  <c r="AD181" i="10"/>
  <c r="J182" i="10"/>
  <c r="K182" i="10"/>
  <c r="L182" i="10"/>
  <c r="M182" i="10"/>
  <c r="AC182" i="10"/>
  <c r="AD182" i="10"/>
  <c r="J183" i="10"/>
  <c r="K183" i="10"/>
  <c r="L183" i="10"/>
  <c r="M183" i="10"/>
  <c r="AC183" i="10"/>
  <c r="AD183" i="10"/>
  <c r="J184" i="10"/>
  <c r="K184" i="10"/>
  <c r="L184" i="10"/>
  <c r="M184" i="10"/>
  <c r="AC184" i="10"/>
  <c r="AD184" i="10"/>
  <c r="C53" i="10"/>
  <c r="D53" i="10"/>
  <c r="J185" i="10"/>
  <c r="K185" i="10"/>
  <c r="L185" i="10"/>
  <c r="M185" i="10"/>
  <c r="AC185" i="10"/>
  <c r="AD185" i="10"/>
  <c r="J186" i="10"/>
  <c r="K186" i="10"/>
  <c r="L186" i="10"/>
  <c r="M186" i="10"/>
  <c r="AC186" i="10"/>
  <c r="AD186" i="10"/>
  <c r="J187" i="10"/>
  <c r="K187" i="10"/>
  <c r="L187" i="10"/>
  <c r="M187" i="10"/>
  <c r="AC187" i="10"/>
  <c r="AD187" i="10"/>
  <c r="J188" i="10"/>
  <c r="K188" i="10"/>
  <c r="L188" i="10"/>
  <c r="M188" i="10"/>
  <c r="AC188" i="10"/>
  <c r="AD188" i="10"/>
  <c r="J189" i="10"/>
  <c r="K189" i="10"/>
  <c r="L189" i="10"/>
  <c r="M189" i="10"/>
  <c r="AC189" i="10"/>
  <c r="AD189" i="10"/>
  <c r="J190" i="10"/>
  <c r="K190" i="10"/>
  <c r="L190" i="10"/>
  <c r="M190" i="10"/>
  <c r="AC190" i="10"/>
  <c r="AD190" i="10"/>
  <c r="J191" i="10"/>
  <c r="K191" i="10"/>
  <c r="L191" i="10"/>
  <c r="M191" i="10"/>
  <c r="AC191" i="10"/>
  <c r="AD191" i="10"/>
  <c r="J192" i="10"/>
  <c r="K192" i="10"/>
  <c r="L192" i="10"/>
  <c r="M192" i="10"/>
  <c r="AC192" i="10"/>
  <c r="AD192" i="10"/>
  <c r="J193" i="10"/>
  <c r="K193" i="10"/>
  <c r="L193" i="10"/>
  <c r="M193" i="10"/>
  <c r="AC193" i="10"/>
  <c r="AD193" i="10"/>
  <c r="J194" i="10"/>
  <c r="K194" i="10"/>
  <c r="L194" i="10"/>
  <c r="M194" i="10"/>
  <c r="AC194" i="10"/>
  <c r="AD194" i="10"/>
  <c r="J195" i="10"/>
  <c r="K195" i="10"/>
  <c r="L195" i="10"/>
  <c r="M195" i="10"/>
  <c r="AC195" i="10"/>
  <c r="AD195" i="10"/>
  <c r="J196" i="10"/>
  <c r="K196" i="10"/>
  <c r="L196" i="10"/>
  <c r="M196" i="10"/>
  <c r="AC196" i="10"/>
  <c r="AD196" i="10"/>
  <c r="C54" i="10"/>
  <c r="D54" i="10"/>
  <c r="J197" i="10"/>
  <c r="K197" i="10"/>
  <c r="L197" i="10"/>
  <c r="M197" i="10"/>
  <c r="AC197" i="10"/>
  <c r="AD197" i="10"/>
  <c r="J198" i="10"/>
  <c r="K198" i="10"/>
  <c r="L198" i="10"/>
  <c r="M198" i="10"/>
  <c r="AC198" i="10"/>
  <c r="AD198" i="10"/>
  <c r="J199" i="10"/>
  <c r="K199" i="10"/>
  <c r="L199" i="10"/>
  <c r="M199" i="10"/>
  <c r="AC199" i="10"/>
  <c r="AD199" i="10"/>
  <c r="J200" i="10"/>
  <c r="K200" i="10"/>
  <c r="L200" i="10"/>
  <c r="M200" i="10"/>
  <c r="AC200" i="10"/>
  <c r="AD200" i="10"/>
  <c r="J201" i="10"/>
  <c r="K201" i="10"/>
  <c r="L201" i="10"/>
  <c r="M201" i="10"/>
  <c r="AC201" i="10"/>
  <c r="AD201" i="10"/>
  <c r="J202" i="10"/>
  <c r="K202" i="10"/>
  <c r="L202" i="10"/>
  <c r="M202" i="10"/>
  <c r="AC202" i="10"/>
  <c r="AD202" i="10"/>
  <c r="J203" i="10"/>
  <c r="K203" i="10"/>
  <c r="L203" i="10"/>
  <c r="M203" i="10"/>
  <c r="AC203" i="10"/>
  <c r="AD203" i="10"/>
  <c r="J204" i="10"/>
  <c r="K204" i="10"/>
  <c r="L204" i="10"/>
  <c r="M204" i="10"/>
  <c r="AC204" i="10"/>
  <c r="AD204" i="10"/>
  <c r="J205" i="10"/>
  <c r="K205" i="10"/>
  <c r="L205" i="10"/>
  <c r="M205" i="10"/>
  <c r="AC205" i="10"/>
  <c r="AD205" i="10"/>
  <c r="J206" i="10"/>
  <c r="K206" i="10"/>
  <c r="L206" i="10"/>
  <c r="M206" i="10"/>
  <c r="AC206" i="10"/>
  <c r="AD206" i="10"/>
  <c r="J207" i="10"/>
  <c r="K207" i="10"/>
  <c r="L207" i="10"/>
  <c r="M207" i="10"/>
  <c r="AC207" i="10"/>
  <c r="AD207" i="10"/>
  <c r="J208" i="10"/>
  <c r="K208" i="10"/>
  <c r="L208" i="10"/>
  <c r="M208" i="10"/>
  <c r="AC208" i="10"/>
  <c r="AD208" i="10"/>
  <c r="C55" i="10"/>
  <c r="D55" i="10"/>
  <c r="J209" i="10"/>
  <c r="K209" i="10"/>
  <c r="L209" i="10"/>
  <c r="M209" i="10"/>
  <c r="AC209" i="10"/>
  <c r="AD209" i="10"/>
  <c r="J210" i="10"/>
  <c r="K210" i="10"/>
  <c r="L210" i="10"/>
  <c r="M210" i="10"/>
  <c r="AC210" i="10"/>
  <c r="AD210" i="10"/>
  <c r="J211" i="10"/>
  <c r="K211" i="10"/>
  <c r="L211" i="10"/>
  <c r="M211" i="10"/>
  <c r="AC211" i="10"/>
  <c r="AD211" i="10"/>
  <c r="J212" i="10"/>
  <c r="K212" i="10"/>
  <c r="L212" i="10"/>
  <c r="M212" i="10"/>
  <c r="AC212" i="10"/>
  <c r="AD212" i="10"/>
  <c r="J213" i="10"/>
  <c r="K213" i="10"/>
  <c r="L213" i="10"/>
  <c r="M213" i="10"/>
  <c r="AC213" i="10"/>
  <c r="AD213" i="10"/>
  <c r="J214" i="10"/>
  <c r="K214" i="10"/>
  <c r="L214" i="10"/>
  <c r="M214" i="10"/>
  <c r="AC214" i="10"/>
  <c r="AD214" i="10"/>
  <c r="J215" i="10"/>
  <c r="K215" i="10"/>
  <c r="L215" i="10"/>
  <c r="M215" i="10"/>
  <c r="AC215" i="10"/>
  <c r="AD215" i="10"/>
  <c r="J216" i="10"/>
  <c r="K216" i="10"/>
  <c r="L216" i="10"/>
  <c r="M216" i="10"/>
  <c r="AC216" i="10"/>
  <c r="AD216" i="10"/>
  <c r="J217" i="10"/>
  <c r="K217" i="10"/>
  <c r="L217" i="10"/>
  <c r="M217" i="10"/>
  <c r="AC217" i="10"/>
  <c r="AD217" i="10"/>
  <c r="J218" i="10"/>
  <c r="K218" i="10"/>
  <c r="L218" i="10"/>
  <c r="M218" i="10"/>
  <c r="AC218" i="10"/>
  <c r="AD218" i="10"/>
  <c r="J219" i="10"/>
  <c r="K219" i="10"/>
  <c r="L219" i="10"/>
  <c r="M219" i="10"/>
  <c r="AC219" i="10"/>
  <c r="AD219" i="10"/>
  <c r="J220" i="10"/>
  <c r="K220" i="10"/>
  <c r="L220" i="10"/>
  <c r="M220" i="10"/>
  <c r="AC220" i="10"/>
  <c r="AD220" i="10"/>
  <c r="C56" i="10"/>
  <c r="D56" i="10"/>
  <c r="J221" i="10"/>
  <c r="K221" i="10"/>
  <c r="L221" i="10"/>
  <c r="M221" i="10"/>
  <c r="AC221" i="10"/>
  <c r="AD221" i="10"/>
  <c r="J222" i="10"/>
  <c r="K222" i="10"/>
  <c r="L222" i="10"/>
  <c r="M222" i="10"/>
  <c r="AC222" i="10"/>
  <c r="AD222" i="10"/>
  <c r="J223" i="10"/>
  <c r="K223" i="10"/>
  <c r="L223" i="10"/>
  <c r="M223" i="10"/>
  <c r="AC223" i="10"/>
  <c r="AD223" i="10"/>
  <c r="J224" i="10"/>
  <c r="K224" i="10"/>
  <c r="L224" i="10"/>
  <c r="M224" i="10"/>
  <c r="AC224" i="10"/>
  <c r="AD224" i="10"/>
  <c r="J225" i="10"/>
  <c r="K225" i="10"/>
  <c r="L225" i="10"/>
  <c r="M225" i="10"/>
  <c r="AC225" i="10"/>
  <c r="AD225" i="10"/>
  <c r="J226" i="10"/>
  <c r="K226" i="10"/>
  <c r="L226" i="10"/>
  <c r="M226" i="10"/>
  <c r="AC226" i="10"/>
  <c r="AD226" i="10"/>
  <c r="J227" i="10"/>
  <c r="K227" i="10"/>
  <c r="L227" i="10"/>
  <c r="M227" i="10"/>
  <c r="AC227" i="10"/>
  <c r="AD227" i="10"/>
  <c r="J228" i="10"/>
  <c r="K228" i="10"/>
  <c r="L228" i="10"/>
  <c r="M228" i="10"/>
  <c r="AC228" i="10"/>
  <c r="AD228" i="10"/>
  <c r="J229" i="10"/>
  <c r="K229" i="10"/>
  <c r="L229" i="10"/>
  <c r="M229" i="10"/>
  <c r="AC229" i="10"/>
  <c r="AD229" i="10"/>
  <c r="J230" i="10"/>
  <c r="K230" i="10"/>
  <c r="L230" i="10"/>
  <c r="M230" i="10"/>
  <c r="AC230" i="10"/>
  <c r="AD230" i="10"/>
  <c r="J231" i="10"/>
  <c r="K231" i="10"/>
  <c r="L231" i="10"/>
  <c r="M231" i="10"/>
  <c r="AC231" i="10"/>
  <c r="AD231" i="10"/>
  <c r="J232" i="10"/>
  <c r="K232" i="10"/>
  <c r="L232" i="10"/>
  <c r="M232" i="10"/>
  <c r="AC232" i="10"/>
  <c r="AD232" i="10"/>
  <c r="C57" i="10"/>
  <c r="D57" i="10"/>
  <c r="J233" i="10"/>
  <c r="K233" i="10"/>
  <c r="L233" i="10"/>
  <c r="M233" i="10"/>
  <c r="AC233" i="10"/>
  <c r="AD233" i="10"/>
  <c r="J234" i="10"/>
  <c r="K234" i="10"/>
  <c r="L234" i="10"/>
  <c r="M234" i="10"/>
  <c r="AC234" i="10"/>
  <c r="AD234" i="10"/>
  <c r="J235" i="10"/>
  <c r="K235" i="10"/>
  <c r="L235" i="10"/>
  <c r="M235" i="10"/>
  <c r="AC235" i="10"/>
  <c r="AD235" i="10"/>
  <c r="J236" i="10"/>
  <c r="K236" i="10"/>
  <c r="L236" i="10"/>
  <c r="M236" i="10"/>
  <c r="AC236" i="10"/>
  <c r="AD236" i="10"/>
  <c r="J237" i="10"/>
  <c r="K237" i="10"/>
  <c r="L237" i="10"/>
  <c r="M237" i="10"/>
  <c r="AC237" i="10"/>
  <c r="AD237" i="10"/>
  <c r="J238" i="10"/>
  <c r="K238" i="10"/>
  <c r="L238" i="10"/>
  <c r="M238" i="10"/>
  <c r="AC238" i="10"/>
  <c r="AD238" i="10"/>
  <c r="J239" i="10"/>
  <c r="K239" i="10"/>
  <c r="L239" i="10"/>
  <c r="M239" i="10"/>
  <c r="AC239" i="10"/>
  <c r="AD239" i="10"/>
  <c r="J240" i="10"/>
  <c r="K240" i="10"/>
  <c r="L240" i="10"/>
  <c r="M240" i="10"/>
  <c r="AC240" i="10"/>
  <c r="AD240" i="10"/>
  <c r="J241" i="10"/>
  <c r="K241" i="10"/>
  <c r="L241" i="10"/>
  <c r="M241" i="10"/>
  <c r="AC241" i="10"/>
  <c r="AD241" i="10"/>
  <c r="J242" i="10"/>
  <c r="K242" i="10"/>
  <c r="L242" i="10"/>
  <c r="M242" i="10"/>
  <c r="AC242" i="10"/>
  <c r="AD242" i="10"/>
  <c r="J243" i="10"/>
  <c r="K243" i="10"/>
  <c r="L243" i="10"/>
  <c r="M243" i="10"/>
  <c r="AC243" i="10"/>
  <c r="AD243" i="10"/>
  <c r="J244" i="10"/>
  <c r="K244" i="10"/>
  <c r="L244" i="10"/>
  <c r="M244" i="10"/>
  <c r="AC244" i="10"/>
  <c r="AD244" i="10"/>
  <c r="J5" i="10"/>
  <c r="K5" i="10"/>
  <c r="L5" i="10"/>
  <c r="AC5" i="10"/>
  <c r="AD5" i="10"/>
  <c r="C12" i="10"/>
  <c r="P5" i="10"/>
  <c r="S5" i="10"/>
  <c r="T5" i="10"/>
  <c r="O5" i="10"/>
  <c r="U5" i="10"/>
  <c r="Q5" i="10"/>
  <c r="R5" i="10"/>
  <c r="O6" i="10"/>
  <c r="P6" i="10"/>
  <c r="Q6" i="10"/>
  <c r="R6" i="10"/>
  <c r="O7" i="10"/>
  <c r="P7" i="10"/>
  <c r="Q7" i="10"/>
  <c r="R7" i="10"/>
  <c r="O8" i="10"/>
  <c r="P8" i="10"/>
  <c r="Q8" i="10"/>
  <c r="R8" i="10"/>
  <c r="O9" i="10"/>
  <c r="P9" i="10"/>
  <c r="Q9" i="10"/>
  <c r="R9" i="10"/>
  <c r="O10" i="10"/>
  <c r="P10" i="10"/>
  <c r="Q10" i="10"/>
  <c r="R10" i="10"/>
  <c r="O11" i="10"/>
  <c r="P11" i="10"/>
  <c r="Q11" i="10"/>
  <c r="R11" i="10"/>
  <c r="O12" i="10"/>
  <c r="P12" i="10"/>
  <c r="Q12" i="10"/>
  <c r="R12" i="10"/>
  <c r="O13" i="10"/>
  <c r="P13" i="10"/>
  <c r="Q13" i="10"/>
  <c r="R13" i="10"/>
  <c r="O14" i="10"/>
  <c r="P14" i="10"/>
  <c r="Q14" i="10"/>
  <c r="R14" i="10"/>
  <c r="O15" i="10"/>
  <c r="P15" i="10"/>
  <c r="Q15" i="10"/>
  <c r="R15" i="10"/>
  <c r="O16" i="10"/>
  <c r="P16" i="10"/>
  <c r="Q16" i="10"/>
  <c r="R16" i="10"/>
  <c r="O17" i="10"/>
  <c r="P17" i="10"/>
  <c r="Q17" i="10"/>
  <c r="R17" i="10"/>
  <c r="O18" i="10"/>
  <c r="P18" i="10"/>
  <c r="Q18" i="10"/>
  <c r="R18" i="10"/>
  <c r="O19" i="10"/>
  <c r="P19" i="10"/>
  <c r="Q19" i="10"/>
  <c r="R19" i="10"/>
  <c r="O20" i="10"/>
  <c r="P20" i="10"/>
  <c r="Q20" i="10"/>
  <c r="R20" i="10"/>
  <c r="O21" i="10"/>
  <c r="P21" i="10"/>
  <c r="Q21" i="10"/>
  <c r="R21" i="10"/>
  <c r="O22" i="10"/>
  <c r="P22" i="10"/>
  <c r="Q22" i="10"/>
  <c r="R22" i="10"/>
  <c r="O23" i="10"/>
  <c r="P23" i="10"/>
  <c r="Q23" i="10"/>
  <c r="R23" i="10"/>
  <c r="O24" i="10"/>
  <c r="P24" i="10"/>
  <c r="Q24" i="10"/>
  <c r="R24" i="10"/>
  <c r="O25" i="10"/>
  <c r="P25" i="10"/>
  <c r="Q25" i="10"/>
  <c r="R25" i="10"/>
  <c r="O26" i="10"/>
  <c r="P26" i="10"/>
  <c r="Q26" i="10"/>
  <c r="R26" i="10"/>
  <c r="O27" i="10"/>
  <c r="P27" i="10"/>
  <c r="Q27" i="10"/>
  <c r="R27" i="10"/>
  <c r="O28" i="10"/>
  <c r="P28" i="10"/>
  <c r="Q28" i="10"/>
  <c r="R28" i="10"/>
  <c r="O29" i="10"/>
  <c r="P29" i="10"/>
  <c r="Q29" i="10"/>
  <c r="R29" i="10"/>
  <c r="O30" i="10"/>
  <c r="P30" i="10"/>
  <c r="Q30" i="10"/>
  <c r="R30" i="10"/>
  <c r="O31" i="10"/>
  <c r="P31" i="10"/>
  <c r="Q31" i="10"/>
  <c r="R31" i="10"/>
  <c r="O32" i="10"/>
  <c r="P32" i="10"/>
  <c r="Q32" i="10"/>
  <c r="R32" i="10"/>
  <c r="O33" i="10"/>
  <c r="P33" i="10"/>
  <c r="Q33" i="10"/>
  <c r="R33" i="10"/>
  <c r="O34" i="10"/>
  <c r="P34" i="10"/>
  <c r="Q34" i="10"/>
  <c r="R34" i="10"/>
  <c r="O35" i="10"/>
  <c r="P35" i="10"/>
  <c r="Q35" i="10"/>
  <c r="R35" i="10"/>
  <c r="O36" i="10"/>
  <c r="P36" i="10"/>
  <c r="Q36" i="10"/>
  <c r="R36" i="10"/>
  <c r="O37" i="10"/>
  <c r="P37" i="10"/>
  <c r="Q37" i="10"/>
  <c r="R37" i="10"/>
  <c r="O38" i="10"/>
  <c r="P38" i="10"/>
  <c r="Q38" i="10"/>
  <c r="R38" i="10"/>
  <c r="O39" i="10"/>
  <c r="P39" i="10"/>
  <c r="Q39" i="10"/>
  <c r="R39" i="10"/>
  <c r="O40" i="10"/>
  <c r="P40" i="10"/>
  <c r="Q40" i="10"/>
  <c r="R40" i="10"/>
  <c r="P41" i="10"/>
  <c r="S41" i="10"/>
  <c r="T41" i="10"/>
  <c r="O41" i="10"/>
  <c r="Q41" i="10"/>
  <c r="R41" i="10"/>
  <c r="P42" i="10"/>
  <c r="S42" i="10"/>
  <c r="T42" i="10"/>
  <c r="O42" i="10"/>
  <c r="Q42" i="10"/>
  <c r="R42" i="10"/>
  <c r="P43" i="10"/>
  <c r="S43" i="10"/>
  <c r="T43" i="10"/>
  <c r="O43" i="10"/>
  <c r="Q43" i="10"/>
  <c r="R43" i="10"/>
  <c r="P44" i="10"/>
  <c r="S44" i="10"/>
  <c r="T44" i="10"/>
  <c r="O44" i="10"/>
  <c r="Q44" i="10"/>
  <c r="R44" i="10"/>
  <c r="P45" i="10"/>
  <c r="S45" i="10"/>
  <c r="T45" i="10"/>
  <c r="O45" i="10"/>
  <c r="Q45" i="10"/>
  <c r="R45" i="10"/>
  <c r="P46" i="10"/>
  <c r="S46" i="10"/>
  <c r="T46" i="10"/>
  <c r="O46" i="10"/>
  <c r="Q46" i="10"/>
  <c r="R46" i="10"/>
  <c r="P47" i="10"/>
  <c r="S47" i="10"/>
  <c r="T47" i="10"/>
  <c r="O47" i="10"/>
  <c r="Q47" i="10"/>
  <c r="R47" i="10"/>
  <c r="P48" i="10"/>
  <c r="S48" i="10"/>
  <c r="T48" i="10"/>
  <c r="O48" i="10"/>
  <c r="Q48" i="10"/>
  <c r="R48" i="10"/>
  <c r="P49" i="10"/>
  <c r="S49" i="10"/>
  <c r="T49" i="10"/>
  <c r="O49" i="10"/>
  <c r="Q49" i="10"/>
  <c r="R49" i="10"/>
  <c r="P50" i="10"/>
  <c r="S50" i="10"/>
  <c r="T50" i="10"/>
  <c r="O50" i="10"/>
  <c r="Q50" i="10"/>
  <c r="R50" i="10"/>
  <c r="P51" i="10"/>
  <c r="S51" i="10"/>
  <c r="T51" i="10"/>
  <c r="O51" i="10"/>
  <c r="Q51" i="10"/>
  <c r="R51" i="10"/>
  <c r="P52" i="10"/>
  <c r="S52" i="10"/>
  <c r="T52" i="10"/>
  <c r="O52" i="10"/>
  <c r="Q52" i="10"/>
  <c r="R52" i="10"/>
  <c r="P53" i="10"/>
  <c r="S53" i="10"/>
  <c r="T53" i="10"/>
  <c r="O53" i="10"/>
  <c r="Q53" i="10"/>
  <c r="R53" i="10"/>
  <c r="P54" i="10"/>
  <c r="S54" i="10"/>
  <c r="T54" i="10"/>
  <c r="O54" i="10"/>
  <c r="Q54" i="10"/>
  <c r="R54" i="10"/>
  <c r="P55" i="10"/>
  <c r="S55" i="10"/>
  <c r="T55" i="10"/>
  <c r="O55" i="10"/>
  <c r="Q55" i="10"/>
  <c r="R55" i="10"/>
  <c r="P56" i="10"/>
  <c r="S56" i="10"/>
  <c r="T56" i="10"/>
  <c r="O56" i="10"/>
  <c r="Q56" i="10"/>
  <c r="R56" i="10"/>
  <c r="P57" i="10"/>
  <c r="S57" i="10"/>
  <c r="T57" i="10"/>
  <c r="O57" i="10"/>
  <c r="Q57" i="10"/>
  <c r="R57" i="10"/>
  <c r="P58" i="10"/>
  <c r="S58" i="10"/>
  <c r="T58" i="10"/>
  <c r="O58" i="10"/>
  <c r="Q58" i="10"/>
  <c r="R58" i="10"/>
  <c r="P59" i="10"/>
  <c r="S59" i="10"/>
  <c r="T59" i="10"/>
  <c r="O59" i="10"/>
  <c r="Q59" i="10"/>
  <c r="R59" i="10"/>
  <c r="P60" i="10"/>
  <c r="S60" i="10"/>
  <c r="T60" i="10"/>
  <c r="O60" i="10"/>
  <c r="Q60" i="10"/>
  <c r="R60" i="10"/>
  <c r="P61" i="10"/>
  <c r="S61" i="10"/>
  <c r="T61" i="10"/>
  <c r="O61" i="10"/>
  <c r="Q61" i="10"/>
  <c r="R61" i="10"/>
  <c r="P62" i="10"/>
  <c r="S62" i="10"/>
  <c r="T62" i="10"/>
  <c r="O62" i="10"/>
  <c r="Q62" i="10"/>
  <c r="R62" i="10"/>
  <c r="P63" i="10"/>
  <c r="S63" i="10"/>
  <c r="T63" i="10"/>
  <c r="O63" i="10"/>
  <c r="Q63" i="10"/>
  <c r="R63" i="10"/>
  <c r="P64" i="10"/>
  <c r="S64" i="10"/>
  <c r="T64" i="10"/>
  <c r="O64" i="10"/>
  <c r="Q64" i="10"/>
  <c r="R64" i="10"/>
  <c r="P65" i="10"/>
  <c r="S65" i="10"/>
  <c r="T65" i="10"/>
  <c r="O65" i="10"/>
  <c r="Q65" i="10"/>
  <c r="R65" i="10"/>
  <c r="P66" i="10"/>
  <c r="S66" i="10"/>
  <c r="T66" i="10"/>
  <c r="O66" i="10"/>
  <c r="Q66" i="10"/>
  <c r="R66" i="10"/>
  <c r="P67" i="10"/>
  <c r="S67" i="10"/>
  <c r="T67" i="10"/>
  <c r="O67" i="10"/>
  <c r="Q67" i="10"/>
  <c r="R67" i="10"/>
  <c r="P68" i="10"/>
  <c r="S68" i="10"/>
  <c r="T68" i="10"/>
  <c r="O68" i="10"/>
  <c r="Q68" i="10"/>
  <c r="R68" i="10"/>
  <c r="P69" i="10"/>
  <c r="S69" i="10"/>
  <c r="T69" i="10"/>
  <c r="O69" i="10"/>
  <c r="Q69" i="10"/>
  <c r="R69" i="10"/>
  <c r="P70" i="10"/>
  <c r="S70" i="10"/>
  <c r="T70" i="10"/>
  <c r="O70" i="10"/>
  <c r="Q70" i="10"/>
  <c r="R70" i="10"/>
  <c r="P71" i="10"/>
  <c r="S71" i="10"/>
  <c r="T71" i="10"/>
  <c r="O71" i="10"/>
  <c r="Q71" i="10"/>
  <c r="R71" i="10"/>
  <c r="P72" i="10"/>
  <c r="S72" i="10"/>
  <c r="T72" i="10"/>
  <c r="O72" i="10"/>
  <c r="Q72" i="10"/>
  <c r="R72" i="10"/>
  <c r="P73" i="10"/>
  <c r="S73" i="10"/>
  <c r="T73" i="10"/>
  <c r="O73" i="10"/>
  <c r="Q73" i="10"/>
  <c r="R73" i="10"/>
  <c r="P74" i="10"/>
  <c r="S74" i="10"/>
  <c r="T74" i="10"/>
  <c r="O74" i="10"/>
  <c r="Q74" i="10"/>
  <c r="R74" i="10"/>
  <c r="P75" i="10"/>
  <c r="S75" i="10"/>
  <c r="T75" i="10"/>
  <c r="O75" i="10"/>
  <c r="Q75" i="10"/>
  <c r="R75" i="10"/>
  <c r="P76" i="10"/>
  <c r="S76" i="10"/>
  <c r="T76" i="10"/>
  <c r="O76" i="10"/>
  <c r="Q76" i="10"/>
  <c r="R76" i="10"/>
  <c r="P77" i="10"/>
  <c r="S77" i="10"/>
  <c r="T77" i="10"/>
  <c r="O77" i="10"/>
  <c r="Q77" i="10"/>
  <c r="R77" i="10"/>
  <c r="P78" i="10"/>
  <c r="S78" i="10"/>
  <c r="T78" i="10"/>
  <c r="O78" i="10"/>
  <c r="Q78" i="10"/>
  <c r="R78" i="10"/>
  <c r="P79" i="10"/>
  <c r="S79" i="10"/>
  <c r="T79" i="10"/>
  <c r="O79" i="10"/>
  <c r="Q79" i="10"/>
  <c r="R79" i="10"/>
  <c r="P80" i="10"/>
  <c r="S80" i="10"/>
  <c r="T80" i="10"/>
  <c r="O80" i="10"/>
  <c r="Q80" i="10"/>
  <c r="R80" i="10"/>
  <c r="P81" i="10"/>
  <c r="S81" i="10"/>
  <c r="T81" i="10"/>
  <c r="O81" i="10"/>
  <c r="Q81" i="10"/>
  <c r="R81" i="10"/>
  <c r="P82" i="10"/>
  <c r="S82" i="10"/>
  <c r="T82" i="10"/>
  <c r="O82" i="10"/>
  <c r="Q82" i="10"/>
  <c r="R82" i="10"/>
  <c r="P83" i="10"/>
  <c r="S83" i="10"/>
  <c r="T83" i="10"/>
  <c r="O83" i="10"/>
  <c r="Q83" i="10"/>
  <c r="R83" i="10"/>
  <c r="P84" i="10"/>
  <c r="S84" i="10"/>
  <c r="T84" i="10"/>
  <c r="O84" i="10"/>
  <c r="Q84" i="10"/>
  <c r="R84" i="10"/>
  <c r="P85" i="10"/>
  <c r="S85" i="10"/>
  <c r="T85" i="10"/>
  <c r="O85" i="10"/>
  <c r="Q85" i="10"/>
  <c r="R85" i="10"/>
  <c r="P86" i="10"/>
  <c r="S86" i="10"/>
  <c r="T86" i="10"/>
  <c r="O86" i="10"/>
  <c r="Q86" i="10"/>
  <c r="R86" i="10"/>
  <c r="P87" i="10"/>
  <c r="S87" i="10"/>
  <c r="T87" i="10"/>
  <c r="O87" i="10"/>
  <c r="Q87" i="10"/>
  <c r="R87" i="10"/>
  <c r="P88" i="10"/>
  <c r="S88" i="10"/>
  <c r="T88" i="10"/>
  <c r="O88" i="10"/>
  <c r="Q88" i="10"/>
  <c r="R88" i="10"/>
  <c r="P89" i="10"/>
  <c r="S89" i="10"/>
  <c r="T89" i="10"/>
  <c r="O89" i="10"/>
  <c r="Q89" i="10"/>
  <c r="R89" i="10"/>
  <c r="P90" i="10"/>
  <c r="S90" i="10"/>
  <c r="T90" i="10"/>
  <c r="O90" i="10"/>
  <c r="Q90" i="10"/>
  <c r="R90" i="10"/>
  <c r="P91" i="10"/>
  <c r="S91" i="10"/>
  <c r="T91" i="10"/>
  <c r="O91" i="10"/>
  <c r="Q91" i="10"/>
  <c r="R91" i="10"/>
  <c r="P92" i="10"/>
  <c r="S92" i="10"/>
  <c r="T92" i="10"/>
  <c r="O92" i="10"/>
  <c r="Q92" i="10"/>
  <c r="R92" i="10"/>
  <c r="P93" i="10"/>
  <c r="S93" i="10"/>
  <c r="T93" i="10"/>
  <c r="O93" i="10"/>
  <c r="Q93" i="10"/>
  <c r="R93" i="10"/>
  <c r="P94" i="10"/>
  <c r="S94" i="10"/>
  <c r="T94" i="10"/>
  <c r="O94" i="10"/>
  <c r="Q94" i="10"/>
  <c r="R94" i="10"/>
  <c r="P95" i="10"/>
  <c r="S95" i="10"/>
  <c r="T95" i="10"/>
  <c r="O95" i="10"/>
  <c r="Q95" i="10"/>
  <c r="R95" i="10"/>
  <c r="P96" i="10"/>
  <c r="S96" i="10"/>
  <c r="T96" i="10"/>
  <c r="O96" i="10"/>
  <c r="Q96" i="10"/>
  <c r="R96" i="10"/>
  <c r="P97" i="10"/>
  <c r="S97" i="10"/>
  <c r="T97" i="10"/>
  <c r="O97" i="10"/>
  <c r="Q97" i="10"/>
  <c r="R97" i="10"/>
  <c r="P98" i="10"/>
  <c r="S98" i="10"/>
  <c r="T98" i="10"/>
  <c r="O98" i="10"/>
  <c r="Q98" i="10"/>
  <c r="R98" i="10"/>
  <c r="P99" i="10"/>
  <c r="S99" i="10"/>
  <c r="T99" i="10"/>
  <c r="O99" i="10"/>
  <c r="Q99" i="10"/>
  <c r="R99" i="10"/>
  <c r="P100" i="10"/>
  <c r="S100" i="10"/>
  <c r="T100" i="10"/>
  <c r="O100" i="10"/>
  <c r="Q100" i="10"/>
  <c r="R100" i="10"/>
  <c r="P101" i="10"/>
  <c r="S101" i="10"/>
  <c r="T101" i="10"/>
  <c r="O101" i="10"/>
  <c r="Q101" i="10"/>
  <c r="R101" i="10"/>
  <c r="P102" i="10"/>
  <c r="S102" i="10"/>
  <c r="T102" i="10"/>
  <c r="O102" i="10"/>
  <c r="Q102" i="10"/>
  <c r="R102" i="10"/>
  <c r="P103" i="10"/>
  <c r="S103" i="10"/>
  <c r="T103" i="10"/>
  <c r="O103" i="10"/>
  <c r="Q103" i="10"/>
  <c r="R103" i="10"/>
  <c r="P104" i="10"/>
  <c r="S104" i="10"/>
  <c r="T104" i="10"/>
  <c r="O104" i="10"/>
  <c r="Q104" i="10"/>
  <c r="R104" i="10"/>
  <c r="P105" i="10"/>
  <c r="S105" i="10"/>
  <c r="T105" i="10"/>
  <c r="O105" i="10"/>
  <c r="Q105" i="10"/>
  <c r="R105" i="10"/>
  <c r="P106" i="10"/>
  <c r="S106" i="10"/>
  <c r="T106" i="10"/>
  <c r="O106" i="10"/>
  <c r="Q106" i="10"/>
  <c r="R106" i="10"/>
  <c r="P107" i="10"/>
  <c r="S107" i="10"/>
  <c r="T107" i="10"/>
  <c r="O107" i="10"/>
  <c r="Q107" i="10"/>
  <c r="R107" i="10"/>
  <c r="P108" i="10"/>
  <c r="S108" i="10"/>
  <c r="T108" i="10"/>
  <c r="O108" i="10"/>
  <c r="Q108" i="10"/>
  <c r="R108" i="10"/>
  <c r="P109" i="10"/>
  <c r="S109" i="10"/>
  <c r="T109" i="10"/>
  <c r="O109" i="10"/>
  <c r="Q109" i="10"/>
  <c r="R109" i="10"/>
  <c r="P110" i="10"/>
  <c r="S110" i="10"/>
  <c r="T110" i="10"/>
  <c r="O110" i="10"/>
  <c r="Q110" i="10"/>
  <c r="R110" i="10"/>
  <c r="P111" i="10"/>
  <c r="S111" i="10"/>
  <c r="T111" i="10"/>
  <c r="O111" i="10"/>
  <c r="Q111" i="10"/>
  <c r="R111" i="10"/>
  <c r="P112" i="10"/>
  <c r="S112" i="10"/>
  <c r="T112" i="10"/>
  <c r="O112" i="10"/>
  <c r="Q112" i="10"/>
  <c r="R112" i="10"/>
  <c r="P113" i="10"/>
  <c r="S113" i="10"/>
  <c r="T113" i="10"/>
  <c r="O113" i="10"/>
  <c r="Q113" i="10"/>
  <c r="R113" i="10"/>
  <c r="P114" i="10"/>
  <c r="S114" i="10"/>
  <c r="T114" i="10"/>
  <c r="O114" i="10"/>
  <c r="Q114" i="10"/>
  <c r="R114" i="10"/>
  <c r="P115" i="10"/>
  <c r="S115" i="10"/>
  <c r="T115" i="10"/>
  <c r="O115" i="10"/>
  <c r="Q115" i="10"/>
  <c r="R115" i="10"/>
  <c r="P116" i="10"/>
  <c r="S116" i="10"/>
  <c r="T116" i="10"/>
  <c r="O116" i="10"/>
  <c r="Q116" i="10"/>
  <c r="R116" i="10"/>
  <c r="P117" i="10"/>
  <c r="S117" i="10"/>
  <c r="T117" i="10"/>
  <c r="O117" i="10"/>
  <c r="Q117" i="10"/>
  <c r="R117" i="10"/>
  <c r="P118" i="10"/>
  <c r="S118" i="10"/>
  <c r="T118" i="10"/>
  <c r="O118" i="10"/>
  <c r="Q118" i="10"/>
  <c r="R118" i="10"/>
  <c r="P119" i="10"/>
  <c r="S119" i="10"/>
  <c r="T119" i="10"/>
  <c r="O119" i="10"/>
  <c r="Q119" i="10"/>
  <c r="R119" i="10"/>
  <c r="P120" i="10"/>
  <c r="S120" i="10"/>
  <c r="T120" i="10"/>
  <c r="O120" i="10"/>
  <c r="Q120" i="10"/>
  <c r="R120" i="10"/>
  <c r="P121" i="10"/>
  <c r="S121" i="10"/>
  <c r="T121" i="10"/>
  <c r="O121" i="10"/>
  <c r="Q121" i="10"/>
  <c r="R121" i="10"/>
  <c r="P122" i="10"/>
  <c r="S122" i="10"/>
  <c r="T122" i="10"/>
  <c r="O122" i="10"/>
  <c r="Q122" i="10"/>
  <c r="R122" i="10"/>
  <c r="P123" i="10"/>
  <c r="S123" i="10"/>
  <c r="T123" i="10"/>
  <c r="O123" i="10"/>
  <c r="Q123" i="10"/>
  <c r="R123" i="10"/>
  <c r="P124" i="10"/>
  <c r="S124" i="10"/>
  <c r="T124" i="10"/>
  <c r="O124" i="10"/>
  <c r="Q124" i="10"/>
  <c r="R124" i="10"/>
  <c r="P125" i="10"/>
  <c r="S125" i="10"/>
  <c r="T125" i="10"/>
  <c r="O125" i="10"/>
  <c r="Q125" i="10"/>
  <c r="R125" i="10"/>
  <c r="P126" i="10"/>
  <c r="S126" i="10"/>
  <c r="T126" i="10"/>
  <c r="O126" i="10"/>
  <c r="Q126" i="10"/>
  <c r="R126" i="10"/>
  <c r="P127" i="10"/>
  <c r="S127" i="10"/>
  <c r="T127" i="10"/>
  <c r="O127" i="10"/>
  <c r="Q127" i="10"/>
  <c r="R127" i="10"/>
  <c r="P128" i="10"/>
  <c r="S128" i="10"/>
  <c r="T128" i="10"/>
  <c r="O128" i="10"/>
  <c r="Q128" i="10"/>
  <c r="R128" i="10"/>
  <c r="P129" i="10"/>
  <c r="S129" i="10"/>
  <c r="T129" i="10"/>
  <c r="O129" i="10"/>
  <c r="Q129" i="10"/>
  <c r="R129" i="10"/>
  <c r="P130" i="10"/>
  <c r="S130" i="10"/>
  <c r="T130" i="10"/>
  <c r="O130" i="10"/>
  <c r="Q130" i="10"/>
  <c r="R130" i="10"/>
  <c r="P131" i="10"/>
  <c r="S131" i="10"/>
  <c r="T131" i="10"/>
  <c r="O131" i="10"/>
  <c r="Q131" i="10"/>
  <c r="R131" i="10"/>
  <c r="P132" i="10"/>
  <c r="S132" i="10"/>
  <c r="T132" i="10"/>
  <c r="O132" i="10"/>
  <c r="Q132" i="10"/>
  <c r="R132" i="10"/>
  <c r="P133" i="10"/>
  <c r="S133" i="10"/>
  <c r="T133" i="10"/>
  <c r="O133" i="10"/>
  <c r="Q133" i="10"/>
  <c r="R133" i="10"/>
  <c r="P134" i="10"/>
  <c r="S134" i="10"/>
  <c r="T134" i="10"/>
  <c r="O134" i="10"/>
  <c r="Q134" i="10"/>
  <c r="R134" i="10"/>
  <c r="P135" i="10"/>
  <c r="S135" i="10"/>
  <c r="T135" i="10"/>
  <c r="O135" i="10"/>
  <c r="Q135" i="10"/>
  <c r="R135" i="10"/>
  <c r="P136" i="10"/>
  <c r="S136" i="10"/>
  <c r="T136" i="10"/>
  <c r="O136" i="10"/>
  <c r="Q136" i="10"/>
  <c r="R136" i="10"/>
  <c r="P137" i="10"/>
  <c r="S137" i="10"/>
  <c r="T137" i="10"/>
  <c r="O137" i="10"/>
  <c r="Q137" i="10"/>
  <c r="R137" i="10"/>
  <c r="P138" i="10"/>
  <c r="S138" i="10"/>
  <c r="T138" i="10"/>
  <c r="O138" i="10"/>
  <c r="Q138" i="10"/>
  <c r="R138" i="10"/>
  <c r="P139" i="10"/>
  <c r="S139" i="10"/>
  <c r="T139" i="10"/>
  <c r="O139" i="10"/>
  <c r="Q139" i="10"/>
  <c r="R139" i="10"/>
  <c r="P140" i="10"/>
  <c r="S140" i="10"/>
  <c r="T140" i="10"/>
  <c r="O140" i="10"/>
  <c r="Q140" i="10"/>
  <c r="R140" i="10"/>
  <c r="P141" i="10"/>
  <c r="S141" i="10"/>
  <c r="T141" i="10"/>
  <c r="O141" i="10"/>
  <c r="Q141" i="10"/>
  <c r="R141" i="10"/>
  <c r="P142" i="10"/>
  <c r="S142" i="10"/>
  <c r="T142" i="10"/>
  <c r="O142" i="10"/>
  <c r="Q142" i="10"/>
  <c r="R142" i="10"/>
  <c r="P143" i="10"/>
  <c r="S143" i="10"/>
  <c r="T143" i="10"/>
  <c r="O143" i="10"/>
  <c r="Q143" i="10"/>
  <c r="R143" i="10"/>
  <c r="P144" i="10"/>
  <c r="S144" i="10"/>
  <c r="T144" i="10"/>
  <c r="O144" i="10"/>
  <c r="Q144" i="10"/>
  <c r="R144" i="10"/>
  <c r="P145" i="10"/>
  <c r="S145" i="10"/>
  <c r="T145" i="10"/>
  <c r="O145" i="10"/>
  <c r="Q145" i="10"/>
  <c r="R145" i="10"/>
  <c r="P146" i="10"/>
  <c r="S146" i="10"/>
  <c r="T146" i="10"/>
  <c r="O146" i="10"/>
  <c r="Q146" i="10"/>
  <c r="R146" i="10"/>
  <c r="P147" i="10"/>
  <c r="S147" i="10"/>
  <c r="T147" i="10"/>
  <c r="O147" i="10"/>
  <c r="Q147" i="10"/>
  <c r="R147" i="10"/>
  <c r="P148" i="10"/>
  <c r="S148" i="10"/>
  <c r="T148" i="10"/>
  <c r="O148" i="10"/>
  <c r="Q148" i="10"/>
  <c r="R148" i="10"/>
  <c r="P149" i="10"/>
  <c r="S149" i="10"/>
  <c r="T149" i="10"/>
  <c r="O149" i="10"/>
  <c r="Q149" i="10"/>
  <c r="R149" i="10"/>
  <c r="P150" i="10"/>
  <c r="S150" i="10"/>
  <c r="T150" i="10"/>
  <c r="O150" i="10"/>
  <c r="Q150" i="10"/>
  <c r="R150" i="10"/>
  <c r="P151" i="10"/>
  <c r="S151" i="10"/>
  <c r="T151" i="10"/>
  <c r="O151" i="10"/>
  <c r="Q151" i="10"/>
  <c r="R151" i="10"/>
  <c r="P152" i="10"/>
  <c r="S152" i="10"/>
  <c r="T152" i="10"/>
  <c r="O152" i="10"/>
  <c r="Q152" i="10"/>
  <c r="R152" i="10"/>
  <c r="P153" i="10"/>
  <c r="S153" i="10"/>
  <c r="T153" i="10"/>
  <c r="O153" i="10"/>
  <c r="Q153" i="10"/>
  <c r="R153" i="10"/>
  <c r="P154" i="10"/>
  <c r="S154" i="10"/>
  <c r="T154" i="10"/>
  <c r="O154" i="10"/>
  <c r="Q154" i="10"/>
  <c r="R154" i="10"/>
  <c r="P155" i="10"/>
  <c r="S155" i="10"/>
  <c r="T155" i="10"/>
  <c r="O155" i="10"/>
  <c r="Q155" i="10"/>
  <c r="R155" i="10"/>
  <c r="P156" i="10"/>
  <c r="S156" i="10"/>
  <c r="T156" i="10"/>
  <c r="O156" i="10"/>
  <c r="Q156" i="10"/>
  <c r="R156" i="10"/>
  <c r="P157" i="10"/>
  <c r="S157" i="10"/>
  <c r="T157" i="10"/>
  <c r="O157" i="10"/>
  <c r="Q157" i="10"/>
  <c r="R157" i="10"/>
  <c r="P158" i="10"/>
  <c r="S158" i="10"/>
  <c r="T158" i="10"/>
  <c r="O158" i="10"/>
  <c r="Q158" i="10"/>
  <c r="R158" i="10"/>
  <c r="P159" i="10"/>
  <c r="S159" i="10"/>
  <c r="T159" i="10"/>
  <c r="O159" i="10"/>
  <c r="Q159" i="10"/>
  <c r="R159" i="10"/>
  <c r="P160" i="10"/>
  <c r="S160" i="10"/>
  <c r="T160" i="10"/>
  <c r="O160" i="10"/>
  <c r="Q160" i="10"/>
  <c r="R160" i="10"/>
  <c r="P161" i="10"/>
  <c r="S161" i="10"/>
  <c r="T161" i="10"/>
  <c r="O161" i="10"/>
  <c r="Q161" i="10"/>
  <c r="R161" i="10"/>
  <c r="P162" i="10"/>
  <c r="S162" i="10"/>
  <c r="T162" i="10"/>
  <c r="O162" i="10"/>
  <c r="Q162" i="10"/>
  <c r="R162" i="10"/>
  <c r="P163" i="10"/>
  <c r="S163" i="10"/>
  <c r="T163" i="10"/>
  <c r="O163" i="10"/>
  <c r="Q163" i="10"/>
  <c r="R163" i="10"/>
  <c r="P164" i="10"/>
  <c r="S164" i="10"/>
  <c r="T164" i="10"/>
  <c r="O164" i="10"/>
  <c r="Q164" i="10"/>
  <c r="R164" i="10"/>
  <c r="P165" i="10"/>
  <c r="S165" i="10"/>
  <c r="T165" i="10"/>
  <c r="O165" i="10"/>
  <c r="Q165" i="10"/>
  <c r="R165" i="10"/>
  <c r="P166" i="10"/>
  <c r="S166" i="10"/>
  <c r="T166" i="10"/>
  <c r="O166" i="10"/>
  <c r="Q166" i="10"/>
  <c r="R166" i="10"/>
  <c r="P167" i="10"/>
  <c r="S167" i="10"/>
  <c r="T167" i="10"/>
  <c r="O167" i="10"/>
  <c r="Q167" i="10"/>
  <c r="R167" i="10"/>
  <c r="P168" i="10"/>
  <c r="S168" i="10"/>
  <c r="T168" i="10"/>
  <c r="O168" i="10"/>
  <c r="Q168" i="10"/>
  <c r="R168" i="10"/>
  <c r="P169" i="10"/>
  <c r="S169" i="10"/>
  <c r="T169" i="10"/>
  <c r="O169" i="10"/>
  <c r="Q169" i="10"/>
  <c r="R169" i="10"/>
  <c r="P170" i="10"/>
  <c r="S170" i="10"/>
  <c r="T170" i="10"/>
  <c r="O170" i="10"/>
  <c r="Q170" i="10"/>
  <c r="R170" i="10"/>
  <c r="P171" i="10"/>
  <c r="S171" i="10"/>
  <c r="T171" i="10"/>
  <c r="O171" i="10"/>
  <c r="Q171" i="10"/>
  <c r="R171" i="10"/>
  <c r="P172" i="10"/>
  <c r="S172" i="10"/>
  <c r="T172" i="10"/>
  <c r="O172" i="10"/>
  <c r="Q172" i="10"/>
  <c r="R172" i="10"/>
  <c r="P173" i="10"/>
  <c r="S173" i="10"/>
  <c r="T173" i="10"/>
  <c r="O173" i="10"/>
  <c r="Q173" i="10"/>
  <c r="R173" i="10"/>
  <c r="P174" i="10"/>
  <c r="S174" i="10"/>
  <c r="T174" i="10"/>
  <c r="O174" i="10"/>
  <c r="Q174" i="10"/>
  <c r="R174" i="10"/>
  <c r="P175" i="10"/>
  <c r="S175" i="10"/>
  <c r="T175" i="10"/>
  <c r="O175" i="10"/>
  <c r="Q175" i="10"/>
  <c r="R175" i="10"/>
  <c r="P176" i="10"/>
  <c r="S176" i="10"/>
  <c r="T176" i="10"/>
  <c r="O176" i="10"/>
  <c r="Q176" i="10"/>
  <c r="R176" i="10"/>
  <c r="P177" i="10"/>
  <c r="S177" i="10"/>
  <c r="T177" i="10"/>
  <c r="O177" i="10"/>
  <c r="Q177" i="10"/>
  <c r="R177" i="10"/>
  <c r="P178" i="10"/>
  <c r="S178" i="10"/>
  <c r="T178" i="10"/>
  <c r="O178" i="10"/>
  <c r="Q178" i="10"/>
  <c r="R178" i="10"/>
  <c r="P179" i="10"/>
  <c r="S179" i="10"/>
  <c r="T179" i="10"/>
  <c r="O179" i="10"/>
  <c r="Q179" i="10"/>
  <c r="R179" i="10"/>
  <c r="P180" i="10"/>
  <c r="S180" i="10"/>
  <c r="T180" i="10"/>
  <c r="O180" i="10"/>
  <c r="Q180" i="10"/>
  <c r="R180" i="10"/>
  <c r="P181" i="10"/>
  <c r="S181" i="10"/>
  <c r="T181" i="10"/>
  <c r="O181" i="10"/>
  <c r="Q181" i="10"/>
  <c r="R181" i="10"/>
  <c r="P182" i="10"/>
  <c r="S182" i="10"/>
  <c r="T182" i="10"/>
  <c r="O182" i="10"/>
  <c r="Q182" i="10"/>
  <c r="R182" i="10"/>
  <c r="P183" i="10"/>
  <c r="S183" i="10"/>
  <c r="T183" i="10"/>
  <c r="O183" i="10"/>
  <c r="Q183" i="10"/>
  <c r="R183" i="10"/>
  <c r="P184" i="10"/>
  <c r="S184" i="10"/>
  <c r="T184" i="10"/>
  <c r="O184" i="10"/>
  <c r="Q184" i="10"/>
  <c r="R184" i="10"/>
  <c r="P185" i="10"/>
  <c r="S185" i="10"/>
  <c r="T185" i="10"/>
  <c r="O185" i="10"/>
  <c r="Q185" i="10"/>
  <c r="R185" i="10"/>
  <c r="P186" i="10"/>
  <c r="S186" i="10"/>
  <c r="T186" i="10"/>
  <c r="O186" i="10"/>
  <c r="Q186" i="10"/>
  <c r="R186" i="10"/>
  <c r="P187" i="10"/>
  <c r="S187" i="10"/>
  <c r="T187" i="10"/>
  <c r="O187" i="10"/>
  <c r="Q187" i="10"/>
  <c r="R187" i="10"/>
  <c r="P188" i="10"/>
  <c r="S188" i="10"/>
  <c r="T188" i="10"/>
  <c r="O188" i="10"/>
  <c r="Q188" i="10"/>
  <c r="R188" i="10"/>
  <c r="P189" i="10"/>
  <c r="S189" i="10"/>
  <c r="T189" i="10"/>
  <c r="O189" i="10"/>
  <c r="Q189" i="10"/>
  <c r="R189" i="10"/>
  <c r="P190" i="10"/>
  <c r="S190" i="10"/>
  <c r="T190" i="10"/>
  <c r="O190" i="10"/>
  <c r="Q190" i="10"/>
  <c r="R190" i="10"/>
  <c r="P191" i="10"/>
  <c r="S191" i="10"/>
  <c r="T191" i="10"/>
  <c r="O191" i="10"/>
  <c r="Q191" i="10"/>
  <c r="R191" i="10"/>
  <c r="P192" i="10"/>
  <c r="S192" i="10"/>
  <c r="T192" i="10"/>
  <c r="O192" i="10"/>
  <c r="Q192" i="10"/>
  <c r="R192" i="10"/>
  <c r="P193" i="10"/>
  <c r="S193" i="10"/>
  <c r="T193" i="10"/>
  <c r="O193" i="10"/>
  <c r="Q193" i="10"/>
  <c r="R193" i="10"/>
  <c r="P194" i="10"/>
  <c r="S194" i="10"/>
  <c r="T194" i="10"/>
  <c r="O194" i="10"/>
  <c r="Q194" i="10"/>
  <c r="R194" i="10"/>
  <c r="P195" i="10"/>
  <c r="S195" i="10"/>
  <c r="T195" i="10"/>
  <c r="O195" i="10"/>
  <c r="Q195" i="10"/>
  <c r="R195" i="10"/>
  <c r="P196" i="10"/>
  <c r="S196" i="10"/>
  <c r="T196" i="10"/>
  <c r="O196" i="10"/>
  <c r="Q196" i="10"/>
  <c r="R196" i="10"/>
  <c r="P197" i="10"/>
  <c r="S197" i="10"/>
  <c r="T197" i="10"/>
  <c r="O197" i="10"/>
  <c r="Q197" i="10"/>
  <c r="R197" i="10"/>
  <c r="P198" i="10"/>
  <c r="S198" i="10"/>
  <c r="T198" i="10"/>
  <c r="O198" i="10"/>
  <c r="Q198" i="10"/>
  <c r="R198" i="10"/>
  <c r="P199" i="10"/>
  <c r="S199" i="10"/>
  <c r="T199" i="10"/>
  <c r="O199" i="10"/>
  <c r="Q199" i="10"/>
  <c r="R199" i="10"/>
  <c r="P200" i="10"/>
  <c r="S200" i="10"/>
  <c r="T200" i="10"/>
  <c r="O200" i="10"/>
  <c r="Q200" i="10"/>
  <c r="R200" i="10"/>
  <c r="P201" i="10"/>
  <c r="S201" i="10"/>
  <c r="T201" i="10"/>
  <c r="O201" i="10"/>
  <c r="Q201" i="10"/>
  <c r="R201" i="10"/>
  <c r="P202" i="10"/>
  <c r="S202" i="10"/>
  <c r="T202" i="10"/>
  <c r="O202" i="10"/>
  <c r="Q202" i="10"/>
  <c r="R202" i="10"/>
  <c r="P203" i="10"/>
  <c r="S203" i="10"/>
  <c r="T203" i="10"/>
  <c r="O203" i="10"/>
  <c r="Q203" i="10"/>
  <c r="R203" i="10"/>
  <c r="P204" i="10"/>
  <c r="S204" i="10"/>
  <c r="T204" i="10"/>
  <c r="O204" i="10"/>
  <c r="Q204" i="10"/>
  <c r="R204" i="10"/>
  <c r="P205" i="10"/>
  <c r="S205" i="10"/>
  <c r="T205" i="10"/>
  <c r="O205" i="10"/>
  <c r="Q205" i="10"/>
  <c r="R205" i="10"/>
  <c r="P206" i="10"/>
  <c r="S206" i="10"/>
  <c r="T206" i="10"/>
  <c r="O206" i="10"/>
  <c r="Q206" i="10"/>
  <c r="R206" i="10"/>
  <c r="P207" i="10"/>
  <c r="S207" i="10"/>
  <c r="T207" i="10"/>
  <c r="O207" i="10"/>
  <c r="Q207" i="10"/>
  <c r="R207" i="10"/>
  <c r="P208" i="10"/>
  <c r="S208" i="10"/>
  <c r="T208" i="10"/>
  <c r="O208" i="10"/>
  <c r="Q208" i="10"/>
  <c r="R208" i="10"/>
  <c r="P209" i="10"/>
  <c r="S209" i="10"/>
  <c r="T209" i="10"/>
  <c r="O209" i="10"/>
  <c r="Q209" i="10"/>
  <c r="R209" i="10"/>
  <c r="P210" i="10"/>
  <c r="S210" i="10"/>
  <c r="T210" i="10"/>
  <c r="O210" i="10"/>
  <c r="Q210" i="10"/>
  <c r="R210" i="10"/>
  <c r="P211" i="10"/>
  <c r="S211" i="10"/>
  <c r="T211" i="10"/>
  <c r="O211" i="10"/>
  <c r="Q211" i="10"/>
  <c r="R211" i="10"/>
  <c r="P212" i="10"/>
  <c r="S212" i="10"/>
  <c r="T212" i="10"/>
  <c r="O212" i="10"/>
  <c r="Q212" i="10"/>
  <c r="R212" i="10"/>
  <c r="P213" i="10"/>
  <c r="S213" i="10"/>
  <c r="T213" i="10"/>
  <c r="O213" i="10"/>
  <c r="Q213" i="10"/>
  <c r="R213" i="10"/>
  <c r="P214" i="10"/>
  <c r="S214" i="10"/>
  <c r="T214" i="10"/>
  <c r="O214" i="10"/>
  <c r="Q214" i="10"/>
  <c r="R214" i="10"/>
  <c r="P215" i="10"/>
  <c r="S215" i="10"/>
  <c r="T215" i="10"/>
  <c r="O215" i="10"/>
  <c r="Q215" i="10"/>
  <c r="R215" i="10"/>
  <c r="P216" i="10"/>
  <c r="S216" i="10"/>
  <c r="T216" i="10"/>
  <c r="O216" i="10"/>
  <c r="Q216" i="10"/>
  <c r="R216" i="10"/>
  <c r="P217" i="10"/>
  <c r="S217" i="10"/>
  <c r="T217" i="10"/>
  <c r="O217" i="10"/>
  <c r="Q217" i="10"/>
  <c r="R217" i="10"/>
  <c r="P218" i="10"/>
  <c r="S218" i="10"/>
  <c r="T218" i="10"/>
  <c r="O218" i="10"/>
  <c r="Q218" i="10"/>
  <c r="R218" i="10"/>
  <c r="P219" i="10"/>
  <c r="S219" i="10"/>
  <c r="T219" i="10"/>
  <c r="O219" i="10"/>
  <c r="Q219" i="10"/>
  <c r="R219" i="10"/>
  <c r="P220" i="10"/>
  <c r="S220" i="10"/>
  <c r="T220" i="10"/>
  <c r="O220" i="10"/>
  <c r="Q220" i="10"/>
  <c r="R220" i="10"/>
  <c r="P221" i="10"/>
  <c r="S221" i="10"/>
  <c r="T221" i="10"/>
  <c r="O221" i="10"/>
  <c r="Q221" i="10"/>
  <c r="R221" i="10"/>
  <c r="P222" i="10"/>
  <c r="S222" i="10"/>
  <c r="T222" i="10"/>
  <c r="O222" i="10"/>
  <c r="Q222" i="10"/>
  <c r="R222" i="10"/>
  <c r="P223" i="10"/>
  <c r="S223" i="10"/>
  <c r="T223" i="10"/>
  <c r="O223" i="10"/>
  <c r="Q223" i="10"/>
  <c r="R223" i="10"/>
  <c r="P224" i="10"/>
  <c r="S224" i="10"/>
  <c r="T224" i="10"/>
  <c r="O224" i="10"/>
  <c r="Q224" i="10"/>
  <c r="R224" i="10"/>
  <c r="P225" i="10"/>
  <c r="S225" i="10"/>
  <c r="T225" i="10"/>
  <c r="O225" i="10"/>
  <c r="Q225" i="10"/>
  <c r="R225" i="10"/>
  <c r="P226" i="10"/>
  <c r="S226" i="10"/>
  <c r="T226" i="10"/>
  <c r="O226" i="10"/>
  <c r="Q226" i="10"/>
  <c r="R226" i="10"/>
  <c r="P227" i="10"/>
  <c r="S227" i="10"/>
  <c r="T227" i="10"/>
  <c r="O227" i="10"/>
  <c r="Q227" i="10"/>
  <c r="R227" i="10"/>
  <c r="P228" i="10"/>
  <c r="S228" i="10"/>
  <c r="T228" i="10"/>
  <c r="O228" i="10"/>
  <c r="Q228" i="10"/>
  <c r="R228" i="10"/>
  <c r="P229" i="10"/>
  <c r="S229" i="10"/>
  <c r="T229" i="10"/>
  <c r="O229" i="10"/>
  <c r="Q229" i="10"/>
  <c r="R229" i="10"/>
  <c r="P230" i="10"/>
  <c r="S230" i="10"/>
  <c r="T230" i="10"/>
  <c r="O230" i="10"/>
  <c r="Q230" i="10"/>
  <c r="R230" i="10"/>
  <c r="P231" i="10"/>
  <c r="S231" i="10"/>
  <c r="T231" i="10"/>
  <c r="O231" i="10"/>
  <c r="Q231" i="10"/>
  <c r="R231" i="10"/>
  <c r="P232" i="10"/>
  <c r="S232" i="10"/>
  <c r="T232" i="10"/>
  <c r="O232" i="10"/>
  <c r="Q232" i="10"/>
  <c r="R232" i="10"/>
  <c r="P233" i="10"/>
  <c r="S233" i="10"/>
  <c r="T233" i="10"/>
  <c r="O233" i="10"/>
  <c r="Q233" i="10"/>
  <c r="R233" i="10"/>
  <c r="P234" i="10"/>
  <c r="S234" i="10"/>
  <c r="T234" i="10"/>
  <c r="O234" i="10"/>
  <c r="Q234" i="10"/>
  <c r="R234" i="10"/>
  <c r="P235" i="10"/>
  <c r="S235" i="10"/>
  <c r="T235" i="10"/>
  <c r="O235" i="10"/>
  <c r="Q235" i="10"/>
  <c r="R235" i="10"/>
  <c r="P236" i="10"/>
  <c r="S236" i="10"/>
  <c r="T236" i="10"/>
  <c r="O236" i="10"/>
  <c r="Q236" i="10"/>
  <c r="R236" i="10"/>
  <c r="P237" i="10"/>
  <c r="S237" i="10"/>
  <c r="T237" i="10"/>
  <c r="O237" i="10"/>
  <c r="Q237" i="10"/>
  <c r="R237" i="10"/>
  <c r="P238" i="10"/>
  <c r="S238" i="10"/>
  <c r="T238" i="10"/>
  <c r="O238" i="10"/>
  <c r="Q238" i="10"/>
  <c r="R238" i="10"/>
  <c r="P239" i="10"/>
  <c r="S239" i="10"/>
  <c r="T239" i="10"/>
  <c r="O239" i="10"/>
  <c r="Q239" i="10"/>
  <c r="R239" i="10"/>
  <c r="P240" i="10"/>
  <c r="S240" i="10"/>
  <c r="T240" i="10"/>
  <c r="O240" i="10"/>
  <c r="Q240" i="10"/>
  <c r="R240" i="10"/>
  <c r="P241" i="10"/>
  <c r="S241" i="10"/>
  <c r="T241" i="10"/>
  <c r="O241" i="10"/>
  <c r="Q241" i="10"/>
  <c r="R241" i="10"/>
  <c r="P242" i="10"/>
  <c r="S242" i="10"/>
  <c r="T242" i="10"/>
  <c r="O242" i="10"/>
  <c r="Q242" i="10"/>
  <c r="R242" i="10"/>
  <c r="P243" i="10"/>
  <c r="S243" i="10"/>
  <c r="T243" i="10"/>
  <c r="O243" i="10"/>
  <c r="Q243" i="10"/>
  <c r="R243" i="10"/>
  <c r="P244" i="10"/>
  <c r="S244" i="10"/>
  <c r="T244" i="10"/>
  <c r="G233" i="10"/>
  <c r="G221" i="10"/>
  <c r="G209" i="10"/>
  <c r="G197" i="10"/>
  <c r="G185" i="10"/>
  <c r="G173" i="10"/>
  <c r="G161" i="10"/>
  <c r="G149" i="10"/>
  <c r="G137" i="10"/>
  <c r="G125" i="10"/>
  <c r="S6" i="10"/>
  <c r="S7" i="10"/>
  <c r="S8" i="10"/>
  <c r="S9" i="10"/>
  <c r="S10" i="10"/>
  <c r="S11" i="10"/>
  <c r="S12" i="10"/>
  <c r="S13" i="10"/>
  <c r="S14" i="10"/>
  <c r="S15" i="10"/>
  <c r="S16" i="10"/>
  <c r="G5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G17" i="10"/>
  <c r="G19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G29" i="10"/>
  <c r="G31" i="10"/>
  <c r="G41" i="10"/>
  <c r="G43" i="10"/>
  <c r="G53" i="10"/>
  <c r="G55" i="10"/>
  <c r="G65" i="10"/>
  <c r="G67" i="10"/>
  <c r="G77" i="10"/>
  <c r="G79" i="10"/>
  <c r="G89" i="10"/>
  <c r="G91" i="10"/>
  <c r="G101" i="10"/>
  <c r="G103" i="10"/>
  <c r="G113" i="10"/>
  <c r="G115" i="10"/>
  <c r="G127" i="10"/>
  <c r="G140" i="10"/>
  <c r="G152" i="10"/>
  <c r="G164" i="10"/>
  <c r="G176" i="10"/>
  <c r="G188" i="10"/>
  <c r="G200" i="10"/>
  <c r="G212" i="10"/>
  <c r="G224" i="10"/>
  <c r="G236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V5" i="10"/>
  <c r="W5" i="10"/>
  <c r="Z5" i="10"/>
  <c r="U6" i="10"/>
  <c r="V6" i="10"/>
  <c r="W6" i="10"/>
  <c r="Z6" i="10"/>
  <c r="U7" i="10"/>
  <c r="V7" i="10"/>
  <c r="W7" i="10"/>
  <c r="Z7" i="10"/>
  <c r="U8" i="10"/>
  <c r="V8" i="10"/>
  <c r="W8" i="10"/>
  <c r="Z8" i="10"/>
  <c r="U9" i="10"/>
  <c r="V9" i="10"/>
  <c r="W9" i="10"/>
  <c r="Z9" i="10"/>
  <c r="U10" i="10"/>
  <c r="V10" i="10"/>
  <c r="W10" i="10"/>
  <c r="Z10" i="10"/>
  <c r="U11" i="10"/>
  <c r="V11" i="10"/>
  <c r="W11" i="10"/>
  <c r="Z11" i="10"/>
  <c r="U12" i="10"/>
  <c r="V12" i="10"/>
  <c r="W12" i="10"/>
  <c r="Z12" i="10"/>
  <c r="U13" i="10"/>
  <c r="V13" i="10"/>
  <c r="W13" i="10"/>
  <c r="Z13" i="10"/>
  <c r="U14" i="10"/>
  <c r="V14" i="10"/>
  <c r="W14" i="10"/>
  <c r="Z14" i="10"/>
  <c r="U15" i="10"/>
  <c r="V15" i="10"/>
  <c r="W15" i="10"/>
  <c r="Z15" i="10"/>
  <c r="U16" i="10"/>
  <c r="V16" i="10"/>
  <c r="W16" i="10"/>
  <c r="Z16" i="10"/>
  <c r="U17" i="10"/>
  <c r="V17" i="10"/>
  <c r="W17" i="10"/>
  <c r="Z17" i="10"/>
  <c r="U18" i="10"/>
  <c r="V18" i="10"/>
  <c r="W18" i="10"/>
  <c r="Z18" i="10"/>
  <c r="U19" i="10"/>
  <c r="V19" i="10"/>
  <c r="W19" i="10"/>
  <c r="Z19" i="10"/>
  <c r="U20" i="10"/>
  <c r="V20" i="10"/>
  <c r="W20" i="10"/>
  <c r="Z20" i="10"/>
  <c r="U21" i="10"/>
  <c r="V21" i="10"/>
  <c r="W21" i="10"/>
  <c r="Z21" i="10"/>
  <c r="U22" i="10"/>
  <c r="V22" i="10"/>
  <c r="W22" i="10"/>
  <c r="Z22" i="10"/>
  <c r="U23" i="10"/>
  <c r="V23" i="10"/>
  <c r="W23" i="10"/>
  <c r="Z23" i="10"/>
  <c r="U24" i="10"/>
  <c r="V24" i="10"/>
  <c r="W24" i="10"/>
  <c r="Z24" i="10"/>
  <c r="U25" i="10"/>
  <c r="V25" i="10"/>
  <c r="W25" i="10"/>
  <c r="Z25" i="10"/>
  <c r="U26" i="10"/>
  <c r="V26" i="10"/>
  <c r="W26" i="10"/>
  <c r="Z26" i="10"/>
  <c r="U27" i="10"/>
  <c r="V27" i="10"/>
  <c r="W27" i="10"/>
  <c r="Z27" i="10"/>
  <c r="U28" i="10"/>
  <c r="V28" i="10"/>
  <c r="W28" i="10"/>
  <c r="Z28" i="10"/>
  <c r="U29" i="10"/>
  <c r="V29" i="10"/>
  <c r="W29" i="10"/>
  <c r="Z29" i="10"/>
  <c r="U30" i="10"/>
  <c r="V30" i="10"/>
  <c r="W30" i="10"/>
  <c r="Z30" i="10"/>
  <c r="U31" i="10"/>
  <c r="V31" i="10"/>
  <c r="W31" i="10"/>
  <c r="Z31" i="10"/>
  <c r="U32" i="10"/>
  <c r="V32" i="10"/>
  <c r="W32" i="10"/>
  <c r="Z32" i="10"/>
  <c r="U33" i="10"/>
  <c r="V33" i="10"/>
  <c r="W33" i="10"/>
  <c r="Z33" i="10"/>
  <c r="U34" i="10"/>
  <c r="V34" i="10"/>
  <c r="W34" i="10"/>
  <c r="Z34" i="10"/>
  <c r="U35" i="10"/>
  <c r="V35" i="10"/>
  <c r="W35" i="10"/>
  <c r="Z35" i="10"/>
  <c r="U36" i="10"/>
  <c r="V36" i="10"/>
  <c r="W36" i="10"/>
  <c r="Z36" i="10"/>
  <c r="U37" i="10"/>
  <c r="V37" i="10"/>
  <c r="W37" i="10"/>
  <c r="Z37" i="10"/>
  <c r="U38" i="10"/>
  <c r="V38" i="10"/>
  <c r="W38" i="10"/>
  <c r="Z38" i="10"/>
  <c r="U39" i="10"/>
  <c r="V39" i="10"/>
  <c r="W39" i="10"/>
  <c r="Z39" i="10"/>
  <c r="U40" i="10"/>
  <c r="V40" i="10"/>
  <c r="W40" i="10"/>
  <c r="Z40" i="10"/>
  <c r="U41" i="10"/>
  <c r="V41" i="10"/>
  <c r="W41" i="10"/>
  <c r="Z41" i="10"/>
  <c r="U42" i="10"/>
  <c r="V42" i="10"/>
  <c r="W42" i="10"/>
  <c r="Z42" i="10"/>
  <c r="U43" i="10"/>
  <c r="V43" i="10"/>
  <c r="W43" i="10"/>
  <c r="Z43" i="10"/>
  <c r="U44" i="10"/>
  <c r="V44" i="10"/>
  <c r="W44" i="10"/>
  <c r="Z44" i="10"/>
  <c r="U45" i="10"/>
  <c r="V45" i="10"/>
  <c r="W45" i="10"/>
  <c r="Z45" i="10"/>
  <c r="U46" i="10"/>
  <c r="V46" i="10"/>
  <c r="W46" i="10"/>
  <c r="Z46" i="10"/>
  <c r="U47" i="10"/>
  <c r="V47" i="10"/>
  <c r="W47" i="10"/>
  <c r="Z47" i="10"/>
  <c r="U48" i="10"/>
  <c r="V48" i="10"/>
  <c r="W48" i="10"/>
  <c r="Z48" i="10"/>
  <c r="U49" i="10"/>
  <c r="V49" i="10"/>
  <c r="W49" i="10"/>
  <c r="Z49" i="10"/>
  <c r="U50" i="10"/>
  <c r="V50" i="10"/>
  <c r="W50" i="10"/>
  <c r="Z50" i="10"/>
  <c r="U51" i="10"/>
  <c r="V51" i="10"/>
  <c r="W51" i="10"/>
  <c r="Z51" i="10"/>
  <c r="U52" i="10"/>
  <c r="V52" i="10"/>
  <c r="W52" i="10"/>
  <c r="Z52" i="10"/>
  <c r="U53" i="10"/>
  <c r="V53" i="10"/>
  <c r="W53" i="10"/>
  <c r="Z53" i="10"/>
  <c r="U54" i="10"/>
  <c r="V54" i="10"/>
  <c r="W54" i="10"/>
  <c r="Z54" i="10"/>
  <c r="U55" i="10"/>
  <c r="V55" i="10"/>
  <c r="W55" i="10"/>
  <c r="Z55" i="10"/>
  <c r="U56" i="10"/>
  <c r="V56" i="10"/>
  <c r="W56" i="10"/>
  <c r="Z56" i="10"/>
  <c r="U57" i="10"/>
  <c r="V57" i="10"/>
  <c r="W57" i="10"/>
  <c r="Z57" i="10"/>
  <c r="U58" i="10"/>
  <c r="V58" i="10"/>
  <c r="W58" i="10"/>
  <c r="Z58" i="10"/>
  <c r="U59" i="10"/>
  <c r="V59" i="10"/>
  <c r="W59" i="10"/>
  <c r="Z59" i="10"/>
  <c r="U60" i="10"/>
  <c r="V60" i="10"/>
  <c r="W60" i="10"/>
  <c r="Z60" i="10"/>
  <c r="U61" i="10"/>
  <c r="V61" i="10"/>
  <c r="W61" i="10"/>
  <c r="Z61" i="10"/>
  <c r="U62" i="10"/>
  <c r="V62" i="10"/>
  <c r="W62" i="10"/>
  <c r="Z62" i="10"/>
  <c r="U63" i="10"/>
  <c r="V63" i="10"/>
  <c r="W63" i="10"/>
  <c r="Z63" i="10"/>
  <c r="U64" i="10"/>
  <c r="V64" i="10"/>
  <c r="W64" i="10"/>
  <c r="Z64" i="10"/>
  <c r="U65" i="10"/>
  <c r="V65" i="10"/>
  <c r="W65" i="10"/>
  <c r="Z65" i="10"/>
  <c r="U66" i="10"/>
  <c r="V66" i="10"/>
  <c r="W66" i="10"/>
  <c r="Z66" i="10"/>
  <c r="U67" i="10"/>
  <c r="V67" i="10"/>
  <c r="W67" i="10"/>
  <c r="Z67" i="10"/>
  <c r="U68" i="10"/>
  <c r="V68" i="10"/>
  <c r="W68" i="10"/>
  <c r="Z68" i="10"/>
  <c r="U69" i="10"/>
  <c r="V69" i="10"/>
  <c r="W69" i="10"/>
  <c r="Z69" i="10"/>
  <c r="U70" i="10"/>
  <c r="V70" i="10"/>
  <c r="W70" i="10"/>
  <c r="Z70" i="10"/>
  <c r="U71" i="10"/>
  <c r="V71" i="10"/>
  <c r="W71" i="10"/>
  <c r="Z71" i="10"/>
  <c r="U72" i="10"/>
  <c r="V72" i="10"/>
  <c r="W72" i="10"/>
  <c r="Z72" i="10"/>
  <c r="U73" i="10"/>
  <c r="V73" i="10"/>
  <c r="W73" i="10"/>
  <c r="Z73" i="10"/>
  <c r="U74" i="10"/>
  <c r="V74" i="10"/>
  <c r="W74" i="10"/>
  <c r="Z74" i="10"/>
  <c r="U75" i="10"/>
  <c r="V75" i="10"/>
  <c r="W75" i="10"/>
  <c r="Z75" i="10"/>
  <c r="U76" i="10"/>
  <c r="V76" i="10"/>
  <c r="W76" i="10"/>
  <c r="Z76" i="10"/>
  <c r="U77" i="10"/>
  <c r="V77" i="10"/>
  <c r="W77" i="10"/>
  <c r="Z77" i="10"/>
  <c r="U78" i="10"/>
  <c r="V78" i="10"/>
  <c r="W78" i="10"/>
  <c r="Z78" i="10"/>
  <c r="U79" i="10"/>
  <c r="V79" i="10"/>
  <c r="W79" i="10"/>
  <c r="Z79" i="10"/>
  <c r="U80" i="10"/>
  <c r="V80" i="10"/>
  <c r="W80" i="10"/>
  <c r="Z80" i="10"/>
  <c r="U81" i="10"/>
  <c r="V81" i="10"/>
  <c r="W81" i="10"/>
  <c r="Z81" i="10"/>
  <c r="U82" i="10"/>
  <c r="V82" i="10"/>
  <c r="W82" i="10"/>
  <c r="Z82" i="10"/>
  <c r="U83" i="10"/>
  <c r="V83" i="10"/>
  <c r="W83" i="10"/>
  <c r="Z83" i="10"/>
  <c r="U84" i="10"/>
  <c r="V84" i="10"/>
  <c r="W84" i="10"/>
  <c r="Z84" i="10"/>
  <c r="U85" i="10"/>
  <c r="V85" i="10"/>
  <c r="W85" i="10"/>
  <c r="Z85" i="10"/>
  <c r="U86" i="10"/>
  <c r="V86" i="10"/>
  <c r="W86" i="10"/>
  <c r="Z86" i="10"/>
  <c r="U87" i="10"/>
  <c r="V87" i="10"/>
  <c r="W87" i="10"/>
  <c r="Z87" i="10"/>
  <c r="U88" i="10"/>
  <c r="V88" i="10"/>
  <c r="W88" i="10"/>
  <c r="Z88" i="10"/>
  <c r="U89" i="10"/>
  <c r="V89" i="10"/>
  <c r="W89" i="10"/>
  <c r="Z89" i="10"/>
  <c r="U90" i="10"/>
  <c r="V90" i="10"/>
  <c r="W90" i="10"/>
  <c r="Z90" i="10"/>
  <c r="U91" i="10"/>
  <c r="V91" i="10"/>
  <c r="W91" i="10"/>
  <c r="Z91" i="10"/>
  <c r="U92" i="10"/>
  <c r="V92" i="10"/>
  <c r="W92" i="10"/>
  <c r="Z92" i="10"/>
  <c r="U93" i="10"/>
  <c r="V93" i="10"/>
  <c r="W93" i="10"/>
  <c r="Z93" i="10"/>
  <c r="U94" i="10"/>
  <c r="V94" i="10"/>
  <c r="W94" i="10"/>
  <c r="Z94" i="10"/>
  <c r="U95" i="10"/>
  <c r="V95" i="10"/>
  <c r="W95" i="10"/>
  <c r="Z95" i="10"/>
  <c r="U96" i="10"/>
  <c r="V96" i="10"/>
  <c r="W96" i="10"/>
  <c r="Z96" i="10"/>
  <c r="U97" i="10"/>
  <c r="V97" i="10"/>
  <c r="W97" i="10"/>
  <c r="Z97" i="10"/>
  <c r="U98" i="10"/>
  <c r="V98" i="10"/>
  <c r="W98" i="10"/>
  <c r="Z98" i="10"/>
  <c r="U99" i="10"/>
  <c r="V99" i="10"/>
  <c r="W99" i="10"/>
  <c r="Z99" i="10"/>
  <c r="U100" i="10"/>
  <c r="V100" i="10"/>
  <c r="W100" i="10"/>
  <c r="Z100" i="10"/>
  <c r="U101" i="10"/>
  <c r="V101" i="10"/>
  <c r="W101" i="10"/>
  <c r="Z101" i="10"/>
  <c r="U102" i="10"/>
  <c r="V102" i="10"/>
  <c r="W102" i="10"/>
  <c r="Z102" i="10"/>
  <c r="U103" i="10"/>
  <c r="V103" i="10"/>
  <c r="W103" i="10"/>
  <c r="Z103" i="10"/>
  <c r="U104" i="10"/>
  <c r="V104" i="10"/>
  <c r="W104" i="10"/>
  <c r="Z104" i="10"/>
  <c r="U105" i="10"/>
  <c r="V105" i="10"/>
  <c r="W105" i="10"/>
  <c r="Z105" i="10"/>
  <c r="U106" i="10"/>
  <c r="V106" i="10"/>
  <c r="W106" i="10"/>
  <c r="Z106" i="10"/>
  <c r="U107" i="10"/>
  <c r="V107" i="10"/>
  <c r="W107" i="10"/>
  <c r="Z107" i="10"/>
  <c r="U108" i="10"/>
  <c r="V108" i="10"/>
  <c r="W108" i="10"/>
  <c r="Z108" i="10"/>
  <c r="U109" i="10"/>
  <c r="V109" i="10"/>
  <c r="W109" i="10"/>
  <c r="Z109" i="10"/>
  <c r="U110" i="10"/>
  <c r="V110" i="10"/>
  <c r="W110" i="10"/>
  <c r="Z110" i="10"/>
  <c r="U111" i="10"/>
  <c r="V111" i="10"/>
  <c r="W111" i="10"/>
  <c r="Z111" i="10"/>
  <c r="U112" i="10"/>
  <c r="V112" i="10"/>
  <c r="W112" i="10"/>
  <c r="Z112" i="10"/>
  <c r="U113" i="10"/>
  <c r="V113" i="10"/>
  <c r="W113" i="10"/>
  <c r="Z113" i="10"/>
  <c r="U114" i="10"/>
  <c r="V114" i="10"/>
  <c r="W114" i="10"/>
  <c r="Z114" i="10"/>
  <c r="U115" i="10"/>
  <c r="V115" i="10"/>
  <c r="W115" i="10"/>
  <c r="Z115" i="10"/>
  <c r="U116" i="10"/>
  <c r="V116" i="10"/>
  <c r="W116" i="10"/>
  <c r="Z116" i="10"/>
  <c r="U117" i="10"/>
  <c r="V117" i="10"/>
  <c r="W117" i="10"/>
  <c r="Z117" i="10"/>
  <c r="U118" i="10"/>
  <c r="V118" i="10"/>
  <c r="W118" i="10"/>
  <c r="Z118" i="10"/>
  <c r="U119" i="10"/>
  <c r="V119" i="10"/>
  <c r="W119" i="10"/>
  <c r="Z119" i="10"/>
  <c r="U120" i="10"/>
  <c r="V120" i="10"/>
  <c r="W120" i="10"/>
  <c r="Z120" i="10"/>
  <c r="U121" i="10"/>
  <c r="V121" i="10"/>
  <c r="W121" i="10"/>
  <c r="Z121" i="10"/>
  <c r="U122" i="10"/>
  <c r="V122" i="10"/>
  <c r="W122" i="10"/>
  <c r="Z122" i="10"/>
  <c r="U123" i="10"/>
  <c r="V123" i="10"/>
  <c r="W123" i="10"/>
  <c r="Z123" i="10"/>
  <c r="U124" i="10"/>
  <c r="V124" i="10"/>
  <c r="W124" i="10"/>
  <c r="Z124" i="10"/>
  <c r="U125" i="10"/>
  <c r="W125" i="10"/>
  <c r="Z125" i="10"/>
  <c r="U126" i="10"/>
  <c r="W126" i="10"/>
  <c r="Z126" i="10"/>
  <c r="U127" i="10"/>
  <c r="W127" i="10"/>
  <c r="Z127" i="10"/>
  <c r="U128" i="10"/>
  <c r="W128" i="10"/>
  <c r="Z128" i="10"/>
  <c r="U129" i="10"/>
  <c r="W129" i="10"/>
  <c r="Z129" i="10"/>
  <c r="U130" i="10"/>
  <c r="W130" i="10"/>
  <c r="Z130" i="10"/>
  <c r="U131" i="10"/>
  <c r="W131" i="10"/>
  <c r="Z131" i="10"/>
  <c r="U132" i="10"/>
  <c r="W132" i="10"/>
  <c r="Z132" i="10"/>
  <c r="U133" i="10"/>
  <c r="W133" i="10"/>
  <c r="Z133" i="10"/>
  <c r="U134" i="10"/>
  <c r="W134" i="10"/>
  <c r="Z134" i="10"/>
  <c r="U135" i="10"/>
  <c r="W135" i="10"/>
  <c r="Z135" i="10"/>
  <c r="U136" i="10"/>
  <c r="W136" i="10"/>
  <c r="Z136" i="10"/>
  <c r="U137" i="10"/>
  <c r="W137" i="10"/>
  <c r="Z137" i="10"/>
  <c r="U138" i="10"/>
  <c r="W138" i="10"/>
  <c r="Z138" i="10"/>
  <c r="U139" i="10"/>
  <c r="W139" i="10"/>
  <c r="Z139" i="10"/>
  <c r="U140" i="10"/>
  <c r="W140" i="10"/>
  <c r="Z140" i="10"/>
  <c r="U141" i="10"/>
  <c r="W141" i="10"/>
  <c r="Z141" i="10"/>
  <c r="U142" i="10"/>
  <c r="W142" i="10"/>
  <c r="Z142" i="10"/>
  <c r="U143" i="10"/>
  <c r="W143" i="10"/>
  <c r="Z143" i="10"/>
  <c r="U144" i="10"/>
  <c r="W144" i="10"/>
  <c r="Z144" i="10"/>
  <c r="U145" i="10"/>
  <c r="W145" i="10"/>
  <c r="Z145" i="10"/>
  <c r="U146" i="10"/>
  <c r="W146" i="10"/>
  <c r="Z146" i="10"/>
  <c r="U147" i="10"/>
  <c r="W147" i="10"/>
  <c r="Z147" i="10"/>
  <c r="U148" i="10"/>
  <c r="W148" i="10"/>
  <c r="Z148" i="10"/>
  <c r="U149" i="10"/>
  <c r="W149" i="10"/>
  <c r="Z149" i="10"/>
  <c r="U150" i="10"/>
  <c r="W150" i="10"/>
  <c r="Z150" i="10"/>
  <c r="U151" i="10"/>
  <c r="W151" i="10"/>
  <c r="Z151" i="10"/>
  <c r="U152" i="10"/>
  <c r="W152" i="10"/>
  <c r="Z152" i="10"/>
  <c r="U153" i="10"/>
  <c r="W153" i="10"/>
  <c r="Z153" i="10"/>
  <c r="U154" i="10"/>
  <c r="W154" i="10"/>
  <c r="Z154" i="10"/>
  <c r="U155" i="10"/>
  <c r="W155" i="10"/>
  <c r="Z155" i="10"/>
  <c r="U156" i="10"/>
  <c r="W156" i="10"/>
  <c r="Z156" i="10"/>
  <c r="U157" i="10"/>
  <c r="W157" i="10"/>
  <c r="Z157" i="10"/>
  <c r="U158" i="10"/>
  <c r="W158" i="10"/>
  <c r="Z158" i="10"/>
  <c r="U159" i="10"/>
  <c r="W159" i="10"/>
  <c r="Z159" i="10"/>
  <c r="U160" i="10"/>
  <c r="W160" i="10"/>
  <c r="Z160" i="10"/>
  <c r="U161" i="10"/>
  <c r="W161" i="10"/>
  <c r="Z161" i="10"/>
  <c r="U162" i="10"/>
  <c r="W162" i="10"/>
  <c r="Z162" i="10"/>
  <c r="U163" i="10"/>
  <c r="W163" i="10"/>
  <c r="Z163" i="10"/>
  <c r="U164" i="10"/>
  <c r="W164" i="10"/>
  <c r="Z164" i="10"/>
  <c r="U165" i="10"/>
  <c r="W165" i="10"/>
  <c r="Z165" i="10"/>
  <c r="U166" i="10"/>
  <c r="W166" i="10"/>
  <c r="Z166" i="10"/>
  <c r="U167" i="10"/>
  <c r="W167" i="10"/>
  <c r="Z167" i="10"/>
  <c r="U168" i="10"/>
  <c r="W168" i="10"/>
  <c r="Z168" i="10"/>
  <c r="U169" i="10"/>
  <c r="W169" i="10"/>
  <c r="Z169" i="10"/>
  <c r="U170" i="10"/>
  <c r="W170" i="10"/>
  <c r="Z170" i="10"/>
  <c r="U171" i="10"/>
  <c r="W171" i="10"/>
  <c r="Z171" i="10"/>
  <c r="U172" i="10"/>
  <c r="W172" i="10"/>
  <c r="Z172" i="10"/>
  <c r="U173" i="10"/>
  <c r="W173" i="10"/>
  <c r="Z173" i="10"/>
  <c r="U174" i="10"/>
  <c r="W174" i="10"/>
  <c r="Z174" i="10"/>
  <c r="U175" i="10"/>
  <c r="W175" i="10"/>
  <c r="Z175" i="10"/>
  <c r="U176" i="10"/>
  <c r="W176" i="10"/>
  <c r="Z176" i="10"/>
  <c r="U177" i="10"/>
  <c r="W177" i="10"/>
  <c r="Z177" i="10"/>
  <c r="U178" i="10"/>
  <c r="W178" i="10"/>
  <c r="Z178" i="10"/>
  <c r="U179" i="10"/>
  <c r="W179" i="10"/>
  <c r="Z179" i="10"/>
  <c r="U180" i="10"/>
  <c r="W180" i="10"/>
  <c r="Z180" i="10"/>
  <c r="U181" i="10"/>
  <c r="W181" i="10"/>
  <c r="Z181" i="10"/>
  <c r="U182" i="10"/>
  <c r="W182" i="10"/>
  <c r="Z182" i="10"/>
  <c r="U183" i="10"/>
  <c r="W183" i="10"/>
  <c r="Z183" i="10"/>
  <c r="U184" i="10"/>
  <c r="W184" i="10"/>
  <c r="Z184" i="10"/>
  <c r="U185" i="10"/>
  <c r="W185" i="10"/>
  <c r="Z185" i="10"/>
  <c r="U186" i="10"/>
  <c r="W186" i="10"/>
  <c r="Z186" i="10"/>
  <c r="U187" i="10"/>
  <c r="W187" i="10"/>
  <c r="Z187" i="10"/>
  <c r="U188" i="10"/>
  <c r="W188" i="10"/>
  <c r="Z188" i="10"/>
  <c r="U189" i="10"/>
  <c r="W189" i="10"/>
  <c r="Z189" i="10"/>
  <c r="U190" i="10"/>
  <c r="W190" i="10"/>
  <c r="Z190" i="10"/>
  <c r="U191" i="10"/>
  <c r="W191" i="10"/>
  <c r="Z191" i="10"/>
  <c r="U192" i="10"/>
  <c r="W192" i="10"/>
  <c r="Z192" i="10"/>
  <c r="U193" i="10"/>
  <c r="W193" i="10"/>
  <c r="Z193" i="10"/>
  <c r="U194" i="10"/>
  <c r="W194" i="10"/>
  <c r="Z194" i="10"/>
  <c r="U195" i="10"/>
  <c r="W195" i="10"/>
  <c r="Z195" i="10"/>
  <c r="U196" i="10"/>
  <c r="W196" i="10"/>
  <c r="Z196" i="10"/>
  <c r="U197" i="10"/>
  <c r="W197" i="10"/>
  <c r="Z197" i="10"/>
  <c r="U198" i="10"/>
  <c r="W198" i="10"/>
  <c r="Z198" i="10"/>
  <c r="U199" i="10"/>
  <c r="W199" i="10"/>
  <c r="Z199" i="10"/>
  <c r="U200" i="10"/>
  <c r="W200" i="10"/>
  <c r="Z200" i="10"/>
  <c r="U201" i="10"/>
  <c r="W201" i="10"/>
  <c r="Z201" i="10"/>
  <c r="U202" i="10"/>
  <c r="W202" i="10"/>
  <c r="Z202" i="10"/>
  <c r="U203" i="10"/>
  <c r="W203" i="10"/>
  <c r="Z203" i="10"/>
  <c r="U204" i="10"/>
  <c r="W204" i="10"/>
  <c r="Z204" i="10"/>
  <c r="U205" i="10"/>
  <c r="W205" i="10"/>
  <c r="Z205" i="10"/>
  <c r="U206" i="10"/>
  <c r="W206" i="10"/>
  <c r="Z206" i="10"/>
  <c r="U207" i="10"/>
  <c r="W207" i="10"/>
  <c r="Z207" i="10"/>
  <c r="U208" i="10"/>
  <c r="W208" i="10"/>
  <c r="Z208" i="10"/>
  <c r="U209" i="10"/>
  <c r="W209" i="10"/>
  <c r="Z209" i="10"/>
  <c r="U210" i="10"/>
  <c r="W210" i="10"/>
  <c r="Z210" i="10"/>
  <c r="U211" i="10"/>
  <c r="W211" i="10"/>
  <c r="Z211" i="10"/>
  <c r="U212" i="10"/>
  <c r="W212" i="10"/>
  <c r="Z212" i="10"/>
  <c r="U213" i="10"/>
  <c r="W213" i="10"/>
  <c r="Z213" i="10"/>
  <c r="U214" i="10"/>
  <c r="W214" i="10"/>
  <c r="Z214" i="10"/>
  <c r="U215" i="10"/>
  <c r="W215" i="10"/>
  <c r="Z215" i="10"/>
  <c r="U216" i="10"/>
  <c r="W216" i="10"/>
  <c r="Z216" i="10"/>
  <c r="U217" i="10"/>
  <c r="W217" i="10"/>
  <c r="Z217" i="10"/>
  <c r="U218" i="10"/>
  <c r="W218" i="10"/>
  <c r="Z218" i="10"/>
  <c r="U219" i="10"/>
  <c r="W219" i="10"/>
  <c r="Z219" i="10"/>
  <c r="U220" i="10"/>
  <c r="W220" i="10"/>
  <c r="Z220" i="10"/>
  <c r="U221" i="10"/>
  <c r="W221" i="10"/>
  <c r="Z221" i="10"/>
  <c r="U222" i="10"/>
  <c r="W222" i="10"/>
  <c r="Z222" i="10"/>
  <c r="U223" i="10"/>
  <c r="W223" i="10"/>
  <c r="Z223" i="10"/>
  <c r="U224" i="10"/>
  <c r="W224" i="10"/>
  <c r="Z224" i="10"/>
  <c r="U225" i="10"/>
  <c r="W225" i="10"/>
  <c r="Z225" i="10"/>
  <c r="U226" i="10"/>
  <c r="W226" i="10"/>
  <c r="Z226" i="10"/>
  <c r="U227" i="10"/>
  <c r="W227" i="10"/>
  <c r="Z227" i="10"/>
  <c r="U228" i="10"/>
  <c r="W228" i="10"/>
  <c r="Z228" i="10"/>
  <c r="U229" i="10"/>
  <c r="W229" i="10"/>
  <c r="Z229" i="10"/>
  <c r="U230" i="10"/>
  <c r="W230" i="10"/>
  <c r="Z230" i="10"/>
  <c r="U231" i="10"/>
  <c r="W231" i="10"/>
  <c r="Z231" i="10"/>
  <c r="U232" i="10"/>
  <c r="W232" i="10"/>
  <c r="Z232" i="10"/>
  <c r="U233" i="10"/>
  <c r="W233" i="10"/>
  <c r="Z233" i="10"/>
  <c r="U234" i="10"/>
  <c r="W234" i="10"/>
  <c r="Z234" i="10"/>
  <c r="U235" i="10"/>
  <c r="W235" i="10"/>
  <c r="Z235" i="10"/>
  <c r="U236" i="10"/>
  <c r="W236" i="10"/>
  <c r="Z236" i="10"/>
  <c r="U237" i="10"/>
  <c r="W237" i="10"/>
  <c r="Z237" i="10"/>
  <c r="U238" i="10"/>
  <c r="W238" i="10"/>
  <c r="Z238" i="10"/>
  <c r="U239" i="10"/>
  <c r="W239" i="10"/>
  <c r="Z239" i="10"/>
  <c r="U240" i="10"/>
  <c r="W240" i="10"/>
  <c r="Z240" i="10"/>
  <c r="U241" i="10"/>
  <c r="W241" i="10"/>
  <c r="Z241" i="10"/>
  <c r="U242" i="10"/>
  <c r="W242" i="10"/>
  <c r="Z242" i="10"/>
  <c r="U243" i="10"/>
  <c r="W243" i="10"/>
  <c r="Z243" i="10"/>
  <c r="O244" i="10"/>
  <c r="U244" i="10"/>
  <c r="W244" i="10"/>
  <c r="Z244" i="10"/>
  <c r="Z246" i="10"/>
  <c r="J245" i="10"/>
  <c r="AE5" i="10"/>
  <c r="AF5" i="10"/>
  <c r="AG5" i="10"/>
  <c r="AK5" i="10"/>
  <c r="AE6" i="10"/>
  <c r="AF6" i="10"/>
  <c r="AG6" i="10"/>
  <c r="AK6" i="10"/>
  <c r="AE7" i="10"/>
  <c r="AF7" i="10"/>
  <c r="AG7" i="10"/>
  <c r="AK7" i="10"/>
  <c r="AE8" i="10"/>
  <c r="AF8" i="10"/>
  <c r="AG8" i="10"/>
  <c r="AK8" i="10"/>
  <c r="AE9" i="10"/>
  <c r="AF9" i="10"/>
  <c r="AG9" i="10"/>
  <c r="AK9" i="10"/>
  <c r="AE10" i="10"/>
  <c r="AF10" i="10"/>
  <c r="AG10" i="10"/>
  <c r="AK10" i="10"/>
  <c r="AE11" i="10"/>
  <c r="AF11" i="10"/>
  <c r="AG11" i="10"/>
  <c r="AK11" i="10"/>
  <c r="AE12" i="10"/>
  <c r="AF12" i="10"/>
  <c r="AG12" i="10"/>
  <c r="AK12" i="10"/>
  <c r="AE13" i="10"/>
  <c r="AF13" i="10"/>
  <c r="AG13" i="10"/>
  <c r="AK13" i="10"/>
  <c r="AE14" i="10"/>
  <c r="AF14" i="10"/>
  <c r="AG14" i="10"/>
  <c r="AK14" i="10"/>
  <c r="AE15" i="10"/>
  <c r="AF15" i="10"/>
  <c r="AG15" i="10"/>
  <c r="AK15" i="10"/>
  <c r="AE16" i="10"/>
  <c r="AF16" i="10"/>
  <c r="AG16" i="10"/>
  <c r="AK16" i="10"/>
  <c r="AE17" i="10"/>
  <c r="AF17" i="10"/>
  <c r="AG17" i="10"/>
  <c r="AK17" i="10"/>
  <c r="AE18" i="10"/>
  <c r="AF18" i="10"/>
  <c r="AG18" i="10"/>
  <c r="AK18" i="10"/>
  <c r="AE19" i="10"/>
  <c r="AF19" i="10"/>
  <c r="AG19" i="10"/>
  <c r="AK19" i="10"/>
  <c r="AE20" i="10"/>
  <c r="AF20" i="10"/>
  <c r="AG20" i="10"/>
  <c r="AK20" i="10"/>
  <c r="AE21" i="10"/>
  <c r="AF21" i="10"/>
  <c r="AG21" i="10"/>
  <c r="AK21" i="10"/>
  <c r="AE22" i="10"/>
  <c r="AF22" i="10"/>
  <c r="AG22" i="10"/>
  <c r="AK22" i="10"/>
  <c r="AE23" i="10"/>
  <c r="AF23" i="10"/>
  <c r="AG23" i="10"/>
  <c r="AK23" i="10"/>
  <c r="AE24" i="10"/>
  <c r="AF24" i="10"/>
  <c r="AG24" i="10"/>
  <c r="AK24" i="10"/>
  <c r="AE25" i="10"/>
  <c r="AF25" i="10"/>
  <c r="AG25" i="10"/>
  <c r="AK25" i="10"/>
  <c r="AE26" i="10"/>
  <c r="AF26" i="10"/>
  <c r="AG26" i="10"/>
  <c r="AK26" i="10"/>
  <c r="AE27" i="10"/>
  <c r="AF27" i="10"/>
  <c r="AG27" i="10"/>
  <c r="AK27" i="10"/>
  <c r="AE28" i="10"/>
  <c r="AF28" i="10"/>
  <c r="AG28" i="10"/>
  <c r="AK28" i="10"/>
  <c r="AE29" i="10"/>
  <c r="AF29" i="10"/>
  <c r="AG29" i="10"/>
  <c r="AK29" i="10"/>
  <c r="AE30" i="10"/>
  <c r="AF30" i="10"/>
  <c r="AG30" i="10"/>
  <c r="AK30" i="10"/>
  <c r="AE31" i="10"/>
  <c r="AF31" i="10"/>
  <c r="AG31" i="10"/>
  <c r="AK31" i="10"/>
  <c r="AE32" i="10"/>
  <c r="AF32" i="10"/>
  <c r="AG32" i="10"/>
  <c r="AK32" i="10"/>
  <c r="AE33" i="10"/>
  <c r="AF33" i="10"/>
  <c r="AG33" i="10"/>
  <c r="AK33" i="10"/>
  <c r="AE34" i="10"/>
  <c r="AF34" i="10"/>
  <c r="AG34" i="10"/>
  <c r="AK34" i="10"/>
  <c r="AE35" i="10"/>
  <c r="AF35" i="10"/>
  <c r="AG35" i="10"/>
  <c r="AK35" i="10"/>
  <c r="AE36" i="10"/>
  <c r="AF36" i="10"/>
  <c r="AG36" i="10"/>
  <c r="AK36" i="10"/>
  <c r="AE37" i="10"/>
  <c r="AF37" i="10"/>
  <c r="AG37" i="10"/>
  <c r="AK37" i="10"/>
  <c r="AE38" i="10"/>
  <c r="AF38" i="10"/>
  <c r="AG38" i="10"/>
  <c r="AK38" i="10"/>
  <c r="AE39" i="10"/>
  <c r="AF39" i="10"/>
  <c r="AG39" i="10"/>
  <c r="AK39" i="10"/>
  <c r="AE40" i="10"/>
  <c r="AF40" i="10"/>
  <c r="AG40" i="10"/>
  <c r="AK40" i="10"/>
  <c r="AE41" i="10"/>
  <c r="AF41" i="10"/>
  <c r="AG41" i="10"/>
  <c r="AK41" i="10"/>
  <c r="AE42" i="10"/>
  <c r="AF42" i="10"/>
  <c r="AG42" i="10"/>
  <c r="AK42" i="10"/>
  <c r="AE43" i="10"/>
  <c r="AF43" i="10"/>
  <c r="AG43" i="10"/>
  <c r="AK43" i="10"/>
  <c r="AE44" i="10"/>
  <c r="AF44" i="10"/>
  <c r="AG44" i="10"/>
  <c r="AK44" i="10"/>
  <c r="AE45" i="10"/>
  <c r="AF45" i="10"/>
  <c r="AG45" i="10"/>
  <c r="AK45" i="10"/>
  <c r="AE46" i="10"/>
  <c r="AF46" i="10"/>
  <c r="AG46" i="10"/>
  <c r="AK46" i="10"/>
  <c r="AE47" i="10"/>
  <c r="AF47" i="10"/>
  <c r="AG47" i="10"/>
  <c r="AK47" i="10"/>
  <c r="AE48" i="10"/>
  <c r="AF48" i="10"/>
  <c r="AG48" i="10"/>
  <c r="AK48" i="10"/>
  <c r="AE49" i="10"/>
  <c r="AF49" i="10"/>
  <c r="AG49" i="10"/>
  <c r="AK49" i="10"/>
  <c r="AE50" i="10"/>
  <c r="AF50" i="10"/>
  <c r="AG50" i="10"/>
  <c r="AK50" i="10"/>
  <c r="AE51" i="10"/>
  <c r="AF51" i="10"/>
  <c r="AG51" i="10"/>
  <c r="AK51" i="10"/>
  <c r="AE52" i="10"/>
  <c r="AF52" i="10"/>
  <c r="AG52" i="10"/>
  <c r="AK52" i="10"/>
  <c r="AE53" i="10"/>
  <c r="AF53" i="10"/>
  <c r="AG53" i="10"/>
  <c r="AK53" i="10"/>
  <c r="AE54" i="10"/>
  <c r="AF54" i="10"/>
  <c r="AG54" i="10"/>
  <c r="AK54" i="10"/>
  <c r="AE55" i="10"/>
  <c r="AF55" i="10"/>
  <c r="AG55" i="10"/>
  <c r="AK55" i="10"/>
  <c r="AE56" i="10"/>
  <c r="AF56" i="10"/>
  <c r="AG56" i="10"/>
  <c r="AK56" i="10"/>
  <c r="AE57" i="10"/>
  <c r="AF57" i="10"/>
  <c r="AG57" i="10"/>
  <c r="AK57" i="10"/>
  <c r="AE58" i="10"/>
  <c r="AF58" i="10"/>
  <c r="AG58" i="10"/>
  <c r="AK58" i="10"/>
  <c r="AE59" i="10"/>
  <c r="AF59" i="10"/>
  <c r="AG59" i="10"/>
  <c r="AK59" i="10"/>
  <c r="AE60" i="10"/>
  <c r="AF60" i="10"/>
  <c r="AG60" i="10"/>
  <c r="AK60" i="10"/>
  <c r="AE61" i="10"/>
  <c r="AF61" i="10"/>
  <c r="AG61" i="10"/>
  <c r="AK61" i="10"/>
  <c r="AE62" i="10"/>
  <c r="AF62" i="10"/>
  <c r="AG62" i="10"/>
  <c r="AK62" i="10"/>
  <c r="AE63" i="10"/>
  <c r="AF63" i="10"/>
  <c r="AG63" i="10"/>
  <c r="AK63" i="10"/>
  <c r="AE64" i="10"/>
  <c r="AF64" i="10"/>
  <c r="AG64" i="10"/>
  <c r="AK64" i="10"/>
  <c r="AE65" i="10"/>
  <c r="AF65" i="10"/>
  <c r="AG65" i="10"/>
  <c r="AK65" i="10"/>
  <c r="AE66" i="10"/>
  <c r="AF66" i="10"/>
  <c r="AG66" i="10"/>
  <c r="AK66" i="10"/>
  <c r="AE67" i="10"/>
  <c r="AF67" i="10"/>
  <c r="AG67" i="10"/>
  <c r="AK67" i="10"/>
  <c r="AE68" i="10"/>
  <c r="AF68" i="10"/>
  <c r="AG68" i="10"/>
  <c r="AK68" i="10"/>
  <c r="AE69" i="10"/>
  <c r="AF69" i="10"/>
  <c r="AG69" i="10"/>
  <c r="AK69" i="10"/>
  <c r="AE70" i="10"/>
  <c r="AF70" i="10"/>
  <c r="AG70" i="10"/>
  <c r="AK70" i="10"/>
  <c r="AE71" i="10"/>
  <c r="AF71" i="10"/>
  <c r="AG71" i="10"/>
  <c r="AK71" i="10"/>
  <c r="AE72" i="10"/>
  <c r="AF72" i="10"/>
  <c r="AG72" i="10"/>
  <c r="AK72" i="10"/>
  <c r="AE73" i="10"/>
  <c r="AF73" i="10"/>
  <c r="AG73" i="10"/>
  <c r="AK73" i="10"/>
  <c r="AE74" i="10"/>
  <c r="AF74" i="10"/>
  <c r="AG74" i="10"/>
  <c r="AK74" i="10"/>
  <c r="AE75" i="10"/>
  <c r="AF75" i="10"/>
  <c r="AG75" i="10"/>
  <c r="AK75" i="10"/>
  <c r="AE76" i="10"/>
  <c r="AF76" i="10"/>
  <c r="AG76" i="10"/>
  <c r="AK76" i="10"/>
  <c r="AE77" i="10"/>
  <c r="AF77" i="10"/>
  <c r="AG77" i="10"/>
  <c r="AK77" i="10"/>
  <c r="AE78" i="10"/>
  <c r="AF78" i="10"/>
  <c r="AG78" i="10"/>
  <c r="AK78" i="10"/>
  <c r="AE79" i="10"/>
  <c r="AF79" i="10"/>
  <c r="AG79" i="10"/>
  <c r="AK79" i="10"/>
  <c r="AE80" i="10"/>
  <c r="AF80" i="10"/>
  <c r="AG80" i="10"/>
  <c r="AK80" i="10"/>
  <c r="AE81" i="10"/>
  <c r="AF81" i="10"/>
  <c r="AG81" i="10"/>
  <c r="AK81" i="10"/>
  <c r="AE82" i="10"/>
  <c r="AF82" i="10"/>
  <c r="AG82" i="10"/>
  <c r="AK82" i="10"/>
  <c r="AE83" i="10"/>
  <c r="AF83" i="10"/>
  <c r="AG83" i="10"/>
  <c r="AK83" i="10"/>
  <c r="AE84" i="10"/>
  <c r="AF84" i="10"/>
  <c r="AG84" i="10"/>
  <c r="AK84" i="10"/>
  <c r="AE85" i="10"/>
  <c r="AF85" i="10"/>
  <c r="AG85" i="10"/>
  <c r="AK85" i="10"/>
  <c r="AE86" i="10"/>
  <c r="AF86" i="10"/>
  <c r="AG86" i="10"/>
  <c r="AK86" i="10"/>
  <c r="AE87" i="10"/>
  <c r="AF87" i="10"/>
  <c r="AG87" i="10"/>
  <c r="AK87" i="10"/>
  <c r="AE88" i="10"/>
  <c r="AF88" i="10"/>
  <c r="AG88" i="10"/>
  <c r="AK88" i="10"/>
  <c r="AE89" i="10"/>
  <c r="AF89" i="10"/>
  <c r="AG89" i="10"/>
  <c r="AK89" i="10"/>
  <c r="AE90" i="10"/>
  <c r="AF90" i="10"/>
  <c r="AG90" i="10"/>
  <c r="AK90" i="10"/>
  <c r="AE91" i="10"/>
  <c r="AF91" i="10"/>
  <c r="AG91" i="10"/>
  <c r="AK91" i="10"/>
  <c r="AE92" i="10"/>
  <c r="AF92" i="10"/>
  <c r="AG92" i="10"/>
  <c r="AK92" i="10"/>
  <c r="AE93" i="10"/>
  <c r="AF93" i="10"/>
  <c r="AG93" i="10"/>
  <c r="AK93" i="10"/>
  <c r="AE94" i="10"/>
  <c r="AF94" i="10"/>
  <c r="AG94" i="10"/>
  <c r="AK94" i="10"/>
  <c r="AE95" i="10"/>
  <c r="AF95" i="10"/>
  <c r="AG95" i="10"/>
  <c r="AK95" i="10"/>
  <c r="AE96" i="10"/>
  <c r="AF96" i="10"/>
  <c r="AG96" i="10"/>
  <c r="AK96" i="10"/>
  <c r="AE97" i="10"/>
  <c r="AF97" i="10"/>
  <c r="AG97" i="10"/>
  <c r="AK97" i="10"/>
  <c r="AE98" i="10"/>
  <c r="AF98" i="10"/>
  <c r="AG98" i="10"/>
  <c r="AK98" i="10"/>
  <c r="AE99" i="10"/>
  <c r="AF99" i="10"/>
  <c r="AG99" i="10"/>
  <c r="AK99" i="10"/>
  <c r="AE100" i="10"/>
  <c r="AF100" i="10"/>
  <c r="AG100" i="10"/>
  <c r="AK100" i="10"/>
  <c r="AE101" i="10"/>
  <c r="AF101" i="10"/>
  <c r="AG101" i="10"/>
  <c r="AK101" i="10"/>
  <c r="AE102" i="10"/>
  <c r="AF102" i="10"/>
  <c r="AG102" i="10"/>
  <c r="AK102" i="10"/>
  <c r="AE103" i="10"/>
  <c r="AF103" i="10"/>
  <c r="AG103" i="10"/>
  <c r="AK103" i="10"/>
  <c r="AE104" i="10"/>
  <c r="AF104" i="10"/>
  <c r="AG104" i="10"/>
  <c r="AK104" i="10"/>
  <c r="AE105" i="10"/>
  <c r="AF105" i="10"/>
  <c r="AG105" i="10"/>
  <c r="AK105" i="10"/>
  <c r="AE106" i="10"/>
  <c r="AF106" i="10"/>
  <c r="AG106" i="10"/>
  <c r="AK106" i="10"/>
  <c r="AE107" i="10"/>
  <c r="AF107" i="10"/>
  <c r="AG107" i="10"/>
  <c r="AK107" i="10"/>
  <c r="AE108" i="10"/>
  <c r="AF108" i="10"/>
  <c r="AG108" i="10"/>
  <c r="AK108" i="10"/>
  <c r="AE109" i="10"/>
  <c r="AF109" i="10"/>
  <c r="AG109" i="10"/>
  <c r="AK109" i="10"/>
  <c r="AE110" i="10"/>
  <c r="AF110" i="10"/>
  <c r="AG110" i="10"/>
  <c r="AK110" i="10"/>
  <c r="AE111" i="10"/>
  <c r="AF111" i="10"/>
  <c r="AG111" i="10"/>
  <c r="AK111" i="10"/>
  <c r="AE112" i="10"/>
  <c r="AF112" i="10"/>
  <c r="AG112" i="10"/>
  <c r="AK112" i="10"/>
  <c r="AE113" i="10"/>
  <c r="AF113" i="10"/>
  <c r="AG113" i="10"/>
  <c r="AK113" i="10"/>
  <c r="AE114" i="10"/>
  <c r="AF114" i="10"/>
  <c r="AG114" i="10"/>
  <c r="AK114" i="10"/>
  <c r="AE115" i="10"/>
  <c r="AF115" i="10"/>
  <c r="AG115" i="10"/>
  <c r="AK115" i="10"/>
  <c r="AE116" i="10"/>
  <c r="AF116" i="10"/>
  <c r="AG116" i="10"/>
  <c r="AK116" i="10"/>
  <c r="AE117" i="10"/>
  <c r="AF117" i="10"/>
  <c r="AG117" i="10"/>
  <c r="AK117" i="10"/>
  <c r="AE118" i="10"/>
  <c r="AF118" i="10"/>
  <c r="AG118" i="10"/>
  <c r="AK118" i="10"/>
  <c r="AE119" i="10"/>
  <c r="AF119" i="10"/>
  <c r="AG119" i="10"/>
  <c r="AK119" i="10"/>
  <c r="AE120" i="10"/>
  <c r="AF120" i="10"/>
  <c r="AG120" i="10"/>
  <c r="AK120" i="10"/>
  <c r="AE121" i="10"/>
  <c r="AF121" i="10"/>
  <c r="AG121" i="10"/>
  <c r="AK121" i="10"/>
  <c r="AE122" i="10"/>
  <c r="AF122" i="10"/>
  <c r="AG122" i="10"/>
  <c r="AK122" i="10"/>
  <c r="AE123" i="10"/>
  <c r="AF123" i="10"/>
  <c r="AG123" i="10"/>
  <c r="AK123" i="10"/>
  <c r="AE124" i="10"/>
  <c r="AF124" i="10"/>
  <c r="AG124" i="10"/>
  <c r="AK124" i="10"/>
  <c r="AE125" i="10"/>
  <c r="AF125" i="10"/>
  <c r="AG125" i="10"/>
  <c r="AK125" i="10"/>
  <c r="AE126" i="10"/>
  <c r="AF126" i="10"/>
  <c r="AG126" i="10"/>
  <c r="AK126" i="10"/>
  <c r="AE127" i="10"/>
  <c r="AF127" i="10"/>
  <c r="AG127" i="10"/>
  <c r="AK127" i="10"/>
  <c r="AE128" i="10"/>
  <c r="AF128" i="10"/>
  <c r="AG128" i="10"/>
  <c r="AK128" i="10"/>
  <c r="AE129" i="10"/>
  <c r="AF129" i="10"/>
  <c r="AG129" i="10"/>
  <c r="AK129" i="10"/>
  <c r="AE130" i="10"/>
  <c r="AF130" i="10"/>
  <c r="AG130" i="10"/>
  <c r="AK130" i="10"/>
  <c r="AE131" i="10"/>
  <c r="AF131" i="10"/>
  <c r="AG131" i="10"/>
  <c r="AK131" i="10"/>
  <c r="AE132" i="10"/>
  <c r="AF132" i="10"/>
  <c r="AG132" i="10"/>
  <c r="AK132" i="10"/>
  <c r="AE133" i="10"/>
  <c r="AF133" i="10"/>
  <c r="AG133" i="10"/>
  <c r="AK133" i="10"/>
  <c r="AE134" i="10"/>
  <c r="AF134" i="10"/>
  <c r="AG134" i="10"/>
  <c r="AK134" i="10"/>
  <c r="AE135" i="10"/>
  <c r="AF135" i="10"/>
  <c r="AG135" i="10"/>
  <c r="AK135" i="10"/>
  <c r="AE136" i="10"/>
  <c r="AF136" i="10"/>
  <c r="AG136" i="10"/>
  <c r="AK136" i="10"/>
  <c r="AE137" i="10"/>
  <c r="AF137" i="10"/>
  <c r="AG137" i="10"/>
  <c r="AK137" i="10"/>
  <c r="AE138" i="10"/>
  <c r="AF138" i="10"/>
  <c r="AG138" i="10"/>
  <c r="AK138" i="10"/>
  <c r="AE139" i="10"/>
  <c r="AF139" i="10"/>
  <c r="AG139" i="10"/>
  <c r="AK139" i="10"/>
  <c r="AE140" i="10"/>
  <c r="AF140" i="10"/>
  <c r="AG140" i="10"/>
  <c r="AK140" i="10"/>
  <c r="AE141" i="10"/>
  <c r="AF141" i="10"/>
  <c r="AG141" i="10"/>
  <c r="AK141" i="10"/>
  <c r="AE142" i="10"/>
  <c r="AF142" i="10"/>
  <c r="AG142" i="10"/>
  <c r="AK142" i="10"/>
  <c r="AE143" i="10"/>
  <c r="AF143" i="10"/>
  <c r="AG143" i="10"/>
  <c r="AK143" i="10"/>
  <c r="AE144" i="10"/>
  <c r="AF144" i="10"/>
  <c r="AG144" i="10"/>
  <c r="AK144" i="10"/>
  <c r="AE145" i="10"/>
  <c r="AF145" i="10"/>
  <c r="AG145" i="10"/>
  <c r="AK145" i="10"/>
  <c r="AE146" i="10"/>
  <c r="AF146" i="10"/>
  <c r="AG146" i="10"/>
  <c r="AK146" i="10"/>
  <c r="AE147" i="10"/>
  <c r="AF147" i="10"/>
  <c r="AG147" i="10"/>
  <c r="AK147" i="10"/>
  <c r="AE148" i="10"/>
  <c r="AF148" i="10"/>
  <c r="AG148" i="10"/>
  <c r="AK148" i="10"/>
  <c r="AE149" i="10"/>
  <c r="AF149" i="10"/>
  <c r="AG149" i="10"/>
  <c r="AK149" i="10"/>
  <c r="AE150" i="10"/>
  <c r="AF150" i="10"/>
  <c r="AG150" i="10"/>
  <c r="AK150" i="10"/>
  <c r="AE151" i="10"/>
  <c r="AF151" i="10"/>
  <c r="AG151" i="10"/>
  <c r="AK151" i="10"/>
  <c r="AE152" i="10"/>
  <c r="AF152" i="10"/>
  <c r="AG152" i="10"/>
  <c r="AK152" i="10"/>
  <c r="AE153" i="10"/>
  <c r="AF153" i="10"/>
  <c r="AG153" i="10"/>
  <c r="AK153" i="10"/>
  <c r="AE154" i="10"/>
  <c r="AF154" i="10"/>
  <c r="AG154" i="10"/>
  <c r="AK154" i="10"/>
  <c r="AE155" i="10"/>
  <c r="AF155" i="10"/>
  <c r="AG155" i="10"/>
  <c r="AK155" i="10"/>
  <c r="AE156" i="10"/>
  <c r="AF156" i="10"/>
  <c r="AG156" i="10"/>
  <c r="AK156" i="10"/>
  <c r="AE157" i="10"/>
  <c r="AF157" i="10"/>
  <c r="AG157" i="10"/>
  <c r="AK157" i="10"/>
  <c r="AE158" i="10"/>
  <c r="AF158" i="10"/>
  <c r="AG158" i="10"/>
  <c r="AK158" i="10"/>
  <c r="AE159" i="10"/>
  <c r="AF159" i="10"/>
  <c r="AG159" i="10"/>
  <c r="AK159" i="10"/>
  <c r="AE160" i="10"/>
  <c r="AF160" i="10"/>
  <c r="AG160" i="10"/>
  <c r="AK160" i="10"/>
  <c r="AE161" i="10"/>
  <c r="AF161" i="10"/>
  <c r="AG161" i="10"/>
  <c r="AK161" i="10"/>
  <c r="AE162" i="10"/>
  <c r="AF162" i="10"/>
  <c r="AG162" i="10"/>
  <c r="AK162" i="10"/>
  <c r="AE163" i="10"/>
  <c r="AF163" i="10"/>
  <c r="AG163" i="10"/>
  <c r="AK163" i="10"/>
  <c r="AE164" i="10"/>
  <c r="AF164" i="10"/>
  <c r="AG164" i="10"/>
  <c r="AK164" i="10"/>
  <c r="AE165" i="10"/>
  <c r="AF165" i="10"/>
  <c r="AG165" i="10"/>
  <c r="AK165" i="10"/>
  <c r="AE166" i="10"/>
  <c r="AF166" i="10"/>
  <c r="AG166" i="10"/>
  <c r="AK166" i="10"/>
  <c r="AE167" i="10"/>
  <c r="AF167" i="10"/>
  <c r="AG167" i="10"/>
  <c r="AK167" i="10"/>
  <c r="AE168" i="10"/>
  <c r="AF168" i="10"/>
  <c r="AG168" i="10"/>
  <c r="AK168" i="10"/>
  <c r="AE169" i="10"/>
  <c r="AF169" i="10"/>
  <c r="AG169" i="10"/>
  <c r="AK169" i="10"/>
  <c r="AE170" i="10"/>
  <c r="AF170" i="10"/>
  <c r="AG170" i="10"/>
  <c r="AK170" i="10"/>
  <c r="AE171" i="10"/>
  <c r="AF171" i="10"/>
  <c r="AG171" i="10"/>
  <c r="AK171" i="10"/>
  <c r="AE172" i="10"/>
  <c r="AF172" i="10"/>
  <c r="AG172" i="10"/>
  <c r="AK172" i="10"/>
  <c r="AE173" i="10"/>
  <c r="AF173" i="10"/>
  <c r="AG173" i="10"/>
  <c r="AK173" i="10"/>
  <c r="AE174" i="10"/>
  <c r="AF174" i="10"/>
  <c r="AG174" i="10"/>
  <c r="AK174" i="10"/>
  <c r="AE175" i="10"/>
  <c r="AF175" i="10"/>
  <c r="AG175" i="10"/>
  <c r="AK175" i="10"/>
  <c r="AE176" i="10"/>
  <c r="AF176" i="10"/>
  <c r="AG176" i="10"/>
  <c r="AK176" i="10"/>
  <c r="AE177" i="10"/>
  <c r="AF177" i="10"/>
  <c r="AG177" i="10"/>
  <c r="AK177" i="10"/>
  <c r="AE178" i="10"/>
  <c r="AF178" i="10"/>
  <c r="AG178" i="10"/>
  <c r="AK178" i="10"/>
  <c r="AE179" i="10"/>
  <c r="AF179" i="10"/>
  <c r="AG179" i="10"/>
  <c r="AK179" i="10"/>
  <c r="AE180" i="10"/>
  <c r="AF180" i="10"/>
  <c r="AG180" i="10"/>
  <c r="AK180" i="10"/>
  <c r="AE181" i="10"/>
  <c r="AF181" i="10"/>
  <c r="AG181" i="10"/>
  <c r="AK181" i="10"/>
  <c r="AE182" i="10"/>
  <c r="AF182" i="10"/>
  <c r="AG182" i="10"/>
  <c r="AK182" i="10"/>
  <c r="AE183" i="10"/>
  <c r="AF183" i="10"/>
  <c r="AG183" i="10"/>
  <c r="AK183" i="10"/>
  <c r="AE184" i="10"/>
  <c r="AF184" i="10"/>
  <c r="AG184" i="10"/>
  <c r="AK184" i="10"/>
  <c r="AE185" i="10"/>
  <c r="AF185" i="10"/>
  <c r="AG185" i="10"/>
  <c r="AK185" i="10"/>
  <c r="AE186" i="10"/>
  <c r="AF186" i="10"/>
  <c r="AG186" i="10"/>
  <c r="AK186" i="10"/>
  <c r="AE187" i="10"/>
  <c r="AF187" i="10"/>
  <c r="AG187" i="10"/>
  <c r="AK187" i="10"/>
  <c r="AE188" i="10"/>
  <c r="AF188" i="10"/>
  <c r="AG188" i="10"/>
  <c r="AK188" i="10"/>
  <c r="AE189" i="10"/>
  <c r="AF189" i="10"/>
  <c r="AG189" i="10"/>
  <c r="AK189" i="10"/>
  <c r="AE190" i="10"/>
  <c r="AF190" i="10"/>
  <c r="AG190" i="10"/>
  <c r="AK190" i="10"/>
  <c r="AE191" i="10"/>
  <c r="AF191" i="10"/>
  <c r="AG191" i="10"/>
  <c r="AK191" i="10"/>
  <c r="AE192" i="10"/>
  <c r="AF192" i="10"/>
  <c r="AG192" i="10"/>
  <c r="AK192" i="10"/>
  <c r="AE193" i="10"/>
  <c r="AF193" i="10"/>
  <c r="AG193" i="10"/>
  <c r="AK193" i="10"/>
  <c r="AE194" i="10"/>
  <c r="AF194" i="10"/>
  <c r="AG194" i="10"/>
  <c r="AK194" i="10"/>
  <c r="AE195" i="10"/>
  <c r="AF195" i="10"/>
  <c r="AG195" i="10"/>
  <c r="AK195" i="10"/>
  <c r="AE196" i="10"/>
  <c r="AF196" i="10"/>
  <c r="AG196" i="10"/>
  <c r="AK196" i="10"/>
  <c r="AE197" i="10"/>
  <c r="AF197" i="10"/>
  <c r="AG197" i="10"/>
  <c r="AK197" i="10"/>
  <c r="AE198" i="10"/>
  <c r="AF198" i="10"/>
  <c r="AG198" i="10"/>
  <c r="AK198" i="10"/>
  <c r="AE199" i="10"/>
  <c r="AF199" i="10"/>
  <c r="AG199" i="10"/>
  <c r="AK199" i="10"/>
  <c r="AE200" i="10"/>
  <c r="AF200" i="10"/>
  <c r="AG200" i="10"/>
  <c r="AK200" i="10"/>
  <c r="AE201" i="10"/>
  <c r="AF201" i="10"/>
  <c r="AG201" i="10"/>
  <c r="AK201" i="10"/>
  <c r="AE202" i="10"/>
  <c r="AF202" i="10"/>
  <c r="AG202" i="10"/>
  <c r="AK202" i="10"/>
  <c r="AE203" i="10"/>
  <c r="AF203" i="10"/>
  <c r="AG203" i="10"/>
  <c r="AK203" i="10"/>
  <c r="AE204" i="10"/>
  <c r="AF204" i="10"/>
  <c r="AG204" i="10"/>
  <c r="AK204" i="10"/>
  <c r="AE205" i="10"/>
  <c r="AF205" i="10"/>
  <c r="AG205" i="10"/>
  <c r="AK205" i="10"/>
  <c r="AE206" i="10"/>
  <c r="AF206" i="10"/>
  <c r="AG206" i="10"/>
  <c r="AK206" i="10"/>
  <c r="AE207" i="10"/>
  <c r="AF207" i="10"/>
  <c r="AG207" i="10"/>
  <c r="AK207" i="10"/>
  <c r="AE208" i="10"/>
  <c r="AF208" i="10"/>
  <c r="AG208" i="10"/>
  <c r="AK208" i="10"/>
  <c r="AE209" i="10"/>
  <c r="AF209" i="10"/>
  <c r="AG209" i="10"/>
  <c r="AK209" i="10"/>
  <c r="AE210" i="10"/>
  <c r="AF210" i="10"/>
  <c r="AG210" i="10"/>
  <c r="AK210" i="10"/>
  <c r="AE211" i="10"/>
  <c r="AF211" i="10"/>
  <c r="AG211" i="10"/>
  <c r="AK211" i="10"/>
  <c r="AE212" i="10"/>
  <c r="AF212" i="10"/>
  <c r="AG212" i="10"/>
  <c r="AK212" i="10"/>
  <c r="AE213" i="10"/>
  <c r="AF213" i="10"/>
  <c r="AG213" i="10"/>
  <c r="AK213" i="10"/>
  <c r="AE214" i="10"/>
  <c r="AF214" i="10"/>
  <c r="AG214" i="10"/>
  <c r="AK214" i="10"/>
  <c r="AE215" i="10"/>
  <c r="AF215" i="10"/>
  <c r="AG215" i="10"/>
  <c r="AK215" i="10"/>
  <c r="AE216" i="10"/>
  <c r="AF216" i="10"/>
  <c r="AG216" i="10"/>
  <c r="AK216" i="10"/>
  <c r="AE217" i="10"/>
  <c r="AF217" i="10"/>
  <c r="AG217" i="10"/>
  <c r="AK217" i="10"/>
  <c r="AE218" i="10"/>
  <c r="AF218" i="10"/>
  <c r="AG218" i="10"/>
  <c r="AK218" i="10"/>
  <c r="AE219" i="10"/>
  <c r="AF219" i="10"/>
  <c r="AG219" i="10"/>
  <c r="AK219" i="10"/>
  <c r="AE220" i="10"/>
  <c r="AF220" i="10"/>
  <c r="AG220" i="10"/>
  <c r="AK220" i="10"/>
  <c r="AE221" i="10"/>
  <c r="AF221" i="10"/>
  <c r="AG221" i="10"/>
  <c r="AK221" i="10"/>
  <c r="AE222" i="10"/>
  <c r="AF222" i="10"/>
  <c r="AG222" i="10"/>
  <c r="AK222" i="10"/>
  <c r="AE223" i="10"/>
  <c r="AF223" i="10"/>
  <c r="AG223" i="10"/>
  <c r="AK223" i="10"/>
  <c r="AE224" i="10"/>
  <c r="AF224" i="10"/>
  <c r="AG224" i="10"/>
  <c r="AK224" i="10"/>
  <c r="AE225" i="10"/>
  <c r="AF225" i="10"/>
  <c r="AG225" i="10"/>
  <c r="AK225" i="10"/>
  <c r="AE226" i="10"/>
  <c r="AF226" i="10"/>
  <c r="AG226" i="10"/>
  <c r="AK226" i="10"/>
  <c r="AE227" i="10"/>
  <c r="AF227" i="10"/>
  <c r="AG227" i="10"/>
  <c r="AK227" i="10"/>
  <c r="AE228" i="10"/>
  <c r="AF228" i="10"/>
  <c r="AG228" i="10"/>
  <c r="AK228" i="10"/>
  <c r="AE229" i="10"/>
  <c r="AF229" i="10"/>
  <c r="AG229" i="10"/>
  <c r="AK229" i="10"/>
  <c r="AE230" i="10"/>
  <c r="AF230" i="10"/>
  <c r="AG230" i="10"/>
  <c r="AK230" i="10"/>
  <c r="AE231" i="10"/>
  <c r="AF231" i="10"/>
  <c r="AG231" i="10"/>
  <c r="AK231" i="10"/>
  <c r="AE232" i="10"/>
  <c r="AF232" i="10"/>
  <c r="AG232" i="10"/>
  <c r="AK232" i="10"/>
  <c r="AE233" i="10"/>
  <c r="AF233" i="10"/>
  <c r="AG233" i="10"/>
  <c r="AK233" i="10"/>
  <c r="AE234" i="10"/>
  <c r="AF234" i="10"/>
  <c r="AG234" i="10"/>
  <c r="AK234" i="10"/>
  <c r="AE235" i="10"/>
  <c r="AF235" i="10"/>
  <c r="AG235" i="10"/>
  <c r="AK235" i="10"/>
  <c r="AE236" i="10"/>
  <c r="AF236" i="10"/>
  <c r="AG236" i="10"/>
  <c r="AK236" i="10"/>
  <c r="AE237" i="10"/>
  <c r="AF237" i="10"/>
  <c r="AG237" i="10"/>
  <c r="AK237" i="10"/>
  <c r="AE238" i="10"/>
  <c r="AF238" i="10"/>
  <c r="AG238" i="10"/>
  <c r="AK238" i="10"/>
  <c r="AE239" i="10"/>
  <c r="AF239" i="10"/>
  <c r="AG239" i="10"/>
  <c r="AK239" i="10"/>
  <c r="AE240" i="10"/>
  <c r="AF240" i="10"/>
  <c r="AG240" i="10"/>
  <c r="AK240" i="10"/>
  <c r="AE241" i="10"/>
  <c r="AF241" i="10"/>
  <c r="AG241" i="10"/>
  <c r="AK241" i="10"/>
  <c r="AE242" i="10"/>
  <c r="AF242" i="10"/>
  <c r="AG242" i="10"/>
  <c r="AK242" i="10"/>
  <c r="AE243" i="10"/>
  <c r="AF243" i="10"/>
  <c r="AG243" i="10"/>
  <c r="AK243" i="10"/>
  <c r="AE244" i="10"/>
  <c r="AF244" i="10"/>
  <c r="AG244" i="10"/>
  <c r="AK244" i="10"/>
  <c r="AJ5" i="10"/>
  <c r="AJ6" i="10"/>
  <c r="AJ7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J99" i="10"/>
  <c r="AJ100" i="10"/>
  <c r="AJ101" i="10"/>
  <c r="AJ102" i="10"/>
  <c r="AJ103" i="10"/>
  <c r="AJ104" i="10"/>
  <c r="AJ105" i="10"/>
  <c r="AJ106" i="10"/>
  <c r="AJ107" i="10"/>
  <c r="AJ108" i="10"/>
  <c r="AJ109" i="10"/>
  <c r="AJ110" i="10"/>
  <c r="AJ111" i="10"/>
  <c r="AJ112" i="10"/>
  <c r="AJ113" i="10"/>
  <c r="AJ114" i="10"/>
  <c r="AJ115" i="10"/>
  <c r="AJ116" i="10"/>
  <c r="AJ117" i="10"/>
  <c r="AJ118" i="10"/>
  <c r="AJ119" i="10"/>
  <c r="AJ120" i="10"/>
  <c r="AJ121" i="10"/>
  <c r="AJ122" i="10"/>
  <c r="AJ123" i="10"/>
  <c r="AJ124" i="10"/>
  <c r="AJ125" i="10"/>
  <c r="AJ126" i="10"/>
  <c r="AJ127" i="10"/>
  <c r="AJ128" i="10"/>
  <c r="AJ129" i="10"/>
  <c r="AJ130" i="10"/>
  <c r="AJ131" i="10"/>
  <c r="AJ132" i="10"/>
  <c r="AJ133" i="10"/>
  <c r="AJ134" i="10"/>
  <c r="AJ135" i="10"/>
  <c r="AJ136" i="10"/>
  <c r="AJ137" i="10"/>
  <c r="AJ138" i="10"/>
  <c r="AJ139" i="10"/>
  <c r="AJ140" i="10"/>
  <c r="AJ141" i="10"/>
  <c r="AJ142" i="10"/>
  <c r="AJ143" i="10"/>
  <c r="AJ144" i="10"/>
  <c r="AJ145" i="10"/>
  <c r="AJ146" i="10"/>
  <c r="AJ147" i="10"/>
  <c r="AJ148" i="10"/>
  <c r="AJ149" i="10"/>
  <c r="AJ150" i="10"/>
  <c r="AJ151" i="10"/>
  <c r="AJ152" i="10"/>
  <c r="AJ153" i="10"/>
  <c r="AJ154" i="10"/>
  <c r="AJ155" i="10"/>
  <c r="AJ156" i="10"/>
  <c r="AJ157" i="10"/>
  <c r="AJ158" i="10"/>
  <c r="AJ159" i="10"/>
  <c r="AJ160" i="10"/>
  <c r="AJ161" i="10"/>
  <c r="AJ162" i="10"/>
  <c r="AJ163" i="10"/>
  <c r="AJ164" i="10"/>
  <c r="AJ165" i="10"/>
  <c r="AJ166" i="10"/>
  <c r="AJ167" i="10"/>
  <c r="AJ168" i="10"/>
  <c r="AJ169" i="10"/>
  <c r="AJ170" i="10"/>
  <c r="AJ171" i="10"/>
  <c r="AJ172" i="10"/>
  <c r="AJ173" i="10"/>
  <c r="AJ174" i="10"/>
  <c r="AJ175" i="10"/>
  <c r="AJ176" i="10"/>
  <c r="AJ177" i="10"/>
  <c r="AJ178" i="10"/>
  <c r="AJ179" i="10"/>
  <c r="AJ180" i="10"/>
  <c r="AJ181" i="10"/>
  <c r="AJ182" i="10"/>
  <c r="AJ183" i="10"/>
  <c r="AJ184" i="10"/>
  <c r="AJ185" i="10"/>
  <c r="AJ186" i="10"/>
  <c r="AJ187" i="10"/>
  <c r="AJ188" i="10"/>
  <c r="AJ189" i="10"/>
  <c r="AJ190" i="10"/>
  <c r="AJ191" i="10"/>
  <c r="AJ192" i="10"/>
  <c r="AJ193" i="10"/>
  <c r="AJ194" i="10"/>
  <c r="AJ195" i="10"/>
  <c r="AJ196" i="10"/>
  <c r="AJ197" i="10"/>
  <c r="AJ198" i="10"/>
  <c r="AJ199" i="10"/>
  <c r="AJ200" i="10"/>
  <c r="AJ201" i="10"/>
  <c r="AJ202" i="10"/>
  <c r="AJ203" i="10"/>
  <c r="AJ204" i="10"/>
  <c r="AJ205" i="10"/>
  <c r="AJ206" i="10"/>
  <c r="AJ207" i="10"/>
  <c r="AJ208" i="10"/>
  <c r="AJ209" i="10"/>
  <c r="AJ210" i="10"/>
  <c r="AJ211" i="10"/>
  <c r="AJ212" i="10"/>
  <c r="AJ213" i="10"/>
  <c r="AJ214" i="10"/>
  <c r="AJ215" i="10"/>
  <c r="AJ216" i="10"/>
  <c r="AJ217" i="10"/>
  <c r="AJ218" i="10"/>
  <c r="AJ219" i="10"/>
  <c r="AJ220" i="10"/>
  <c r="AJ221" i="10"/>
  <c r="AJ222" i="10"/>
  <c r="AJ223" i="10"/>
  <c r="AJ224" i="10"/>
  <c r="AJ225" i="10"/>
  <c r="AJ226" i="10"/>
  <c r="AJ227" i="10"/>
  <c r="AJ228" i="10"/>
  <c r="AJ229" i="10"/>
  <c r="AJ230" i="10"/>
  <c r="AJ231" i="10"/>
  <c r="AJ232" i="10"/>
  <c r="AJ233" i="10"/>
  <c r="AJ234" i="10"/>
  <c r="AJ235" i="10"/>
  <c r="AJ236" i="10"/>
  <c r="AJ237" i="10"/>
  <c r="AJ238" i="10"/>
  <c r="AJ239" i="10"/>
  <c r="AJ240" i="10"/>
  <c r="AJ241" i="10"/>
  <c r="AJ242" i="10"/>
  <c r="AJ243" i="10"/>
  <c r="AJ244" i="10"/>
  <c r="AH5" i="10"/>
  <c r="AI5" i="10"/>
  <c r="AH6" i="10"/>
  <c r="AI6" i="10"/>
  <c r="AH7" i="10"/>
  <c r="AI7" i="10"/>
  <c r="AH8" i="10"/>
  <c r="AI8" i="10"/>
  <c r="AH9" i="10"/>
  <c r="AI9" i="10"/>
  <c r="AH10" i="10"/>
  <c r="AI10" i="10"/>
  <c r="AH11" i="10"/>
  <c r="AI11" i="10"/>
  <c r="AH12" i="10"/>
  <c r="AI12" i="10"/>
  <c r="AH13" i="10"/>
  <c r="AI13" i="10"/>
  <c r="AH14" i="10"/>
  <c r="AI14" i="10"/>
  <c r="AH15" i="10"/>
  <c r="AI15" i="10"/>
  <c r="AH16" i="10"/>
  <c r="AI16" i="10"/>
  <c r="AH17" i="10"/>
  <c r="AI17" i="10"/>
  <c r="AH18" i="10"/>
  <c r="AI18" i="10"/>
  <c r="AH19" i="10"/>
  <c r="AI19" i="10"/>
  <c r="AH20" i="10"/>
  <c r="AI20" i="10"/>
  <c r="AH21" i="10"/>
  <c r="AI21" i="10"/>
  <c r="AH22" i="10"/>
  <c r="AI22" i="10"/>
  <c r="AH23" i="10"/>
  <c r="AI23" i="10"/>
  <c r="AH24" i="10"/>
  <c r="AI24" i="10"/>
  <c r="AH25" i="10"/>
  <c r="AI25" i="10"/>
  <c r="AH26" i="10"/>
  <c r="AI26" i="10"/>
  <c r="AH27" i="10"/>
  <c r="AI27" i="10"/>
  <c r="AH28" i="10"/>
  <c r="AI28" i="10"/>
  <c r="AH29" i="10"/>
  <c r="AI29" i="10"/>
  <c r="AH30" i="10"/>
  <c r="AI30" i="10"/>
  <c r="AH31" i="10"/>
  <c r="AI31" i="10"/>
  <c r="AH32" i="10"/>
  <c r="AI32" i="10"/>
  <c r="AH33" i="10"/>
  <c r="AI33" i="10"/>
  <c r="AH34" i="10"/>
  <c r="AI34" i="10"/>
  <c r="AH35" i="10"/>
  <c r="AI35" i="10"/>
  <c r="AH36" i="10"/>
  <c r="AI36" i="10"/>
  <c r="AH37" i="10"/>
  <c r="AI37" i="10"/>
  <c r="AH38" i="10"/>
  <c r="AI38" i="10"/>
  <c r="AH39" i="10"/>
  <c r="AI39" i="10"/>
  <c r="AH40" i="10"/>
  <c r="AI40" i="10"/>
  <c r="AH41" i="10"/>
  <c r="AI41" i="10"/>
  <c r="AH42" i="10"/>
  <c r="AI42" i="10"/>
  <c r="AH43" i="10"/>
  <c r="AI43" i="10"/>
  <c r="AH44" i="10"/>
  <c r="AI44" i="10"/>
  <c r="AH45" i="10"/>
  <c r="AI45" i="10"/>
  <c r="AH46" i="10"/>
  <c r="AI46" i="10"/>
  <c r="AH47" i="10"/>
  <c r="AI47" i="10"/>
  <c r="AH48" i="10"/>
  <c r="AI48" i="10"/>
  <c r="AH49" i="10"/>
  <c r="AI49" i="10"/>
  <c r="AH50" i="10"/>
  <c r="AI50" i="10"/>
  <c r="AH51" i="10"/>
  <c r="AI51" i="10"/>
  <c r="AH52" i="10"/>
  <c r="AI52" i="10"/>
  <c r="AH53" i="10"/>
  <c r="AI53" i="10"/>
  <c r="AH54" i="10"/>
  <c r="AI54" i="10"/>
  <c r="AH55" i="10"/>
  <c r="AI55" i="10"/>
  <c r="AH56" i="10"/>
  <c r="AI56" i="10"/>
  <c r="AH57" i="10"/>
  <c r="AI57" i="10"/>
  <c r="AH58" i="10"/>
  <c r="AI58" i="10"/>
  <c r="AH59" i="10"/>
  <c r="AI59" i="10"/>
  <c r="AH60" i="10"/>
  <c r="AI60" i="10"/>
  <c r="AH61" i="10"/>
  <c r="AI61" i="10"/>
  <c r="AH62" i="10"/>
  <c r="AI62" i="10"/>
  <c r="AH63" i="10"/>
  <c r="AI63" i="10"/>
  <c r="AH64" i="10"/>
  <c r="AI64" i="10"/>
  <c r="AH65" i="10"/>
  <c r="AI65" i="10"/>
  <c r="AH66" i="10"/>
  <c r="AI66" i="10"/>
  <c r="AH67" i="10"/>
  <c r="AI67" i="10"/>
  <c r="AH68" i="10"/>
  <c r="AI68" i="10"/>
  <c r="AH69" i="10"/>
  <c r="AI69" i="10"/>
  <c r="AH70" i="10"/>
  <c r="AI70" i="10"/>
  <c r="AH71" i="10"/>
  <c r="AI71" i="10"/>
  <c r="AH72" i="10"/>
  <c r="AI72" i="10"/>
  <c r="AH73" i="10"/>
  <c r="AI73" i="10"/>
  <c r="AH74" i="10"/>
  <c r="AI74" i="10"/>
  <c r="AH75" i="10"/>
  <c r="AI75" i="10"/>
  <c r="AH76" i="10"/>
  <c r="AI76" i="10"/>
  <c r="AH77" i="10"/>
  <c r="AI77" i="10"/>
  <c r="AH78" i="10"/>
  <c r="AI78" i="10"/>
  <c r="AH79" i="10"/>
  <c r="AI79" i="10"/>
  <c r="AH80" i="10"/>
  <c r="AI80" i="10"/>
  <c r="AH81" i="10"/>
  <c r="AI81" i="10"/>
  <c r="AH82" i="10"/>
  <c r="AI82" i="10"/>
  <c r="AH83" i="10"/>
  <c r="AI83" i="10"/>
  <c r="AH84" i="10"/>
  <c r="AI84" i="10"/>
  <c r="AH85" i="10"/>
  <c r="AI85" i="10"/>
  <c r="AH86" i="10"/>
  <c r="AI86" i="10"/>
  <c r="AH87" i="10"/>
  <c r="AI87" i="10"/>
  <c r="AH88" i="10"/>
  <c r="AI88" i="10"/>
  <c r="AH89" i="10"/>
  <c r="AI89" i="10"/>
  <c r="AH90" i="10"/>
  <c r="AI90" i="10"/>
  <c r="AH91" i="10"/>
  <c r="AI91" i="10"/>
  <c r="AH92" i="10"/>
  <c r="AI92" i="10"/>
  <c r="AH93" i="10"/>
  <c r="AI93" i="10"/>
  <c r="AH94" i="10"/>
  <c r="AI94" i="10"/>
  <c r="AH95" i="10"/>
  <c r="AI95" i="10"/>
  <c r="AH96" i="10"/>
  <c r="AI96" i="10"/>
  <c r="AH97" i="10"/>
  <c r="AI97" i="10"/>
  <c r="AH98" i="10"/>
  <c r="AI98" i="10"/>
  <c r="AH99" i="10"/>
  <c r="AI99" i="10"/>
  <c r="AH100" i="10"/>
  <c r="AI100" i="10"/>
  <c r="AH101" i="10"/>
  <c r="AI101" i="10"/>
  <c r="AH102" i="10"/>
  <c r="AI102" i="10"/>
  <c r="AH103" i="10"/>
  <c r="AI103" i="10"/>
  <c r="AH104" i="10"/>
  <c r="AI104" i="10"/>
  <c r="AH105" i="10"/>
  <c r="AI105" i="10"/>
  <c r="AH106" i="10"/>
  <c r="AI106" i="10"/>
  <c r="AH107" i="10"/>
  <c r="AI107" i="10"/>
  <c r="AH108" i="10"/>
  <c r="AI108" i="10"/>
  <c r="AH109" i="10"/>
  <c r="AI109" i="10"/>
  <c r="AH110" i="10"/>
  <c r="AI110" i="10"/>
  <c r="AH111" i="10"/>
  <c r="AI111" i="10"/>
  <c r="AH112" i="10"/>
  <c r="AI112" i="10"/>
  <c r="AH113" i="10"/>
  <c r="AI113" i="10"/>
  <c r="AH114" i="10"/>
  <c r="AI114" i="10"/>
  <c r="AH115" i="10"/>
  <c r="AI115" i="10"/>
  <c r="AH116" i="10"/>
  <c r="AI116" i="10"/>
  <c r="AH117" i="10"/>
  <c r="AI117" i="10"/>
  <c r="AH118" i="10"/>
  <c r="AI118" i="10"/>
  <c r="AH119" i="10"/>
  <c r="AI119" i="10"/>
  <c r="AH120" i="10"/>
  <c r="AI120" i="10"/>
  <c r="AH121" i="10"/>
  <c r="AI121" i="10"/>
  <c r="AH122" i="10"/>
  <c r="AI122" i="10"/>
  <c r="AH123" i="10"/>
  <c r="AI123" i="10"/>
  <c r="AH124" i="10"/>
  <c r="AI124" i="10"/>
  <c r="AH125" i="10"/>
  <c r="AI125" i="10"/>
  <c r="AH126" i="10"/>
  <c r="AI126" i="10"/>
  <c r="AH127" i="10"/>
  <c r="AI127" i="10"/>
  <c r="AH128" i="10"/>
  <c r="AI128" i="10"/>
  <c r="AH129" i="10"/>
  <c r="AI129" i="10"/>
  <c r="AH130" i="10"/>
  <c r="AI130" i="10"/>
  <c r="AH131" i="10"/>
  <c r="AI131" i="10"/>
  <c r="AH132" i="10"/>
  <c r="AI132" i="10"/>
  <c r="AH133" i="10"/>
  <c r="AI133" i="10"/>
  <c r="AH134" i="10"/>
  <c r="AI134" i="10"/>
  <c r="AH135" i="10"/>
  <c r="AI135" i="10"/>
  <c r="AH136" i="10"/>
  <c r="AI136" i="10"/>
  <c r="AH137" i="10"/>
  <c r="AI137" i="10"/>
  <c r="AH138" i="10"/>
  <c r="AI138" i="10"/>
  <c r="AH139" i="10"/>
  <c r="AI139" i="10"/>
  <c r="AH140" i="10"/>
  <c r="AI140" i="10"/>
  <c r="AH141" i="10"/>
  <c r="AI141" i="10"/>
  <c r="AH142" i="10"/>
  <c r="AI142" i="10"/>
  <c r="AH143" i="10"/>
  <c r="AI143" i="10"/>
  <c r="AH144" i="10"/>
  <c r="AI144" i="10"/>
  <c r="AH145" i="10"/>
  <c r="AI145" i="10"/>
  <c r="AH146" i="10"/>
  <c r="AI146" i="10"/>
  <c r="AH147" i="10"/>
  <c r="AI147" i="10"/>
  <c r="AH148" i="10"/>
  <c r="AI148" i="10"/>
  <c r="AH149" i="10"/>
  <c r="AI149" i="10"/>
  <c r="AH150" i="10"/>
  <c r="AI150" i="10"/>
  <c r="AH151" i="10"/>
  <c r="AI151" i="10"/>
  <c r="AH152" i="10"/>
  <c r="AI152" i="10"/>
  <c r="AH153" i="10"/>
  <c r="AI153" i="10"/>
  <c r="AH154" i="10"/>
  <c r="AI154" i="10"/>
  <c r="AH155" i="10"/>
  <c r="AI155" i="10"/>
  <c r="AH156" i="10"/>
  <c r="AI156" i="10"/>
  <c r="AH157" i="10"/>
  <c r="AI157" i="10"/>
  <c r="AH158" i="10"/>
  <c r="AI158" i="10"/>
  <c r="AH159" i="10"/>
  <c r="AI159" i="10"/>
  <c r="AH160" i="10"/>
  <c r="AI160" i="10"/>
  <c r="AH161" i="10"/>
  <c r="AI161" i="10"/>
  <c r="AH162" i="10"/>
  <c r="AI162" i="10"/>
  <c r="AH163" i="10"/>
  <c r="AI163" i="10"/>
  <c r="AH164" i="10"/>
  <c r="AI164" i="10"/>
  <c r="AH165" i="10"/>
  <c r="AI165" i="10"/>
  <c r="AH166" i="10"/>
  <c r="AI166" i="10"/>
  <c r="AH167" i="10"/>
  <c r="AI167" i="10"/>
  <c r="AH168" i="10"/>
  <c r="AI168" i="10"/>
  <c r="AH169" i="10"/>
  <c r="AI169" i="10"/>
  <c r="AH170" i="10"/>
  <c r="AI170" i="10"/>
  <c r="AH171" i="10"/>
  <c r="AI171" i="10"/>
  <c r="AH172" i="10"/>
  <c r="AI172" i="10"/>
  <c r="AH173" i="10"/>
  <c r="AI173" i="10"/>
  <c r="AH174" i="10"/>
  <c r="AI174" i="10"/>
  <c r="AH175" i="10"/>
  <c r="AI175" i="10"/>
  <c r="AH176" i="10"/>
  <c r="AI176" i="10"/>
  <c r="AH177" i="10"/>
  <c r="AI177" i="10"/>
  <c r="AH178" i="10"/>
  <c r="AI178" i="10"/>
  <c r="AH179" i="10"/>
  <c r="AI179" i="10"/>
  <c r="AH180" i="10"/>
  <c r="AI180" i="10"/>
  <c r="AH181" i="10"/>
  <c r="AI181" i="10"/>
  <c r="AH182" i="10"/>
  <c r="AI182" i="10"/>
  <c r="AH183" i="10"/>
  <c r="AI183" i="10"/>
  <c r="AH184" i="10"/>
  <c r="AI184" i="10"/>
  <c r="AH185" i="10"/>
  <c r="AI185" i="10"/>
  <c r="AH186" i="10"/>
  <c r="AI186" i="10"/>
  <c r="AH187" i="10"/>
  <c r="AI187" i="10"/>
  <c r="AH188" i="10"/>
  <c r="AI188" i="10"/>
  <c r="AH189" i="10"/>
  <c r="AI189" i="10"/>
  <c r="AH190" i="10"/>
  <c r="AI190" i="10"/>
  <c r="AH191" i="10"/>
  <c r="AI191" i="10"/>
  <c r="AH192" i="10"/>
  <c r="AI192" i="10"/>
  <c r="AH193" i="10"/>
  <c r="AI193" i="10"/>
  <c r="AH194" i="10"/>
  <c r="AI194" i="10"/>
  <c r="AH195" i="10"/>
  <c r="AI195" i="10"/>
  <c r="AH196" i="10"/>
  <c r="AI196" i="10"/>
  <c r="AH197" i="10"/>
  <c r="AI197" i="10"/>
  <c r="AH198" i="10"/>
  <c r="AI198" i="10"/>
  <c r="AH199" i="10"/>
  <c r="AI199" i="10"/>
  <c r="AH200" i="10"/>
  <c r="AI200" i="10"/>
  <c r="AH201" i="10"/>
  <c r="AI201" i="10"/>
  <c r="AH202" i="10"/>
  <c r="AI202" i="10"/>
  <c r="AH203" i="10"/>
  <c r="AI203" i="10"/>
  <c r="AH204" i="10"/>
  <c r="AI204" i="10"/>
  <c r="AH205" i="10"/>
  <c r="AI205" i="10"/>
  <c r="AH206" i="10"/>
  <c r="AI206" i="10"/>
  <c r="AH207" i="10"/>
  <c r="AI207" i="10"/>
  <c r="AH208" i="10"/>
  <c r="AI208" i="10"/>
  <c r="AH209" i="10"/>
  <c r="AI209" i="10"/>
  <c r="AH210" i="10"/>
  <c r="AI210" i="10"/>
  <c r="AH211" i="10"/>
  <c r="AI211" i="10"/>
  <c r="AH212" i="10"/>
  <c r="AI212" i="10"/>
  <c r="AH213" i="10"/>
  <c r="AI213" i="10"/>
  <c r="AH214" i="10"/>
  <c r="AI214" i="10"/>
  <c r="AH215" i="10"/>
  <c r="AI215" i="10"/>
  <c r="AH216" i="10"/>
  <c r="AI216" i="10"/>
  <c r="AH217" i="10"/>
  <c r="AI217" i="10"/>
  <c r="AH218" i="10"/>
  <c r="AI218" i="10"/>
  <c r="AH219" i="10"/>
  <c r="AI219" i="10"/>
  <c r="AH220" i="10"/>
  <c r="AI220" i="10"/>
  <c r="AH221" i="10"/>
  <c r="AI221" i="10"/>
  <c r="AH222" i="10"/>
  <c r="AI222" i="10"/>
  <c r="AH223" i="10"/>
  <c r="AI223" i="10"/>
  <c r="AH224" i="10"/>
  <c r="AI224" i="10"/>
  <c r="AH225" i="10"/>
  <c r="AI225" i="10"/>
  <c r="AH226" i="10"/>
  <c r="AI226" i="10"/>
  <c r="AH227" i="10"/>
  <c r="AI227" i="10"/>
  <c r="AH228" i="10"/>
  <c r="AI228" i="10"/>
  <c r="AH229" i="10"/>
  <c r="AI229" i="10"/>
  <c r="AH230" i="10"/>
  <c r="AI230" i="10"/>
  <c r="AH231" i="10"/>
  <c r="AI231" i="10"/>
  <c r="AH232" i="10"/>
  <c r="AI232" i="10"/>
  <c r="AH233" i="10"/>
  <c r="AI233" i="10"/>
  <c r="AH234" i="10"/>
  <c r="AI234" i="10"/>
  <c r="AH235" i="10"/>
  <c r="AI235" i="10"/>
  <c r="AH236" i="10"/>
  <c r="AI236" i="10"/>
  <c r="AH237" i="10"/>
  <c r="AI237" i="10"/>
  <c r="AH238" i="10"/>
  <c r="AI238" i="10"/>
  <c r="AH239" i="10"/>
  <c r="AI239" i="10"/>
  <c r="AH240" i="10"/>
  <c r="AI240" i="10"/>
  <c r="AH241" i="10"/>
  <c r="AI241" i="10"/>
  <c r="AH242" i="10"/>
  <c r="AI242" i="10"/>
  <c r="AH243" i="10"/>
  <c r="AI243" i="10"/>
  <c r="AH244" i="10"/>
  <c r="AI244" i="10"/>
  <c r="AA5" i="10"/>
  <c r="AA6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A99" i="10"/>
  <c r="AA100" i="10"/>
  <c r="AA101" i="10"/>
  <c r="AA102" i="10"/>
  <c r="AA103" i="10"/>
  <c r="AA104" i="10"/>
  <c r="AA105" i="10"/>
  <c r="AA106" i="10"/>
  <c r="AA107" i="10"/>
  <c r="AA108" i="10"/>
  <c r="AA109" i="10"/>
  <c r="AA110" i="10"/>
  <c r="AA111" i="10"/>
  <c r="AA112" i="10"/>
  <c r="AA113" i="10"/>
  <c r="AA114" i="10"/>
  <c r="AA115" i="10"/>
  <c r="AA116" i="10"/>
  <c r="AA117" i="10"/>
  <c r="AA118" i="10"/>
  <c r="AA119" i="10"/>
  <c r="AA120" i="10"/>
  <c r="AA121" i="10"/>
  <c r="AA122" i="10"/>
  <c r="AA123" i="10"/>
  <c r="AA124" i="10"/>
  <c r="AA125" i="10"/>
  <c r="AA126" i="10"/>
  <c r="AA127" i="10"/>
  <c r="AA128" i="10"/>
  <c r="AA129" i="10"/>
  <c r="AA130" i="10"/>
  <c r="AA131" i="10"/>
  <c r="AA132" i="10"/>
  <c r="AA133" i="10"/>
  <c r="AA134" i="10"/>
  <c r="AA135" i="10"/>
  <c r="AA136" i="10"/>
  <c r="AA137" i="10"/>
  <c r="AA138" i="10"/>
  <c r="AA139" i="10"/>
  <c r="AA140" i="10"/>
  <c r="AA141" i="10"/>
  <c r="AA142" i="10"/>
  <c r="AA143" i="10"/>
  <c r="AA144" i="10"/>
  <c r="AA145" i="10"/>
  <c r="AA146" i="10"/>
  <c r="AA147" i="10"/>
  <c r="AA148" i="10"/>
  <c r="AA149" i="10"/>
  <c r="AA150" i="10"/>
  <c r="AA151" i="10"/>
  <c r="AA152" i="10"/>
  <c r="AA153" i="10"/>
  <c r="AA154" i="10"/>
  <c r="AA155" i="10"/>
  <c r="AA156" i="10"/>
  <c r="AA157" i="10"/>
  <c r="AA158" i="10"/>
  <c r="AA159" i="10"/>
  <c r="AA160" i="10"/>
  <c r="AA161" i="10"/>
  <c r="AA162" i="10"/>
  <c r="AA163" i="10"/>
  <c r="AA164" i="10"/>
  <c r="AA165" i="10"/>
  <c r="AA166" i="10"/>
  <c r="AA167" i="10"/>
  <c r="AA168" i="10"/>
  <c r="AA169" i="10"/>
  <c r="AA170" i="10"/>
  <c r="AA171" i="10"/>
  <c r="AA172" i="10"/>
  <c r="AA173" i="10"/>
  <c r="AA174" i="10"/>
  <c r="AA175" i="10"/>
  <c r="AA176" i="10"/>
  <c r="AA177" i="10"/>
  <c r="AA178" i="10"/>
  <c r="AA179" i="10"/>
  <c r="AA180" i="10"/>
  <c r="AA181" i="10"/>
  <c r="AA182" i="10"/>
  <c r="AA183" i="10"/>
  <c r="AA184" i="10"/>
  <c r="AA185" i="10"/>
  <c r="AA186" i="10"/>
  <c r="AA187" i="10"/>
  <c r="AA188" i="10"/>
  <c r="AA189" i="10"/>
  <c r="AA190" i="10"/>
  <c r="AA191" i="10"/>
  <c r="AA192" i="10"/>
  <c r="AA193" i="10"/>
  <c r="AA194" i="10"/>
  <c r="AA195" i="10"/>
  <c r="AA196" i="10"/>
  <c r="AA197" i="10"/>
  <c r="AA198" i="10"/>
  <c r="AA199" i="10"/>
  <c r="AA200" i="10"/>
  <c r="AA201" i="10"/>
  <c r="AA202" i="10"/>
  <c r="AA203" i="10"/>
  <c r="AA204" i="10"/>
  <c r="AA205" i="10"/>
  <c r="AA206" i="10"/>
  <c r="AA207" i="10"/>
  <c r="AA208" i="10"/>
  <c r="AA209" i="10"/>
  <c r="AA210" i="10"/>
  <c r="AA211" i="10"/>
  <c r="AA212" i="10"/>
  <c r="AA213" i="10"/>
  <c r="AA214" i="10"/>
  <c r="AA215" i="10"/>
  <c r="AA216" i="10"/>
  <c r="AA217" i="10"/>
  <c r="AA218" i="10"/>
  <c r="AA219" i="10"/>
  <c r="AA220" i="10"/>
  <c r="AA221" i="10"/>
  <c r="AA222" i="10"/>
  <c r="AA223" i="10"/>
  <c r="AA224" i="10"/>
  <c r="AA225" i="10"/>
  <c r="AA226" i="10"/>
  <c r="AA227" i="10"/>
  <c r="AA228" i="10"/>
  <c r="AA229" i="10"/>
  <c r="AA230" i="10"/>
  <c r="AA231" i="10"/>
  <c r="AA232" i="10"/>
  <c r="AA233" i="10"/>
  <c r="AA234" i="10"/>
  <c r="AA235" i="10"/>
  <c r="AA236" i="10"/>
  <c r="AA237" i="10"/>
  <c r="AA238" i="10"/>
  <c r="AA239" i="10"/>
  <c r="AA240" i="10"/>
  <c r="AA241" i="10"/>
  <c r="AA242" i="10"/>
  <c r="AA243" i="10"/>
  <c r="AA244" i="10"/>
  <c r="X5" i="10"/>
  <c r="Y5" i="10"/>
  <c r="X6" i="10"/>
  <c r="Y6" i="10"/>
  <c r="X7" i="10"/>
  <c r="Y7" i="10"/>
  <c r="X8" i="10"/>
  <c r="Y8" i="10"/>
  <c r="X9" i="10"/>
  <c r="Y9" i="10"/>
  <c r="X10" i="10"/>
  <c r="Y10" i="10"/>
  <c r="X11" i="10"/>
  <c r="Y11" i="10"/>
  <c r="X12" i="10"/>
  <c r="Y12" i="10"/>
  <c r="X13" i="10"/>
  <c r="Y13" i="10"/>
  <c r="X14" i="10"/>
  <c r="Y14" i="10"/>
  <c r="X15" i="10"/>
  <c r="Y15" i="10"/>
  <c r="X16" i="10"/>
  <c r="Y16" i="10"/>
  <c r="X17" i="10"/>
  <c r="Y17" i="10"/>
  <c r="X18" i="10"/>
  <c r="Y18" i="10"/>
  <c r="X19" i="10"/>
  <c r="Y19" i="10"/>
  <c r="X20" i="10"/>
  <c r="Y20" i="10"/>
  <c r="X21" i="10"/>
  <c r="Y21" i="10"/>
  <c r="X22" i="10"/>
  <c r="Y22" i="10"/>
  <c r="X23" i="10"/>
  <c r="Y23" i="10"/>
  <c r="X24" i="10"/>
  <c r="Y24" i="10"/>
  <c r="X25" i="10"/>
  <c r="Y25" i="10"/>
  <c r="X26" i="10"/>
  <c r="Y26" i="10"/>
  <c r="X27" i="10"/>
  <c r="Y27" i="10"/>
  <c r="X28" i="10"/>
  <c r="Y28" i="10"/>
  <c r="X29" i="10"/>
  <c r="Y29" i="10"/>
  <c r="X30" i="10"/>
  <c r="Y30" i="10"/>
  <c r="X31" i="10"/>
  <c r="Y31" i="10"/>
  <c r="X32" i="10"/>
  <c r="Y32" i="10"/>
  <c r="X33" i="10"/>
  <c r="Y33" i="10"/>
  <c r="X34" i="10"/>
  <c r="Y34" i="10"/>
  <c r="X35" i="10"/>
  <c r="Y35" i="10"/>
  <c r="X36" i="10"/>
  <c r="Y36" i="10"/>
  <c r="X37" i="10"/>
  <c r="Y37" i="10"/>
  <c r="X38" i="10"/>
  <c r="Y38" i="10"/>
  <c r="X39" i="10"/>
  <c r="Y39" i="10"/>
  <c r="X40" i="10"/>
  <c r="Y40" i="10"/>
  <c r="X41" i="10"/>
  <c r="Y41" i="10"/>
  <c r="X42" i="10"/>
  <c r="Y42" i="10"/>
  <c r="X43" i="10"/>
  <c r="Y43" i="10"/>
  <c r="X44" i="10"/>
  <c r="Y44" i="10"/>
  <c r="X45" i="10"/>
  <c r="Y45" i="10"/>
  <c r="X46" i="10"/>
  <c r="Y46" i="10"/>
  <c r="X47" i="10"/>
  <c r="Y47" i="10"/>
  <c r="X48" i="10"/>
  <c r="Y48" i="10"/>
  <c r="X49" i="10"/>
  <c r="Y49" i="10"/>
  <c r="X50" i="10"/>
  <c r="Y50" i="10"/>
  <c r="X51" i="10"/>
  <c r="Y51" i="10"/>
  <c r="X52" i="10"/>
  <c r="Y52" i="10"/>
  <c r="X53" i="10"/>
  <c r="Y53" i="10"/>
  <c r="X54" i="10"/>
  <c r="Y54" i="10"/>
  <c r="X55" i="10"/>
  <c r="Y55" i="10"/>
  <c r="X56" i="10"/>
  <c r="Y56" i="10"/>
  <c r="X57" i="10"/>
  <c r="Y57" i="10"/>
  <c r="X58" i="10"/>
  <c r="Y58" i="10"/>
  <c r="X59" i="10"/>
  <c r="Y59" i="10"/>
  <c r="X60" i="10"/>
  <c r="Y60" i="10"/>
  <c r="X61" i="10"/>
  <c r="Y61" i="10"/>
  <c r="X62" i="10"/>
  <c r="Y62" i="10"/>
  <c r="X63" i="10"/>
  <c r="Y63" i="10"/>
  <c r="X64" i="10"/>
  <c r="Y64" i="10"/>
  <c r="X65" i="10"/>
  <c r="Y65" i="10"/>
  <c r="X66" i="10"/>
  <c r="Y66" i="10"/>
  <c r="X67" i="10"/>
  <c r="Y67" i="10"/>
  <c r="X68" i="10"/>
  <c r="Y68" i="10"/>
  <c r="X69" i="10"/>
  <c r="Y69" i="10"/>
  <c r="X70" i="10"/>
  <c r="Y70" i="10"/>
  <c r="X71" i="10"/>
  <c r="Y71" i="10"/>
  <c r="X72" i="10"/>
  <c r="Y72" i="10"/>
  <c r="X73" i="10"/>
  <c r="Y73" i="10"/>
  <c r="X74" i="10"/>
  <c r="Y74" i="10"/>
  <c r="X75" i="10"/>
  <c r="Y75" i="10"/>
  <c r="X76" i="10"/>
  <c r="Y76" i="10"/>
  <c r="X77" i="10"/>
  <c r="Y77" i="10"/>
  <c r="X78" i="10"/>
  <c r="Y78" i="10"/>
  <c r="X79" i="10"/>
  <c r="Y79" i="10"/>
  <c r="X80" i="10"/>
  <c r="Y80" i="10"/>
  <c r="X81" i="10"/>
  <c r="Y81" i="10"/>
  <c r="X82" i="10"/>
  <c r="Y82" i="10"/>
  <c r="X83" i="10"/>
  <c r="Y83" i="10"/>
  <c r="X84" i="10"/>
  <c r="Y84" i="10"/>
  <c r="X85" i="10"/>
  <c r="Y85" i="10"/>
  <c r="X86" i="10"/>
  <c r="Y86" i="10"/>
  <c r="X87" i="10"/>
  <c r="Y87" i="10"/>
  <c r="X88" i="10"/>
  <c r="Y88" i="10"/>
  <c r="X89" i="10"/>
  <c r="Y89" i="10"/>
  <c r="X90" i="10"/>
  <c r="Y90" i="10"/>
  <c r="X91" i="10"/>
  <c r="Y91" i="10"/>
  <c r="X92" i="10"/>
  <c r="Y92" i="10"/>
  <c r="X93" i="10"/>
  <c r="Y93" i="10"/>
  <c r="X94" i="10"/>
  <c r="Y94" i="10"/>
  <c r="X95" i="10"/>
  <c r="Y95" i="10"/>
  <c r="X96" i="10"/>
  <c r="Y96" i="10"/>
  <c r="X97" i="10"/>
  <c r="Y97" i="10"/>
  <c r="X98" i="10"/>
  <c r="Y98" i="10"/>
  <c r="X99" i="10"/>
  <c r="Y99" i="10"/>
  <c r="X100" i="10"/>
  <c r="Y100" i="10"/>
  <c r="X101" i="10"/>
  <c r="Y101" i="10"/>
  <c r="X102" i="10"/>
  <c r="Y102" i="10"/>
  <c r="X103" i="10"/>
  <c r="Y103" i="10"/>
  <c r="X104" i="10"/>
  <c r="Y104" i="10"/>
  <c r="X105" i="10"/>
  <c r="Y105" i="10"/>
  <c r="X106" i="10"/>
  <c r="Y106" i="10"/>
  <c r="X107" i="10"/>
  <c r="Y107" i="10"/>
  <c r="X108" i="10"/>
  <c r="Y108" i="10"/>
  <c r="X109" i="10"/>
  <c r="Y109" i="10"/>
  <c r="X110" i="10"/>
  <c r="Y110" i="10"/>
  <c r="X111" i="10"/>
  <c r="Y111" i="10"/>
  <c r="X112" i="10"/>
  <c r="Y112" i="10"/>
  <c r="X113" i="10"/>
  <c r="Y113" i="10"/>
  <c r="X114" i="10"/>
  <c r="Y114" i="10"/>
  <c r="X115" i="10"/>
  <c r="Y115" i="10"/>
  <c r="X116" i="10"/>
  <c r="Y116" i="10"/>
  <c r="X117" i="10"/>
  <c r="Y117" i="10"/>
  <c r="X118" i="10"/>
  <c r="Y118" i="10"/>
  <c r="X119" i="10"/>
  <c r="Y119" i="10"/>
  <c r="X120" i="10"/>
  <c r="Y120" i="10"/>
  <c r="X121" i="10"/>
  <c r="Y121" i="10"/>
  <c r="X122" i="10"/>
  <c r="Y122" i="10"/>
  <c r="X123" i="10"/>
  <c r="Y123" i="10"/>
  <c r="X124" i="10"/>
  <c r="Y124" i="10"/>
  <c r="X125" i="10"/>
  <c r="Y125" i="10"/>
  <c r="X126" i="10"/>
  <c r="Y126" i="10"/>
  <c r="X127" i="10"/>
  <c r="Y127" i="10"/>
  <c r="X128" i="10"/>
  <c r="Y128" i="10"/>
  <c r="X129" i="10"/>
  <c r="Y129" i="10"/>
  <c r="X130" i="10"/>
  <c r="Y130" i="10"/>
  <c r="X131" i="10"/>
  <c r="Y131" i="10"/>
  <c r="X132" i="10"/>
  <c r="Y132" i="10"/>
  <c r="X133" i="10"/>
  <c r="Y133" i="10"/>
  <c r="X134" i="10"/>
  <c r="Y134" i="10"/>
  <c r="X135" i="10"/>
  <c r="Y135" i="10"/>
  <c r="X136" i="10"/>
  <c r="Y136" i="10"/>
  <c r="X137" i="10"/>
  <c r="Y137" i="10"/>
  <c r="X138" i="10"/>
  <c r="Y138" i="10"/>
  <c r="X139" i="10"/>
  <c r="Y139" i="10"/>
  <c r="X140" i="10"/>
  <c r="Y140" i="10"/>
  <c r="X141" i="10"/>
  <c r="Y141" i="10"/>
  <c r="X142" i="10"/>
  <c r="Y142" i="10"/>
  <c r="X143" i="10"/>
  <c r="Y143" i="10"/>
  <c r="X144" i="10"/>
  <c r="Y144" i="10"/>
  <c r="X145" i="10"/>
  <c r="Y145" i="10"/>
  <c r="X146" i="10"/>
  <c r="Y146" i="10"/>
  <c r="X147" i="10"/>
  <c r="Y147" i="10"/>
  <c r="X148" i="10"/>
  <c r="Y148" i="10"/>
  <c r="X149" i="10"/>
  <c r="Y149" i="10"/>
  <c r="X150" i="10"/>
  <c r="Y150" i="10"/>
  <c r="X151" i="10"/>
  <c r="Y151" i="10"/>
  <c r="X152" i="10"/>
  <c r="Y152" i="10"/>
  <c r="X153" i="10"/>
  <c r="Y153" i="10"/>
  <c r="X154" i="10"/>
  <c r="Y154" i="10"/>
  <c r="X155" i="10"/>
  <c r="Y155" i="10"/>
  <c r="X156" i="10"/>
  <c r="Y156" i="10"/>
  <c r="X157" i="10"/>
  <c r="Y157" i="10"/>
  <c r="X158" i="10"/>
  <c r="Y158" i="10"/>
  <c r="X159" i="10"/>
  <c r="Y159" i="10"/>
  <c r="X160" i="10"/>
  <c r="Y160" i="10"/>
  <c r="X161" i="10"/>
  <c r="Y161" i="10"/>
  <c r="X162" i="10"/>
  <c r="Y162" i="10"/>
  <c r="X163" i="10"/>
  <c r="Y163" i="10"/>
  <c r="X164" i="10"/>
  <c r="Y164" i="10"/>
  <c r="X165" i="10"/>
  <c r="Y165" i="10"/>
  <c r="X166" i="10"/>
  <c r="Y166" i="10"/>
  <c r="X167" i="10"/>
  <c r="Y167" i="10"/>
  <c r="X168" i="10"/>
  <c r="Y168" i="10"/>
  <c r="X169" i="10"/>
  <c r="Y169" i="10"/>
  <c r="X170" i="10"/>
  <c r="Y170" i="10"/>
  <c r="X171" i="10"/>
  <c r="Y171" i="10"/>
  <c r="X172" i="10"/>
  <c r="Y172" i="10"/>
  <c r="X173" i="10"/>
  <c r="Y173" i="10"/>
  <c r="X174" i="10"/>
  <c r="Y174" i="10"/>
  <c r="X175" i="10"/>
  <c r="Y175" i="10"/>
  <c r="X176" i="10"/>
  <c r="Y176" i="10"/>
  <c r="X177" i="10"/>
  <c r="Y177" i="10"/>
  <c r="X178" i="10"/>
  <c r="Y178" i="10"/>
  <c r="X179" i="10"/>
  <c r="Y179" i="10"/>
  <c r="X180" i="10"/>
  <c r="Y180" i="10"/>
  <c r="X181" i="10"/>
  <c r="Y181" i="10"/>
  <c r="X182" i="10"/>
  <c r="Y182" i="10"/>
  <c r="X183" i="10"/>
  <c r="Y183" i="10"/>
  <c r="X184" i="10"/>
  <c r="Y184" i="10"/>
  <c r="X185" i="10"/>
  <c r="Y185" i="10"/>
  <c r="X186" i="10"/>
  <c r="Y186" i="10"/>
  <c r="X187" i="10"/>
  <c r="Y187" i="10"/>
  <c r="X188" i="10"/>
  <c r="Y188" i="10"/>
  <c r="X189" i="10"/>
  <c r="Y189" i="10"/>
  <c r="X190" i="10"/>
  <c r="Y190" i="10"/>
  <c r="X191" i="10"/>
  <c r="Y191" i="10"/>
  <c r="X192" i="10"/>
  <c r="Y192" i="10"/>
  <c r="X193" i="10"/>
  <c r="Y193" i="10"/>
  <c r="X194" i="10"/>
  <c r="Y194" i="10"/>
  <c r="X195" i="10"/>
  <c r="Y195" i="10"/>
  <c r="X196" i="10"/>
  <c r="Y196" i="10"/>
  <c r="X197" i="10"/>
  <c r="Y197" i="10"/>
  <c r="X198" i="10"/>
  <c r="Y198" i="10"/>
  <c r="X199" i="10"/>
  <c r="Y199" i="10"/>
  <c r="X200" i="10"/>
  <c r="Y200" i="10"/>
  <c r="X201" i="10"/>
  <c r="Y201" i="10"/>
  <c r="X202" i="10"/>
  <c r="Y202" i="10"/>
  <c r="X203" i="10"/>
  <c r="Y203" i="10"/>
  <c r="X204" i="10"/>
  <c r="Y204" i="10"/>
  <c r="X205" i="10"/>
  <c r="Y205" i="10"/>
  <c r="X206" i="10"/>
  <c r="Y206" i="10"/>
  <c r="X207" i="10"/>
  <c r="Y207" i="10"/>
  <c r="X208" i="10"/>
  <c r="Y208" i="10"/>
  <c r="X209" i="10"/>
  <c r="Y209" i="10"/>
  <c r="X210" i="10"/>
  <c r="Y210" i="10"/>
  <c r="X211" i="10"/>
  <c r="Y211" i="10"/>
  <c r="X212" i="10"/>
  <c r="Y212" i="10"/>
  <c r="X213" i="10"/>
  <c r="Y213" i="10"/>
  <c r="X214" i="10"/>
  <c r="Y214" i="10"/>
  <c r="X215" i="10"/>
  <c r="Y215" i="10"/>
  <c r="X216" i="10"/>
  <c r="Y216" i="10"/>
  <c r="X217" i="10"/>
  <c r="Y217" i="10"/>
  <c r="X218" i="10"/>
  <c r="Y218" i="10"/>
  <c r="X219" i="10"/>
  <c r="Y219" i="10"/>
  <c r="X220" i="10"/>
  <c r="Y220" i="10"/>
  <c r="X221" i="10"/>
  <c r="Y221" i="10"/>
  <c r="X222" i="10"/>
  <c r="Y222" i="10"/>
  <c r="X223" i="10"/>
  <c r="Y223" i="10"/>
  <c r="X224" i="10"/>
  <c r="Y224" i="10"/>
  <c r="X225" i="10"/>
  <c r="Y225" i="10"/>
  <c r="X226" i="10"/>
  <c r="Y226" i="10"/>
  <c r="X227" i="10"/>
  <c r="Y227" i="10"/>
  <c r="X228" i="10"/>
  <c r="Y228" i="10"/>
  <c r="X229" i="10"/>
  <c r="Y229" i="10"/>
  <c r="X230" i="10"/>
  <c r="Y230" i="10"/>
  <c r="X231" i="10"/>
  <c r="Y231" i="10"/>
  <c r="X232" i="10"/>
  <c r="Y232" i="10"/>
  <c r="X233" i="10"/>
  <c r="Y233" i="10"/>
  <c r="X234" i="10"/>
  <c r="Y234" i="10"/>
  <c r="X235" i="10"/>
  <c r="Y235" i="10"/>
  <c r="X236" i="10"/>
  <c r="Y236" i="10"/>
  <c r="X237" i="10"/>
  <c r="Y237" i="10"/>
  <c r="X238" i="10"/>
  <c r="Y238" i="10"/>
  <c r="X239" i="10"/>
  <c r="Y239" i="10"/>
  <c r="X240" i="10"/>
  <c r="Y240" i="10"/>
  <c r="X241" i="10"/>
  <c r="Y241" i="10"/>
  <c r="X242" i="10"/>
  <c r="Y242" i="10"/>
  <c r="X243" i="10"/>
  <c r="Y243" i="10"/>
  <c r="X244" i="10"/>
  <c r="Y244" i="10"/>
  <c r="Q244" i="10"/>
  <c r="R244" i="10"/>
  <c r="E71" i="10"/>
  <c r="C71" i="10"/>
  <c r="E70" i="10"/>
  <c r="C70" i="10"/>
  <c r="E69" i="10"/>
  <c r="C69" i="10"/>
  <c r="E68" i="10"/>
  <c r="D68" i="10"/>
  <c r="C68" i="10"/>
  <c r="AN5" i="10"/>
  <c r="AN6" i="10"/>
  <c r="AN7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E67" i="10"/>
  <c r="AM5" i="10"/>
  <c r="AM6" i="10"/>
  <c r="AM7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C67" i="10"/>
  <c r="C35" i="10"/>
  <c r="C5" i="6"/>
  <c r="C12" i="6"/>
  <c r="P5" i="6"/>
  <c r="K5" i="6"/>
  <c r="L5" i="6"/>
  <c r="S5" i="6"/>
  <c r="T5" i="6"/>
  <c r="O5" i="6"/>
  <c r="U5" i="6"/>
  <c r="W5" i="6"/>
  <c r="AA5" i="6"/>
  <c r="Q5" i="6"/>
  <c r="R5" i="6"/>
  <c r="P6" i="6"/>
  <c r="K6" i="6"/>
  <c r="L6" i="6"/>
  <c r="S6" i="6"/>
  <c r="T6" i="6"/>
  <c r="O6" i="6"/>
  <c r="U6" i="6"/>
  <c r="W6" i="6"/>
  <c r="AA6" i="6"/>
  <c r="Q6" i="6"/>
  <c r="R6" i="6"/>
  <c r="P7" i="6"/>
  <c r="K7" i="6"/>
  <c r="L7" i="6"/>
  <c r="S7" i="6"/>
  <c r="T7" i="6"/>
  <c r="O7" i="6"/>
  <c r="U7" i="6"/>
  <c r="W7" i="6"/>
  <c r="AA7" i="6"/>
  <c r="Q7" i="6"/>
  <c r="R7" i="6"/>
  <c r="P8" i="6"/>
  <c r="K8" i="6"/>
  <c r="L8" i="6"/>
  <c r="S8" i="6"/>
  <c r="T8" i="6"/>
  <c r="O8" i="6"/>
  <c r="U8" i="6"/>
  <c r="W8" i="6"/>
  <c r="AA8" i="6"/>
  <c r="Q8" i="6"/>
  <c r="R8" i="6"/>
  <c r="P9" i="6"/>
  <c r="K9" i="6"/>
  <c r="L9" i="6"/>
  <c r="S9" i="6"/>
  <c r="T9" i="6"/>
  <c r="O9" i="6"/>
  <c r="U9" i="6"/>
  <c r="W9" i="6"/>
  <c r="AA9" i="6"/>
  <c r="Q9" i="6"/>
  <c r="R9" i="6"/>
  <c r="P10" i="6"/>
  <c r="K10" i="6"/>
  <c r="L10" i="6"/>
  <c r="S10" i="6"/>
  <c r="T10" i="6"/>
  <c r="O10" i="6"/>
  <c r="U10" i="6"/>
  <c r="W10" i="6"/>
  <c r="AA10" i="6"/>
  <c r="Q10" i="6"/>
  <c r="R10" i="6"/>
  <c r="P11" i="6"/>
  <c r="K11" i="6"/>
  <c r="L11" i="6"/>
  <c r="S11" i="6"/>
  <c r="T11" i="6"/>
  <c r="O11" i="6"/>
  <c r="U11" i="6"/>
  <c r="W11" i="6"/>
  <c r="AA11" i="6"/>
  <c r="Q11" i="6"/>
  <c r="R11" i="6"/>
  <c r="P12" i="6"/>
  <c r="K12" i="6"/>
  <c r="L12" i="6"/>
  <c r="S12" i="6"/>
  <c r="T12" i="6"/>
  <c r="O12" i="6"/>
  <c r="U12" i="6"/>
  <c r="W12" i="6"/>
  <c r="AA12" i="6"/>
  <c r="Q12" i="6"/>
  <c r="R12" i="6"/>
  <c r="P13" i="6"/>
  <c r="K13" i="6"/>
  <c r="L13" i="6"/>
  <c r="S13" i="6"/>
  <c r="T13" i="6"/>
  <c r="O13" i="6"/>
  <c r="U13" i="6"/>
  <c r="W13" i="6"/>
  <c r="AA13" i="6"/>
  <c r="Q13" i="6"/>
  <c r="R13" i="6"/>
  <c r="P14" i="6"/>
  <c r="K14" i="6"/>
  <c r="L14" i="6"/>
  <c r="S14" i="6"/>
  <c r="T14" i="6"/>
  <c r="O14" i="6"/>
  <c r="U14" i="6"/>
  <c r="W14" i="6"/>
  <c r="AA14" i="6"/>
  <c r="Q14" i="6"/>
  <c r="R14" i="6"/>
  <c r="P15" i="6"/>
  <c r="K15" i="6"/>
  <c r="L15" i="6"/>
  <c r="S15" i="6"/>
  <c r="T15" i="6"/>
  <c r="O15" i="6"/>
  <c r="U15" i="6"/>
  <c r="W15" i="6"/>
  <c r="AA15" i="6"/>
  <c r="Q15" i="6"/>
  <c r="R15" i="6"/>
  <c r="P16" i="6"/>
  <c r="K16" i="6"/>
  <c r="L16" i="6"/>
  <c r="S16" i="6"/>
  <c r="T16" i="6"/>
  <c r="O16" i="6"/>
  <c r="U16" i="6"/>
  <c r="W16" i="6"/>
  <c r="AA16" i="6"/>
  <c r="Q16" i="6"/>
  <c r="R16" i="6"/>
  <c r="P17" i="6"/>
  <c r="C39" i="6"/>
  <c r="K17" i="6"/>
  <c r="L17" i="6"/>
  <c r="S17" i="6"/>
  <c r="T17" i="6"/>
  <c r="O17" i="6"/>
  <c r="U17" i="6"/>
  <c r="W17" i="6"/>
  <c r="AA17" i="6"/>
  <c r="Q17" i="6"/>
  <c r="R17" i="6"/>
  <c r="P18" i="6"/>
  <c r="K18" i="6"/>
  <c r="L18" i="6"/>
  <c r="S18" i="6"/>
  <c r="T18" i="6"/>
  <c r="O18" i="6"/>
  <c r="U18" i="6"/>
  <c r="W18" i="6"/>
  <c r="AA18" i="6"/>
  <c r="Q18" i="6"/>
  <c r="R18" i="6"/>
  <c r="P19" i="6"/>
  <c r="K19" i="6"/>
  <c r="L19" i="6"/>
  <c r="S19" i="6"/>
  <c r="T19" i="6"/>
  <c r="O19" i="6"/>
  <c r="U19" i="6"/>
  <c r="W19" i="6"/>
  <c r="AA19" i="6"/>
  <c r="Q19" i="6"/>
  <c r="R19" i="6"/>
  <c r="P20" i="6"/>
  <c r="K20" i="6"/>
  <c r="L20" i="6"/>
  <c r="S20" i="6"/>
  <c r="T20" i="6"/>
  <c r="O20" i="6"/>
  <c r="U20" i="6"/>
  <c r="W20" i="6"/>
  <c r="AA20" i="6"/>
  <c r="Q20" i="6"/>
  <c r="R20" i="6"/>
  <c r="P21" i="6"/>
  <c r="K21" i="6"/>
  <c r="L21" i="6"/>
  <c r="S21" i="6"/>
  <c r="T21" i="6"/>
  <c r="O21" i="6"/>
  <c r="U21" i="6"/>
  <c r="W21" i="6"/>
  <c r="AA21" i="6"/>
  <c r="Q21" i="6"/>
  <c r="R21" i="6"/>
  <c r="P22" i="6"/>
  <c r="K22" i="6"/>
  <c r="L22" i="6"/>
  <c r="S22" i="6"/>
  <c r="T22" i="6"/>
  <c r="O22" i="6"/>
  <c r="U22" i="6"/>
  <c r="W22" i="6"/>
  <c r="AA22" i="6"/>
  <c r="Q22" i="6"/>
  <c r="R22" i="6"/>
  <c r="P23" i="6"/>
  <c r="K23" i="6"/>
  <c r="L23" i="6"/>
  <c r="S23" i="6"/>
  <c r="T23" i="6"/>
  <c r="O23" i="6"/>
  <c r="U23" i="6"/>
  <c r="W23" i="6"/>
  <c r="AA23" i="6"/>
  <c r="Q23" i="6"/>
  <c r="R23" i="6"/>
  <c r="P24" i="6"/>
  <c r="K24" i="6"/>
  <c r="L24" i="6"/>
  <c r="S24" i="6"/>
  <c r="T24" i="6"/>
  <c r="O24" i="6"/>
  <c r="U24" i="6"/>
  <c r="W24" i="6"/>
  <c r="AA24" i="6"/>
  <c r="Q24" i="6"/>
  <c r="R24" i="6"/>
  <c r="P25" i="6"/>
  <c r="K25" i="6"/>
  <c r="L25" i="6"/>
  <c r="S25" i="6"/>
  <c r="T25" i="6"/>
  <c r="O25" i="6"/>
  <c r="U25" i="6"/>
  <c r="W25" i="6"/>
  <c r="AA25" i="6"/>
  <c r="Q25" i="6"/>
  <c r="R25" i="6"/>
  <c r="P26" i="6"/>
  <c r="K26" i="6"/>
  <c r="L26" i="6"/>
  <c r="S26" i="6"/>
  <c r="T26" i="6"/>
  <c r="O26" i="6"/>
  <c r="U26" i="6"/>
  <c r="W26" i="6"/>
  <c r="AA26" i="6"/>
  <c r="Q26" i="6"/>
  <c r="R26" i="6"/>
  <c r="P27" i="6"/>
  <c r="K27" i="6"/>
  <c r="L27" i="6"/>
  <c r="S27" i="6"/>
  <c r="T27" i="6"/>
  <c r="O27" i="6"/>
  <c r="U27" i="6"/>
  <c r="W27" i="6"/>
  <c r="AA27" i="6"/>
  <c r="Q27" i="6"/>
  <c r="R27" i="6"/>
  <c r="P28" i="6"/>
  <c r="K28" i="6"/>
  <c r="L28" i="6"/>
  <c r="S28" i="6"/>
  <c r="T28" i="6"/>
  <c r="O28" i="6"/>
  <c r="U28" i="6"/>
  <c r="W28" i="6"/>
  <c r="AA28" i="6"/>
  <c r="Q28" i="6"/>
  <c r="R28" i="6"/>
  <c r="P29" i="6"/>
  <c r="C40" i="6"/>
  <c r="K29" i="6"/>
  <c r="L29" i="6"/>
  <c r="S29" i="6"/>
  <c r="T29" i="6"/>
  <c r="O29" i="6"/>
  <c r="U29" i="6"/>
  <c r="W29" i="6"/>
  <c r="AA29" i="6"/>
  <c r="Q29" i="6"/>
  <c r="R29" i="6"/>
  <c r="P30" i="6"/>
  <c r="K30" i="6"/>
  <c r="L30" i="6"/>
  <c r="S30" i="6"/>
  <c r="T30" i="6"/>
  <c r="O30" i="6"/>
  <c r="U30" i="6"/>
  <c r="W30" i="6"/>
  <c r="AA30" i="6"/>
  <c r="Q30" i="6"/>
  <c r="R30" i="6"/>
  <c r="P31" i="6"/>
  <c r="K31" i="6"/>
  <c r="L31" i="6"/>
  <c r="S31" i="6"/>
  <c r="T31" i="6"/>
  <c r="O31" i="6"/>
  <c r="U31" i="6"/>
  <c r="W31" i="6"/>
  <c r="AA31" i="6"/>
  <c r="Q31" i="6"/>
  <c r="R31" i="6"/>
  <c r="P32" i="6"/>
  <c r="K32" i="6"/>
  <c r="L32" i="6"/>
  <c r="S32" i="6"/>
  <c r="T32" i="6"/>
  <c r="O32" i="6"/>
  <c r="U32" i="6"/>
  <c r="W32" i="6"/>
  <c r="AA32" i="6"/>
  <c r="Q32" i="6"/>
  <c r="R32" i="6"/>
  <c r="P33" i="6"/>
  <c r="K33" i="6"/>
  <c r="L33" i="6"/>
  <c r="S33" i="6"/>
  <c r="T33" i="6"/>
  <c r="O33" i="6"/>
  <c r="U33" i="6"/>
  <c r="W33" i="6"/>
  <c r="AA33" i="6"/>
  <c r="Q33" i="6"/>
  <c r="R33" i="6"/>
  <c r="P34" i="6"/>
  <c r="K34" i="6"/>
  <c r="L34" i="6"/>
  <c r="S34" i="6"/>
  <c r="T34" i="6"/>
  <c r="O34" i="6"/>
  <c r="U34" i="6"/>
  <c r="W34" i="6"/>
  <c r="AA34" i="6"/>
  <c r="Q34" i="6"/>
  <c r="R34" i="6"/>
  <c r="P35" i="6"/>
  <c r="K35" i="6"/>
  <c r="L35" i="6"/>
  <c r="S35" i="6"/>
  <c r="T35" i="6"/>
  <c r="O35" i="6"/>
  <c r="U35" i="6"/>
  <c r="W35" i="6"/>
  <c r="AA35" i="6"/>
  <c r="Q35" i="6"/>
  <c r="R35" i="6"/>
  <c r="P36" i="6"/>
  <c r="K36" i="6"/>
  <c r="L36" i="6"/>
  <c r="S36" i="6"/>
  <c r="T36" i="6"/>
  <c r="O36" i="6"/>
  <c r="U36" i="6"/>
  <c r="W36" i="6"/>
  <c r="AA36" i="6"/>
  <c r="Q36" i="6"/>
  <c r="R36" i="6"/>
  <c r="P37" i="6"/>
  <c r="K37" i="6"/>
  <c r="L37" i="6"/>
  <c r="S37" i="6"/>
  <c r="T37" i="6"/>
  <c r="O37" i="6"/>
  <c r="U37" i="6"/>
  <c r="W37" i="6"/>
  <c r="AA37" i="6"/>
  <c r="Q37" i="6"/>
  <c r="R37" i="6"/>
  <c r="P38" i="6"/>
  <c r="K38" i="6"/>
  <c r="L38" i="6"/>
  <c r="S38" i="6"/>
  <c r="T38" i="6"/>
  <c r="O38" i="6"/>
  <c r="U38" i="6"/>
  <c r="W38" i="6"/>
  <c r="AA38" i="6"/>
  <c r="Q38" i="6"/>
  <c r="R38" i="6"/>
  <c r="P39" i="6"/>
  <c r="K39" i="6"/>
  <c r="L39" i="6"/>
  <c r="S39" i="6"/>
  <c r="T39" i="6"/>
  <c r="O39" i="6"/>
  <c r="U39" i="6"/>
  <c r="W39" i="6"/>
  <c r="AA39" i="6"/>
  <c r="Q39" i="6"/>
  <c r="R39" i="6"/>
  <c r="P40" i="6"/>
  <c r="K40" i="6"/>
  <c r="L40" i="6"/>
  <c r="S40" i="6"/>
  <c r="T40" i="6"/>
  <c r="O40" i="6"/>
  <c r="U40" i="6"/>
  <c r="W40" i="6"/>
  <c r="AA40" i="6"/>
  <c r="Q40" i="6"/>
  <c r="R40" i="6"/>
  <c r="P41" i="6"/>
  <c r="C41" i="6"/>
  <c r="K41" i="6"/>
  <c r="L41" i="6"/>
  <c r="S41" i="6"/>
  <c r="T41" i="6"/>
  <c r="O41" i="6"/>
  <c r="U41" i="6"/>
  <c r="W41" i="6"/>
  <c r="AA41" i="6"/>
  <c r="Q41" i="6"/>
  <c r="R41" i="6"/>
  <c r="P42" i="6"/>
  <c r="K42" i="6"/>
  <c r="L42" i="6"/>
  <c r="S42" i="6"/>
  <c r="T42" i="6"/>
  <c r="O42" i="6"/>
  <c r="U42" i="6"/>
  <c r="W42" i="6"/>
  <c r="AA42" i="6"/>
  <c r="Q42" i="6"/>
  <c r="R42" i="6"/>
  <c r="P43" i="6"/>
  <c r="K43" i="6"/>
  <c r="L43" i="6"/>
  <c r="S43" i="6"/>
  <c r="T43" i="6"/>
  <c r="O43" i="6"/>
  <c r="U43" i="6"/>
  <c r="W43" i="6"/>
  <c r="AA43" i="6"/>
  <c r="Q43" i="6"/>
  <c r="R43" i="6"/>
  <c r="P44" i="6"/>
  <c r="K44" i="6"/>
  <c r="L44" i="6"/>
  <c r="S44" i="6"/>
  <c r="T44" i="6"/>
  <c r="O44" i="6"/>
  <c r="U44" i="6"/>
  <c r="W44" i="6"/>
  <c r="AA44" i="6"/>
  <c r="Q44" i="6"/>
  <c r="R44" i="6"/>
  <c r="P45" i="6"/>
  <c r="K45" i="6"/>
  <c r="L45" i="6"/>
  <c r="S45" i="6"/>
  <c r="T45" i="6"/>
  <c r="O45" i="6"/>
  <c r="U45" i="6"/>
  <c r="W45" i="6"/>
  <c r="AA45" i="6"/>
  <c r="Q45" i="6"/>
  <c r="R45" i="6"/>
  <c r="P46" i="6"/>
  <c r="K46" i="6"/>
  <c r="L46" i="6"/>
  <c r="S46" i="6"/>
  <c r="T46" i="6"/>
  <c r="O46" i="6"/>
  <c r="U46" i="6"/>
  <c r="W46" i="6"/>
  <c r="AA46" i="6"/>
  <c r="Q46" i="6"/>
  <c r="R46" i="6"/>
  <c r="P47" i="6"/>
  <c r="K47" i="6"/>
  <c r="L47" i="6"/>
  <c r="S47" i="6"/>
  <c r="T47" i="6"/>
  <c r="O47" i="6"/>
  <c r="U47" i="6"/>
  <c r="W47" i="6"/>
  <c r="AA47" i="6"/>
  <c r="Q47" i="6"/>
  <c r="R47" i="6"/>
  <c r="P48" i="6"/>
  <c r="K48" i="6"/>
  <c r="L48" i="6"/>
  <c r="S48" i="6"/>
  <c r="T48" i="6"/>
  <c r="O48" i="6"/>
  <c r="U48" i="6"/>
  <c r="W48" i="6"/>
  <c r="AA48" i="6"/>
  <c r="Q48" i="6"/>
  <c r="R48" i="6"/>
  <c r="P49" i="6"/>
  <c r="K49" i="6"/>
  <c r="L49" i="6"/>
  <c r="S49" i="6"/>
  <c r="T49" i="6"/>
  <c r="O49" i="6"/>
  <c r="U49" i="6"/>
  <c r="W49" i="6"/>
  <c r="AA49" i="6"/>
  <c r="Q49" i="6"/>
  <c r="R49" i="6"/>
  <c r="P50" i="6"/>
  <c r="K50" i="6"/>
  <c r="L50" i="6"/>
  <c r="S50" i="6"/>
  <c r="T50" i="6"/>
  <c r="O50" i="6"/>
  <c r="U50" i="6"/>
  <c r="W50" i="6"/>
  <c r="AA50" i="6"/>
  <c r="Q50" i="6"/>
  <c r="R50" i="6"/>
  <c r="P51" i="6"/>
  <c r="K51" i="6"/>
  <c r="L51" i="6"/>
  <c r="S51" i="6"/>
  <c r="T51" i="6"/>
  <c r="O51" i="6"/>
  <c r="U51" i="6"/>
  <c r="W51" i="6"/>
  <c r="AA51" i="6"/>
  <c r="Q51" i="6"/>
  <c r="R51" i="6"/>
  <c r="P52" i="6"/>
  <c r="K52" i="6"/>
  <c r="L52" i="6"/>
  <c r="S52" i="6"/>
  <c r="T52" i="6"/>
  <c r="O52" i="6"/>
  <c r="U52" i="6"/>
  <c r="W52" i="6"/>
  <c r="AA52" i="6"/>
  <c r="Q52" i="6"/>
  <c r="R52" i="6"/>
  <c r="P53" i="6"/>
  <c r="C42" i="6"/>
  <c r="K53" i="6"/>
  <c r="L53" i="6"/>
  <c r="S53" i="6"/>
  <c r="T53" i="6"/>
  <c r="O53" i="6"/>
  <c r="U53" i="6"/>
  <c r="W53" i="6"/>
  <c r="AA53" i="6"/>
  <c r="Q53" i="6"/>
  <c r="R53" i="6"/>
  <c r="P54" i="6"/>
  <c r="K54" i="6"/>
  <c r="L54" i="6"/>
  <c r="S54" i="6"/>
  <c r="T54" i="6"/>
  <c r="O54" i="6"/>
  <c r="U54" i="6"/>
  <c r="W54" i="6"/>
  <c r="AA54" i="6"/>
  <c r="Q54" i="6"/>
  <c r="R54" i="6"/>
  <c r="P55" i="6"/>
  <c r="K55" i="6"/>
  <c r="L55" i="6"/>
  <c r="S55" i="6"/>
  <c r="T55" i="6"/>
  <c r="O55" i="6"/>
  <c r="U55" i="6"/>
  <c r="W55" i="6"/>
  <c r="AA55" i="6"/>
  <c r="Q55" i="6"/>
  <c r="R55" i="6"/>
  <c r="P56" i="6"/>
  <c r="K56" i="6"/>
  <c r="L56" i="6"/>
  <c r="S56" i="6"/>
  <c r="T56" i="6"/>
  <c r="O56" i="6"/>
  <c r="U56" i="6"/>
  <c r="W56" i="6"/>
  <c r="AA56" i="6"/>
  <c r="Q56" i="6"/>
  <c r="R56" i="6"/>
  <c r="P57" i="6"/>
  <c r="K57" i="6"/>
  <c r="L57" i="6"/>
  <c r="S57" i="6"/>
  <c r="T57" i="6"/>
  <c r="O57" i="6"/>
  <c r="U57" i="6"/>
  <c r="W57" i="6"/>
  <c r="AA57" i="6"/>
  <c r="Q57" i="6"/>
  <c r="R57" i="6"/>
  <c r="P58" i="6"/>
  <c r="K58" i="6"/>
  <c r="L58" i="6"/>
  <c r="S58" i="6"/>
  <c r="T58" i="6"/>
  <c r="O58" i="6"/>
  <c r="U58" i="6"/>
  <c r="W58" i="6"/>
  <c r="AA58" i="6"/>
  <c r="Q58" i="6"/>
  <c r="R58" i="6"/>
  <c r="P59" i="6"/>
  <c r="K59" i="6"/>
  <c r="L59" i="6"/>
  <c r="S59" i="6"/>
  <c r="T59" i="6"/>
  <c r="O59" i="6"/>
  <c r="U59" i="6"/>
  <c r="W59" i="6"/>
  <c r="AA59" i="6"/>
  <c r="Q59" i="6"/>
  <c r="R59" i="6"/>
  <c r="P60" i="6"/>
  <c r="K60" i="6"/>
  <c r="L60" i="6"/>
  <c r="S60" i="6"/>
  <c r="T60" i="6"/>
  <c r="O60" i="6"/>
  <c r="U60" i="6"/>
  <c r="W60" i="6"/>
  <c r="AA60" i="6"/>
  <c r="Q60" i="6"/>
  <c r="R60" i="6"/>
  <c r="P61" i="6"/>
  <c r="K61" i="6"/>
  <c r="L61" i="6"/>
  <c r="S61" i="6"/>
  <c r="T61" i="6"/>
  <c r="O61" i="6"/>
  <c r="U61" i="6"/>
  <c r="W61" i="6"/>
  <c r="AA61" i="6"/>
  <c r="Q61" i="6"/>
  <c r="R61" i="6"/>
  <c r="P62" i="6"/>
  <c r="K62" i="6"/>
  <c r="L62" i="6"/>
  <c r="S62" i="6"/>
  <c r="T62" i="6"/>
  <c r="O62" i="6"/>
  <c r="U62" i="6"/>
  <c r="W62" i="6"/>
  <c r="AA62" i="6"/>
  <c r="Q62" i="6"/>
  <c r="R62" i="6"/>
  <c r="P63" i="6"/>
  <c r="K63" i="6"/>
  <c r="L63" i="6"/>
  <c r="S63" i="6"/>
  <c r="T63" i="6"/>
  <c r="O63" i="6"/>
  <c r="U63" i="6"/>
  <c r="W63" i="6"/>
  <c r="AA63" i="6"/>
  <c r="Q63" i="6"/>
  <c r="R63" i="6"/>
  <c r="P64" i="6"/>
  <c r="K64" i="6"/>
  <c r="L64" i="6"/>
  <c r="S64" i="6"/>
  <c r="T64" i="6"/>
  <c r="O64" i="6"/>
  <c r="U64" i="6"/>
  <c r="W64" i="6"/>
  <c r="AA64" i="6"/>
  <c r="Q64" i="6"/>
  <c r="R64" i="6"/>
  <c r="P65" i="6"/>
  <c r="C43" i="6"/>
  <c r="K65" i="6"/>
  <c r="L65" i="6"/>
  <c r="S65" i="6"/>
  <c r="T65" i="6"/>
  <c r="O65" i="6"/>
  <c r="U65" i="6"/>
  <c r="W65" i="6"/>
  <c r="AA65" i="6"/>
  <c r="Q65" i="6"/>
  <c r="R65" i="6"/>
  <c r="P66" i="6"/>
  <c r="K66" i="6"/>
  <c r="L66" i="6"/>
  <c r="S66" i="6"/>
  <c r="T66" i="6"/>
  <c r="O66" i="6"/>
  <c r="U66" i="6"/>
  <c r="W66" i="6"/>
  <c r="AA66" i="6"/>
  <c r="Q66" i="6"/>
  <c r="R66" i="6"/>
  <c r="P67" i="6"/>
  <c r="K67" i="6"/>
  <c r="L67" i="6"/>
  <c r="S67" i="6"/>
  <c r="T67" i="6"/>
  <c r="O67" i="6"/>
  <c r="U67" i="6"/>
  <c r="W67" i="6"/>
  <c r="AA67" i="6"/>
  <c r="Q67" i="6"/>
  <c r="R67" i="6"/>
  <c r="P68" i="6"/>
  <c r="K68" i="6"/>
  <c r="L68" i="6"/>
  <c r="S68" i="6"/>
  <c r="T68" i="6"/>
  <c r="O68" i="6"/>
  <c r="U68" i="6"/>
  <c r="W68" i="6"/>
  <c r="AA68" i="6"/>
  <c r="Q68" i="6"/>
  <c r="R68" i="6"/>
  <c r="P69" i="6"/>
  <c r="K69" i="6"/>
  <c r="L69" i="6"/>
  <c r="S69" i="6"/>
  <c r="T69" i="6"/>
  <c r="O69" i="6"/>
  <c r="U69" i="6"/>
  <c r="W69" i="6"/>
  <c r="AA69" i="6"/>
  <c r="Q69" i="6"/>
  <c r="R69" i="6"/>
  <c r="P70" i="6"/>
  <c r="K70" i="6"/>
  <c r="L70" i="6"/>
  <c r="S70" i="6"/>
  <c r="T70" i="6"/>
  <c r="O70" i="6"/>
  <c r="U70" i="6"/>
  <c r="W70" i="6"/>
  <c r="AA70" i="6"/>
  <c r="Q70" i="6"/>
  <c r="R70" i="6"/>
  <c r="P71" i="6"/>
  <c r="K71" i="6"/>
  <c r="L71" i="6"/>
  <c r="S71" i="6"/>
  <c r="T71" i="6"/>
  <c r="O71" i="6"/>
  <c r="U71" i="6"/>
  <c r="W71" i="6"/>
  <c r="AA71" i="6"/>
  <c r="Q71" i="6"/>
  <c r="R71" i="6"/>
  <c r="P72" i="6"/>
  <c r="K72" i="6"/>
  <c r="L72" i="6"/>
  <c r="S72" i="6"/>
  <c r="T72" i="6"/>
  <c r="O72" i="6"/>
  <c r="U72" i="6"/>
  <c r="W72" i="6"/>
  <c r="AA72" i="6"/>
  <c r="Q72" i="6"/>
  <c r="R72" i="6"/>
  <c r="P73" i="6"/>
  <c r="K73" i="6"/>
  <c r="L73" i="6"/>
  <c r="S73" i="6"/>
  <c r="T73" i="6"/>
  <c r="O73" i="6"/>
  <c r="U73" i="6"/>
  <c r="W73" i="6"/>
  <c r="AA73" i="6"/>
  <c r="Q73" i="6"/>
  <c r="R73" i="6"/>
  <c r="P74" i="6"/>
  <c r="K74" i="6"/>
  <c r="L74" i="6"/>
  <c r="S74" i="6"/>
  <c r="T74" i="6"/>
  <c r="O74" i="6"/>
  <c r="U74" i="6"/>
  <c r="W74" i="6"/>
  <c r="AA74" i="6"/>
  <c r="Q74" i="6"/>
  <c r="R74" i="6"/>
  <c r="P75" i="6"/>
  <c r="K75" i="6"/>
  <c r="L75" i="6"/>
  <c r="S75" i="6"/>
  <c r="T75" i="6"/>
  <c r="O75" i="6"/>
  <c r="U75" i="6"/>
  <c r="W75" i="6"/>
  <c r="AA75" i="6"/>
  <c r="Q75" i="6"/>
  <c r="R75" i="6"/>
  <c r="P76" i="6"/>
  <c r="K76" i="6"/>
  <c r="L76" i="6"/>
  <c r="S76" i="6"/>
  <c r="T76" i="6"/>
  <c r="O76" i="6"/>
  <c r="U76" i="6"/>
  <c r="W76" i="6"/>
  <c r="AA76" i="6"/>
  <c r="Q76" i="6"/>
  <c r="R76" i="6"/>
  <c r="P77" i="6"/>
  <c r="C44" i="6"/>
  <c r="K77" i="6"/>
  <c r="L77" i="6"/>
  <c r="S77" i="6"/>
  <c r="T77" i="6"/>
  <c r="O77" i="6"/>
  <c r="U77" i="6"/>
  <c r="W77" i="6"/>
  <c r="AA77" i="6"/>
  <c r="Q77" i="6"/>
  <c r="R77" i="6"/>
  <c r="P78" i="6"/>
  <c r="K78" i="6"/>
  <c r="L78" i="6"/>
  <c r="S78" i="6"/>
  <c r="T78" i="6"/>
  <c r="O78" i="6"/>
  <c r="U78" i="6"/>
  <c r="W78" i="6"/>
  <c r="AA78" i="6"/>
  <c r="Q78" i="6"/>
  <c r="R78" i="6"/>
  <c r="P79" i="6"/>
  <c r="K79" i="6"/>
  <c r="L79" i="6"/>
  <c r="S79" i="6"/>
  <c r="T79" i="6"/>
  <c r="O79" i="6"/>
  <c r="U79" i="6"/>
  <c r="W79" i="6"/>
  <c r="AA79" i="6"/>
  <c r="Q79" i="6"/>
  <c r="R79" i="6"/>
  <c r="P80" i="6"/>
  <c r="K80" i="6"/>
  <c r="L80" i="6"/>
  <c r="S80" i="6"/>
  <c r="T80" i="6"/>
  <c r="O80" i="6"/>
  <c r="U80" i="6"/>
  <c r="W80" i="6"/>
  <c r="AA80" i="6"/>
  <c r="Q80" i="6"/>
  <c r="R80" i="6"/>
  <c r="P81" i="6"/>
  <c r="K81" i="6"/>
  <c r="L81" i="6"/>
  <c r="S81" i="6"/>
  <c r="T81" i="6"/>
  <c r="O81" i="6"/>
  <c r="U81" i="6"/>
  <c r="W81" i="6"/>
  <c r="AA81" i="6"/>
  <c r="Q81" i="6"/>
  <c r="R81" i="6"/>
  <c r="P82" i="6"/>
  <c r="K82" i="6"/>
  <c r="L82" i="6"/>
  <c r="S82" i="6"/>
  <c r="T82" i="6"/>
  <c r="O82" i="6"/>
  <c r="U82" i="6"/>
  <c r="W82" i="6"/>
  <c r="AA82" i="6"/>
  <c r="Q82" i="6"/>
  <c r="R82" i="6"/>
  <c r="P83" i="6"/>
  <c r="K83" i="6"/>
  <c r="L83" i="6"/>
  <c r="S83" i="6"/>
  <c r="T83" i="6"/>
  <c r="O83" i="6"/>
  <c r="U83" i="6"/>
  <c r="W83" i="6"/>
  <c r="AA83" i="6"/>
  <c r="Q83" i="6"/>
  <c r="R83" i="6"/>
  <c r="P84" i="6"/>
  <c r="K84" i="6"/>
  <c r="L84" i="6"/>
  <c r="S84" i="6"/>
  <c r="T84" i="6"/>
  <c r="O84" i="6"/>
  <c r="U84" i="6"/>
  <c r="W84" i="6"/>
  <c r="AA84" i="6"/>
  <c r="Q84" i="6"/>
  <c r="R84" i="6"/>
  <c r="P85" i="6"/>
  <c r="K85" i="6"/>
  <c r="L85" i="6"/>
  <c r="S85" i="6"/>
  <c r="T85" i="6"/>
  <c r="O85" i="6"/>
  <c r="U85" i="6"/>
  <c r="W85" i="6"/>
  <c r="AA85" i="6"/>
  <c r="Q85" i="6"/>
  <c r="R85" i="6"/>
  <c r="P86" i="6"/>
  <c r="K86" i="6"/>
  <c r="L86" i="6"/>
  <c r="S86" i="6"/>
  <c r="T86" i="6"/>
  <c r="O86" i="6"/>
  <c r="U86" i="6"/>
  <c r="W86" i="6"/>
  <c r="AA86" i="6"/>
  <c r="Q86" i="6"/>
  <c r="R86" i="6"/>
  <c r="P87" i="6"/>
  <c r="K87" i="6"/>
  <c r="L87" i="6"/>
  <c r="S87" i="6"/>
  <c r="T87" i="6"/>
  <c r="O87" i="6"/>
  <c r="U87" i="6"/>
  <c r="W87" i="6"/>
  <c r="AA87" i="6"/>
  <c r="Q87" i="6"/>
  <c r="R87" i="6"/>
  <c r="P88" i="6"/>
  <c r="K88" i="6"/>
  <c r="L88" i="6"/>
  <c r="S88" i="6"/>
  <c r="T88" i="6"/>
  <c r="O88" i="6"/>
  <c r="U88" i="6"/>
  <c r="W88" i="6"/>
  <c r="AA88" i="6"/>
  <c r="Q88" i="6"/>
  <c r="R88" i="6"/>
  <c r="P89" i="6"/>
  <c r="C45" i="6"/>
  <c r="K89" i="6"/>
  <c r="L89" i="6"/>
  <c r="S89" i="6"/>
  <c r="T89" i="6"/>
  <c r="O89" i="6"/>
  <c r="U89" i="6"/>
  <c r="W89" i="6"/>
  <c r="AA89" i="6"/>
  <c r="Q89" i="6"/>
  <c r="R89" i="6"/>
  <c r="P90" i="6"/>
  <c r="K90" i="6"/>
  <c r="L90" i="6"/>
  <c r="S90" i="6"/>
  <c r="T90" i="6"/>
  <c r="O90" i="6"/>
  <c r="U90" i="6"/>
  <c r="W90" i="6"/>
  <c r="AA90" i="6"/>
  <c r="Q90" i="6"/>
  <c r="R90" i="6"/>
  <c r="P91" i="6"/>
  <c r="K91" i="6"/>
  <c r="L91" i="6"/>
  <c r="S91" i="6"/>
  <c r="T91" i="6"/>
  <c r="O91" i="6"/>
  <c r="U91" i="6"/>
  <c r="W91" i="6"/>
  <c r="AA91" i="6"/>
  <c r="Q91" i="6"/>
  <c r="R91" i="6"/>
  <c r="P92" i="6"/>
  <c r="K92" i="6"/>
  <c r="L92" i="6"/>
  <c r="S92" i="6"/>
  <c r="T92" i="6"/>
  <c r="O92" i="6"/>
  <c r="U92" i="6"/>
  <c r="W92" i="6"/>
  <c r="AA92" i="6"/>
  <c r="Q92" i="6"/>
  <c r="R92" i="6"/>
  <c r="P93" i="6"/>
  <c r="K93" i="6"/>
  <c r="L93" i="6"/>
  <c r="S93" i="6"/>
  <c r="T93" i="6"/>
  <c r="O93" i="6"/>
  <c r="U93" i="6"/>
  <c r="W93" i="6"/>
  <c r="AA93" i="6"/>
  <c r="Q93" i="6"/>
  <c r="R93" i="6"/>
  <c r="P94" i="6"/>
  <c r="K94" i="6"/>
  <c r="L94" i="6"/>
  <c r="S94" i="6"/>
  <c r="T94" i="6"/>
  <c r="O94" i="6"/>
  <c r="U94" i="6"/>
  <c r="W94" i="6"/>
  <c r="AA94" i="6"/>
  <c r="Q94" i="6"/>
  <c r="R94" i="6"/>
  <c r="P95" i="6"/>
  <c r="K95" i="6"/>
  <c r="L95" i="6"/>
  <c r="S95" i="6"/>
  <c r="T95" i="6"/>
  <c r="O95" i="6"/>
  <c r="U95" i="6"/>
  <c r="W95" i="6"/>
  <c r="AA95" i="6"/>
  <c r="Q95" i="6"/>
  <c r="R95" i="6"/>
  <c r="P96" i="6"/>
  <c r="K96" i="6"/>
  <c r="L96" i="6"/>
  <c r="S96" i="6"/>
  <c r="T96" i="6"/>
  <c r="O96" i="6"/>
  <c r="U96" i="6"/>
  <c r="W96" i="6"/>
  <c r="AA96" i="6"/>
  <c r="Q96" i="6"/>
  <c r="R96" i="6"/>
  <c r="P97" i="6"/>
  <c r="K97" i="6"/>
  <c r="L97" i="6"/>
  <c r="S97" i="6"/>
  <c r="T97" i="6"/>
  <c r="O97" i="6"/>
  <c r="U97" i="6"/>
  <c r="W97" i="6"/>
  <c r="AA97" i="6"/>
  <c r="Q97" i="6"/>
  <c r="R97" i="6"/>
  <c r="P98" i="6"/>
  <c r="K98" i="6"/>
  <c r="L98" i="6"/>
  <c r="S98" i="6"/>
  <c r="T98" i="6"/>
  <c r="O98" i="6"/>
  <c r="U98" i="6"/>
  <c r="W98" i="6"/>
  <c r="AA98" i="6"/>
  <c r="Q98" i="6"/>
  <c r="R98" i="6"/>
  <c r="P99" i="6"/>
  <c r="K99" i="6"/>
  <c r="L99" i="6"/>
  <c r="S99" i="6"/>
  <c r="T99" i="6"/>
  <c r="O99" i="6"/>
  <c r="U99" i="6"/>
  <c r="W99" i="6"/>
  <c r="AA99" i="6"/>
  <c r="Q99" i="6"/>
  <c r="R99" i="6"/>
  <c r="P100" i="6"/>
  <c r="K100" i="6"/>
  <c r="L100" i="6"/>
  <c r="S100" i="6"/>
  <c r="T100" i="6"/>
  <c r="O100" i="6"/>
  <c r="U100" i="6"/>
  <c r="W100" i="6"/>
  <c r="AA100" i="6"/>
  <c r="Q100" i="6"/>
  <c r="R100" i="6"/>
  <c r="P101" i="6"/>
  <c r="C46" i="6"/>
  <c r="K101" i="6"/>
  <c r="L101" i="6"/>
  <c r="S101" i="6"/>
  <c r="T101" i="6"/>
  <c r="O101" i="6"/>
  <c r="U101" i="6"/>
  <c r="W101" i="6"/>
  <c r="AA101" i="6"/>
  <c r="Q101" i="6"/>
  <c r="R101" i="6"/>
  <c r="P102" i="6"/>
  <c r="K102" i="6"/>
  <c r="L102" i="6"/>
  <c r="S102" i="6"/>
  <c r="T102" i="6"/>
  <c r="O102" i="6"/>
  <c r="U102" i="6"/>
  <c r="W102" i="6"/>
  <c r="AA102" i="6"/>
  <c r="Q102" i="6"/>
  <c r="R102" i="6"/>
  <c r="P103" i="6"/>
  <c r="K103" i="6"/>
  <c r="L103" i="6"/>
  <c r="S103" i="6"/>
  <c r="T103" i="6"/>
  <c r="O103" i="6"/>
  <c r="U103" i="6"/>
  <c r="W103" i="6"/>
  <c r="AA103" i="6"/>
  <c r="Q103" i="6"/>
  <c r="R103" i="6"/>
  <c r="P104" i="6"/>
  <c r="K104" i="6"/>
  <c r="L104" i="6"/>
  <c r="S104" i="6"/>
  <c r="T104" i="6"/>
  <c r="O104" i="6"/>
  <c r="U104" i="6"/>
  <c r="W104" i="6"/>
  <c r="AA104" i="6"/>
  <c r="Q104" i="6"/>
  <c r="R104" i="6"/>
  <c r="P105" i="6"/>
  <c r="K105" i="6"/>
  <c r="L105" i="6"/>
  <c r="S105" i="6"/>
  <c r="T105" i="6"/>
  <c r="O105" i="6"/>
  <c r="U105" i="6"/>
  <c r="W105" i="6"/>
  <c r="AA105" i="6"/>
  <c r="Q105" i="6"/>
  <c r="R105" i="6"/>
  <c r="P106" i="6"/>
  <c r="K106" i="6"/>
  <c r="L106" i="6"/>
  <c r="S106" i="6"/>
  <c r="T106" i="6"/>
  <c r="O106" i="6"/>
  <c r="U106" i="6"/>
  <c r="W106" i="6"/>
  <c r="AA106" i="6"/>
  <c r="Q106" i="6"/>
  <c r="R106" i="6"/>
  <c r="P107" i="6"/>
  <c r="K107" i="6"/>
  <c r="L107" i="6"/>
  <c r="S107" i="6"/>
  <c r="T107" i="6"/>
  <c r="O107" i="6"/>
  <c r="U107" i="6"/>
  <c r="W107" i="6"/>
  <c r="AA107" i="6"/>
  <c r="Q107" i="6"/>
  <c r="R107" i="6"/>
  <c r="P108" i="6"/>
  <c r="K108" i="6"/>
  <c r="L108" i="6"/>
  <c r="S108" i="6"/>
  <c r="T108" i="6"/>
  <c r="O108" i="6"/>
  <c r="U108" i="6"/>
  <c r="W108" i="6"/>
  <c r="AA108" i="6"/>
  <c r="Q108" i="6"/>
  <c r="R108" i="6"/>
  <c r="P109" i="6"/>
  <c r="K109" i="6"/>
  <c r="L109" i="6"/>
  <c r="S109" i="6"/>
  <c r="T109" i="6"/>
  <c r="O109" i="6"/>
  <c r="U109" i="6"/>
  <c r="W109" i="6"/>
  <c r="AA109" i="6"/>
  <c r="Q109" i="6"/>
  <c r="R109" i="6"/>
  <c r="P110" i="6"/>
  <c r="K110" i="6"/>
  <c r="L110" i="6"/>
  <c r="S110" i="6"/>
  <c r="T110" i="6"/>
  <c r="O110" i="6"/>
  <c r="U110" i="6"/>
  <c r="W110" i="6"/>
  <c r="AA110" i="6"/>
  <c r="Q110" i="6"/>
  <c r="R110" i="6"/>
  <c r="P111" i="6"/>
  <c r="K111" i="6"/>
  <c r="L111" i="6"/>
  <c r="S111" i="6"/>
  <c r="T111" i="6"/>
  <c r="O111" i="6"/>
  <c r="U111" i="6"/>
  <c r="W111" i="6"/>
  <c r="AA111" i="6"/>
  <c r="Q111" i="6"/>
  <c r="R111" i="6"/>
  <c r="P112" i="6"/>
  <c r="K112" i="6"/>
  <c r="L112" i="6"/>
  <c r="S112" i="6"/>
  <c r="T112" i="6"/>
  <c r="O112" i="6"/>
  <c r="U112" i="6"/>
  <c r="W112" i="6"/>
  <c r="AA112" i="6"/>
  <c r="Q112" i="6"/>
  <c r="R112" i="6"/>
  <c r="P113" i="6"/>
  <c r="C47" i="6"/>
  <c r="K113" i="6"/>
  <c r="L113" i="6"/>
  <c r="S113" i="6"/>
  <c r="T113" i="6"/>
  <c r="O113" i="6"/>
  <c r="U113" i="6"/>
  <c r="W113" i="6"/>
  <c r="AA113" i="6"/>
  <c r="Q113" i="6"/>
  <c r="R113" i="6"/>
  <c r="P114" i="6"/>
  <c r="K114" i="6"/>
  <c r="L114" i="6"/>
  <c r="S114" i="6"/>
  <c r="T114" i="6"/>
  <c r="O114" i="6"/>
  <c r="U114" i="6"/>
  <c r="W114" i="6"/>
  <c r="AA114" i="6"/>
  <c r="Q114" i="6"/>
  <c r="R114" i="6"/>
  <c r="P115" i="6"/>
  <c r="K115" i="6"/>
  <c r="L115" i="6"/>
  <c r="S115" i="6"/>
  <c r="T115" i="6"/>
  <c r="O115" i="6"/>
  <c r="U115" i="6"/>
  <c r="W115" i="6"/>
  <c r="AA115" i="6"/>
  <c r="Q115" i="6"/>
  <c r="R115" i="6"/>
  <c r="P116" i="6"/>
  <c r="K116" i="6"/>
  <c r="L116" i="6"/>
  <c r="S116" i="6"/>
  <c r="T116" i="6"/>
  <c r="O116" i="6"/>
  <c r="U116" i="6"/>
  <c r="W116" i="6"/>
  <c r="AA116" i="6"/>
  <c r="Q116" i="6"/>
  <c r="R116" i="6"/>
  <c r="P117" i="6"/>
  <c r="K117" i="6"/>
  <c r="L117" i="6"/>
  <c r="S117" i="6"/>
  <c r="T117" i="6"/>
  <c r="O117" i="6"/>
  <c r="U117" i="6"/>
  <c r="W117" i="6"/>
  <c r="AA117" i="6"/>
  <c r="Q117" i="6"/>
  <c r="R117" i="6"/>
  <c r="P118" i="6"/>
  <c r="K118" i="6"/>
  <c r="L118" i="6"/>
  <c r="S118" i="6"/>
  <c r="T118" i="6"/>
  <c r="O118" i="6"/>
  <c r="U118" i="6"/>
  <c r="W118" i="6"/>
  <c r="AA118" i="6"/>
  <c r="Q118" i="6"/>
  <c r="R118" i="6"/>
  <c r="P119" i="6"/>
  <c r="K119" i="6"/>
  <c r="L119" i="6"/>
  <c r="S119" i="6"/>
  <c r="T119" i="6"/>
  <c r="O119" i="6"/>
  <c r="U119" i="6"/>
  <c r="W119" i="6"/>
  <c r="AA119" i="6"/>
  <c r="Q119" i="6"/>
  <c r="R119" i="6"/>
  <c r="P120" i="6"/>
  <c r="K120" i="6"/>
  <c r="L120" i="6"/>
  <c r="S120" i="6"/>
  <c r="T120" i="6"/>
  <c r="O120" i="6"/>
  <c r="U120" i="6"/>
  <c r="W120" i="6"/>
  <c r="AA120" i="6"/>
  <c r="Q120" i="6"/>
  <c r="R120" i="6"/>
  <c r="P121" i="6"/>
  <c r="K121" i="6"/>
  <c r="L121" i="6"/>
  <c r="S121" i="6"/>
  <c r="T121" i="6"/>
  <c r="O121" i="6"/>
  <c r="U121" i="6"/>
  <c r="W121" i="6"/>
  <c r="AA121" i="6"/>
  <c r="Q121" i="6"/>
  <c r="R121" i="6"/>
  <c r="P122" i="6"/>
  <c r="K122" i="6"/>
  <c r="L122" i="6"/>
  <c r="S122" i="6"/>
  <c r="T122" i="6"/>
  <c r="O122" i="6"/>
  <c r="U122" i="6"/>
  <c r="W122" i="6"/>
  <c r="AA122" i="6"/>
  <c r="Q122" i="6"/>
  <c r="R122" i="6"/>
  <c r="P123" i="6"/>
  <c r="K123" i="6"/>
  <c r="L123" i="6"/>
  <c r="S123" i="6"/>
  <c r="T123" i="6"/>
  <c r="O123" i="6"/>
  <c r="U123" i="6"/>
  <c r="W123" i="6"/>
  <c r="AA123" i="6"/>
  <c r="Q123" i="6"/>
  <c r="R123" i="6"/>
  <c r="P124" i="6"/>
  <c r="K124" i="6"/>
  <c r="L124" i="6"/>
  <c r="S124" i="6"/>
  <c r="T124" i="6"/>
  <c r="O124" i="6"/>
  <c r="U124" i="6"/>
  <c r="W124" i="6"/>
  <c r="AA124" i="6"/>
  <c r="Q124" i="6"/>
  <c r="R124" i="6"/>
  <c r="P125" i="6"/>
  <c r="C48" i="6"/>
  <c r="K125" i="6"/>
  <c r="L125" i="6"/>
  <c r="S125" i="6"/>
  <c r="T125" i="6"/>
  <c r="O125" i="6"/>
  <c r="U125" i="6"/>
  <c r="W125" i="6"/>
  <c r="AA125" i="6"/>
  <c r="Q125" i="6"/>
  <c r="R125" i="6"/>
  <c r="P126" i="6"/>
  <c r="K126" i="6"/>
  <c r="L126" i="6"/>
  <c r="S126" i="6"/>
  <c r="T126" i="6"/>
  <c r="O126" i="6"/>
  <c r="U126" i="6"/>
  <c r="W126" i="6"/>
  <c r="AA126" i="6"/>
  <c r="Q126" i="6"/>
  <c r="R126" i="6"/>
  <c r="P127" i="6"/>
  <c r="K127" i="6"/>
  <c r="L127" i="6"/>
  <c r="S127" i="6"/>
  <c r="T127" i="6"/>
  <c r="O127" i="6"/>
  <c r="U127" i="6"/>
  <c r="W127" i="6"/>
  <c r="AA127" i="6"/>
  <c r="Q127" i="6"/>
  <c r="R127" i="6"/>
  <c r="P128" i="6"/>
  <c r="K128" i="6"/>
  <c r="L128" i="6"/>
  <c r="S128" i="6"/>
  <c r="T128" i="6"/>
  <c r="O128" i="6"/>
  <c r="U128" i="6"/>
  <c r="W128" i="6"/>
  <c r="AA128" i="6"/>
  <c r="Q128" i="6"/>
  <c r="R128" i="6"/>
  <c r="P129" i="6"/>
  <c r="K129" i="6"/>
  <c r="L129" i="6"/>
  <c r="S129" i="6"/>
  <c r="T129" i="6"/>
  <c r="O129" i="6"/>
  <c r="U129" i="6"/>
  <c r="W129" i="6"/>
  <c r="AA129" i="6"/>
  <c r="Q129" i="6"/>
  <c r="R129" i="6"/>
  <c r="P130" i="6"/>
  <c r="K130" i="6"/>
  <c r="L130" i="6"/>
  <c r="S130" i="6"/>
  <c r="T130" i="6"/>
  <c r="O130" i="6"/>
  <c r="U130" i="6"/>
  <c r="W130" i="6"/>
  <c r="AA130" i="6"/>
  <c r="Q130" i="6"/>
  <c r="R130" i="6"/>
  <c r="P131" i="6"/>
  <c r="K131" i="6"/>
  <c r="L131" i="6"/>
  <c r="S131" i="6"/>
  <c r="T131" i="6"/>
  <c r="O131" i="6"/>
  <c r="U131" i="6"/>
  <c r="W131" i="6"/>
  <c r="AA131" i="6"/>
  <c r="Q131" i="6"/>
  <c r="R131" i="6"/>
  <c r="P132" i="6"/>
  <c r="K132" i="6"/>
  <c r="L132" i="6"/>
  <c r="S132" i="6"/>
  <c r="T132" i="6"/>
  <c r="O132" i="6"/>
  <c r="U132" i="6"/>
  <c r="W132" i="6"/>
  <c r="AA132" i="6"/>
  <c r="Q132" i="6"/>
  <c r="R132" i="6"/>
  <c r="P133" i="6"/>
  <c r="K133" i="6"/>
  <c r="L133" i="6"/>
  <c r="S133" i="6"/>
  <c r="T133" i="6"/>
  <c r="O133" i="6"/>
  <c r="U133" i="6"/>
  <c r="W133" i="6"/>
  <c r="AA133" i="6"/>
  <c r="Q133" i="6"/>
  <c r="R133" i="6"/>
  <c r="P134" i="6"/>
  <c r="K134" i="6"/>
  <c r="L134" i="6"/>
  <c r="S134" i="6"/>
  <c r="T134" i="6"/>
  <c r="O134" i="6"/>
  <c r="U134" i="6"/>
  <c r="W134" i="6"/>
  <c r="AA134" i="6"/>
  <c r="Q134" i="6"/>
  <c r="R134" i="6"/>
  <c r="P135" i="6"/>
  <c r="K135" i="6"/>
  <c r="L135" i="6"/>
  <c r="S135" i="6"/>
  <c r="T135" i="6"/>
  <c r="O135" i="6"/>
  <c r="U135" i="6"/>
  <c r="W135" i="6"/>
  <c r="AA135" i="6"/>
  <c r="Q135" i="6"/>
  <c r="R135" i="6"/>
  <c r="P136" i="6"/>
  <c r="K136" i="6"/>
  <c r="L136" i="6"/>
  <c r="S136" i="6"/>
  <c r="T136" i="6"/>
  <c r="O136" i="6"/>
  <c r="U136" i="6"/>
  <c r="W136" i="6"/>
  <c r="AA136" i="6"/>
  <c r="Q136" i="6"/>
  <c r="R136" i="6"/>
  <c r="P137" i="6"/>
  <c r="C49" i="6"/>
  <c r="K137" i="6"/>
  <c r="L137" i="6"/>
  <c r="S137" i="6"/>
  <c r="T137" i="6"/>
  <c r="O137" i="6"/>
  <c r="U137" i="6"/>
  <c r="W137" i="6"/>
  <c r="AA137" i="6"/>
  <c r="Q137" i="6"/>
  <c r="R137" i="6"/>
  <c r="P138" i="6"/>
  <c r="K138" i="6"/>
  <c r="L138" i="6"/>
  <c r="S138" i="6"/>
  <c r="T138" i="6"/>
  <c r="O138" i="6"/>
  <c r="U138" i="6"/>
  <c r="W138" i="6"/>
  <c r="AA138" i="6"/>
  <c r="Q138" i="6"/>
  <c r="R138" i="6"/>
  <c r="P139" i="6"/>
  <c r="K139" i="6"/>
  <c r="L139" i="6"/>
  <c r="S139" i="6"/>
  <c r="T139" i="6"/>
  <c r="O139" i="6"/>
  <c r="U139" i="6"/>
  <c r="W139" i="6"/>
  <c r="AA139" i="6"/>
  <c r="Q139" i="6"/>
  <c r="R139" i="6"/>
  <c r="P140" i="6"/>
  <c r="K140" i="6"/>
  <c r="L140" i="6"/>
  <c r="S140" i="6"/>
  <c r="T140" i="6"/>
  <c r="O140" i="6"/>
  <c r="U140" i="6"/>
  <c r="W140" i="6"/>
  <c r="AA140" i="6"/>
  <c r="Q140" i="6"/>
  <c r="R140" i="6"/>
  <c r="P141" i="6"/>
  <c r="K141" i="6"/>
  <c r="L141" i="6"/>
  <c r="S141" i="6"/>
  <c r="T141" i="6"/>
  <c r="O141" i="6"/>
  <c r="U141" i="6"/>
  <c r="W141" i="6"/>
  <c r="AA141" i="6"/>
  <c r="Q141" i="6"/>
  <c r="R141" i="6"/>
  <c r="P142" i="6"/>
  <c r="K142" i="6"/>
  <c r="L142" i="6"/>
  <c r="S142" i="6"/>
  <c r="T142" i="6"/>
  <c r="O142" i="6"/>
  <c r="U142" i="6"/>
  <c r="W142" i="6"/>
  <c r="AA142" i="6"/>
  <c r="Q142" i="6"/>
  <c r="R142" i="6"/>
  <c r="P143" i="6"/>
  <c r="K143" i="6"/>
  <c r="L143" i="6"/>
  <c r="S143" i="6"/>
  <c r="T143" i="6"/>
  <c r="O143" i="6"/>
  <c r="U143" i="6"/>
  <c r="W143" i="6"/>
  <c r="AA143" i="6"/>
  <c r="Q143" i="6"/>
  <c r="R143" i="6"/>
  <c r="P144" i="6"/>
  <c r="K144" i="6"/>
  <c r="L144" i="6"/>
  <c r="S144" i="6"/>
  <c r="T144" i="6"/>
  <c r="O144" i="6"/>
  <c r="U144" i="6"/>
  <c r="W144" i="6"/>
  <c r="AA144" i="6"/>
  <c r="Q144" i="6"/>
  <c r="R144" i="6"/>
  <c r="P145" i="6"/>
  <c r="K145" i="6"/>
  <c r="L145" i="6"/>
  <c r="S145" i="6"/>
  <c r="T145" i="6"/>
  <c r="O145" i="6"/>
  <c r="U145" i="6"/>
  <c r="W145" i="6"/>
  <c r="AA145" i="6"/>
  <c r="Q145" i="6"/>
  <c r="R145" i="6"/>
  <c r="P146" i="6"/>
  <c r="K146" i="6"/>
  <c r="L146" i="6"/>
  <c r="S146" i="6"/>
  <c r="T146" i="6"/>
  <c r="O146" i="6"/>
  <c r="U146" i="6"/>
  <c r="W146" i="6"/>
  <c r="AA146" i="6"/>
  <c r="Q146" i="6"/>
  <c r="R146" i="6"/>
  <c r="P147" i="6"/>
  <c r="K147" i="6"/>
  <c r="L147" i="6"/>
  <c r="S147" i="6"/>
  <c r="T147" i="6"/>
  <c r="O147" i="6"/>
  <c r="U147" i="6"/>
  <c r="W147" i="6"/>
  <c r="AA147" i="6"/>
  <c r="Q147" i="6"/>
  <c r="R147" i="6"/>
  <c r="P148" i="6"/>
  <c r="K148" i="6"/>
  <c r="L148" i="6"/>
  <c r="S148" i="6"/>
  <c r="T148" i="6"/>
  <c r="O148" i="6"/>
  <c r="U148" i="6"/>
  <c r="W148" i="6"/>
  <c r="AA148" i="6"/>
  <c r="Q148" i="6"/>
  <c r="R148" i="6"/>
  <c r="P149" i="6"/>
  <c r="C50" i="6"/>
  <c r="K149" i="6"/>
  <c r="L149" i="6"/>
  <c r="S149" i="6"/>
  <c r="T149" i="6"/>
  <c r="O149" i="6"/>
  <c r="U149" i="6"/>
  <c r="W149" i="6"/>
  <c r="AA149" i="6"/>
  <c r="Q149" i="6"/>
  <c r="R149" i="6"/>
  <c r="P150" i="6"/>
  <c r="K150" i="6"/>
  <c r="L150" i="6"/>
  <c r="S150" i="6"/>
  <c r="T150" i="6"/>
  <c r="O150" i="6"/>
  <c r="U150" i="6"/>
  <c r="W150" i="6"/>
  <c r="AA150" i="6"/>
  <c r="Q150" i="6"/>
  <c r="R150" i="6"/>
  <c r="P151" i="6"/>
  <c r="K151" i="6"/>
  <c r="L151" i="6"/>
  <c r="S151" i="6"/>
  <c r="T151" i="6"/>
  <c r="O151" i="6"/>
  <c r="U151" i="6"/>
  <c r="W151" i="6"/>
  <c r="AA151" i="6"/>
  <c r="Q151" i="6"/>
  <c r="R151" i="6"/>
  <c r="P152" i="6"/>
  <c r="K152" i="6"/>
  <c r="L152" i="6"/>
  <c r="S152" i="6"/>
  <c r="T152" i="6"/>
  <c r="O152" i="6"/>
  <c r="U152" i="6"/>
  <c r="W152" i="6"/>
  <c r="AA152" i="6"/>
  <c r="Q152" i="6"/>
  <c r="R152" i="6"/>
  <c r="P153" i="6"/>
  <c r="K153" i="6"/>
  <c r="L153" i="6"/>
  <c r="S153" i="6"/>
  <c r="T153" i="6"/>
  <c r="O153" i="6"/>
  <c r="U153" i="6"/>
  <c r="W153" i="6"/>
  <c r="AA153" i="6"/>
  <c r="Q153" i="6"/>
  <c r="R153" i="6"/>
  <c r="P154" i="6"/>
  <c r="K154" i="6"/>
  <c r="L154" i="6"/>
  <c r="S154" i="6"/>
  <c r="T154" i="6"/>
  <c r="O154" i="6"/>
  <c r="U154" i="6"/>
  <c r="W154" i="6"/>
  <c r="AA154" i="6"/>
  <c r="Q154" i="6"/>
  <c r="R154" i="6"/>
  <c r="P155" i="6"/>
  <c r="K155" i="6"/>
  <c r="L155" i="6"/>
  <c r="S155" i="6"/>
  <c r="T155" i="6"/>
  <c r="O155" i="6"/>
  <c r="U155" i="6"/>
  <c r="W155" i="6"/>
  <c r="AA155" i="6"/>
  <c r="Q155" i="6"/>
  <c r="R155" i="6"/>
  <c r="P156" i="6"/>
  <c r="K156" i="6"/>
  <c r="L156" i="6"/>
  <c r="S156" i="6"/>
  <c r="T156" i="6"/>
  <c r="O156" i="6"/>
  <c r="U156" i="6"/>
  <c r="W156" i="6"/>
  <c r="AA156" i="6"/>
  <c r="Q156" i="6"/>
  <c r="R156" i="6"/>
  <c r="P157" i="6"/>
  <c r="K157" i="6"/>
  <c r="L157" i="6"/>
  <c r="S157" i="6"/>
  <c r="T157" i="6"/>
  <c r="O157" i="6"/>
  <c r="U157" i="6"/>
  <c r="W157" i="6"/>
  <c r="AA157" i="6"/>
  <c r="Q157" i="6"/>
  <c r="R157" i="6"/>
  <c r="P158" i="6"/>
  <c r="K158" i="6"/>
  <c r="L158" i="6"/>
  <c r="S158" i="6"/>
  <c r="T158" i="6"/>
  <c r="O158" i="6"/>
  <c r="U158" i="6"/>
  <c r="W158" i="6"/>
  <c r="AA158" i="6"/>
  <c r="Q158" i="6"/>
  <c r="R158" i="6"/>
  <c r="P159" i="6"/>
  <c r="K159" i="6"/>
  <c r="L159" i="6"/>
  <c r="S159" i="6"/>
  <c r="T159" i="6"/>
  <c r="O159" i="6"/>
  <c r="U159" i="6"/>
  <c r="W159" i="6"/>
  <c r="AA159" i="6"/>
  <c r="Q159" i="6"/>
  <c r="R159" i="6"/>
  <c r="P160" i="6"/>
  <c r="K160" i="6"/>
  <c r="L160" i="6"/>
  <c r="S160" i="6"/>
  <c r="T160" i="6"/>
  <c r="O160" i="6"/>
  <c r="U160" i="6"/>
  <c r="W160" i="6"/>
  <c r="AA160" i="6"/>
  <c r="Q160" i="6"/>
  <c r="R160" i="6"/>
  <c r="P161" i="6"/>
  <c r="C51" i="6"/>
  <c r="K161" i="6"/>
  <c r="L161" i="6"/>
  <c r="S161" i="6"/>
  <c r="T161" i="6"/>
  <c r="O161" i="6"/>
  <c r="U161" i="6"/>
  <c r="W161" i="6"/>
  <c r="AA161" i="6"/>
  <c r="Q161" i="6"/>
  <c r="R161" i="6"/>
  <c r="P162" i="6"/>
  <c r="K162" i="6"/>
  <c r="L162" i="6"/>
  <c r="S162" i="6"/>
  <c r="T162" i="6"/>
  <c r="O162" i="6"/>
  <c r="U162" i="6"/>
  <c r="W162" i="6"/>
  <c r="AA162" i="6"/>
  <c r="Q162" i="6"/>
  <c r="R162" i="6"/>
  <c r="P163" i="6"/>
  <c r="K163" i="6"/>
  <c r="L163" i="6"/>
  <c r="S163" i="6"/>
  <c r="T163" i="6"/>
  <c r="O163" i="6"/>
  <c r="U163" i="6"/>
  <c r="W163" i="6"/>
  <c r="AA163" i="6"/>
  <c r="Q163" i="6"/>
  <c r="R163" i="6"/>
  <c r="P164" i="6"/>
  <c r="K164" i="6"/>
  <c r="L164" i="6"/>
  <c r="S164" i="6"/>
  <c r="T164" i="6"/>
  <c r="O164" i="6"/>
  <c r="U164" i="6"/>
  <c r="W164" i="6"/>
  <c r="AA164" i="6"/>
  <c r="Q164" i="6"/>
  <c r="R164" i="6"/>
  <c r="P165" i="6"/>
  <c r="K165" i="6"/>
  <c r="L165" i="6"/>
  <c r="S165" i="6"/>
  <c r="T165" i="6"/>
  <c r="O165" i="6"/>
  <c r="U165" i="6"/>
  <c r="W165" i="6"/>
  <c r="AA165" i="6"/>
  <c r="Q165" i="6"/>
  <c r="R165" i="6"/>
  <c r="P166" i="6"/>
  <c r="K166" i="6"/>
  <c r="L166" i="6"/>
  <c r="S166" i="6"/>
  <c r="T166" i="6"/>
  <c r="O166" i="6"/>
  <c r="U166" i="6"/>
  <c r="W166" i="6"/>
  <c r="AA166" i="6"/>
  <c r="Q166" i="6"/>
  <c r="R166" i="6"/>
  <c r="P167" i="6"/>
  <c r="K167" i="6"/>
  <c r="L167" i="6"/>
  <c r="S167" i="6"/>
  <c r="T167" i="6"/>
  <c r="O167" i="6"/>
  <c r="U167" i="6"/>
  <c r="W167" i="6"/>
  <c r="AA167" i="6"/>
  <c r="Q167" i="6"/>
  <c r="R167" i="6"/>
  <c r="P168" i="6"/>
  <c r="K168" i="6"/>
  <c r="L168" i="6"/>
  <c r="S168" i="6"/>
  <c r="T168" i="6"/>
  <c r="O168" i="6"/>
  <c r="U168" i="6"/>
  <c r="W168" i="6"/>
  <c r="AA168" i="6"/>
  <c r="Q168" i="6"/>
  <c r="R168" i="6"/>
  <c r="P169" i="6"/>
  <c r="K169" i="6"/>
  <c r="L169" i="6"/>
  <c r="S169" i="6"/>
  <c r="T169" i="6"/>
  <c r="O169" i="6"/>
  <c r="U169" i="6"/>
  <c r="W169" i="6"/>
  <c r="AA169" i="6"/>
  <c r="Q169" i="6"/>
  <c r="R169" i="6"/>
  <c r="P170" i="6"/>
  <c r="K170" i="6"/>
  <c r="L170" i="6"/>
  <c r="S170" i="6"/>
  <c r="T170" i="6"/>
  <c r="O170" i="6"/>
  <c r="U170" i="6"/>
  <c r="W170" i="6"/>
  <c r="AA170" i="6"/>
  <c r="Q170" i="6"/>
  <c r="R170" i="6"/>
  <c r="P171" i="6"/>
  <c r="K171" i="6"/>
  <c r="L171" i="6"/>
  <c r="S171" i="6"/>
  <c r="T171" i="6"/>
  <c r="O171" i="6"/>
  <c r="U171" i="6"/>
  <c r="W171" i="6"/>
  <c r="AA171" i="6"/>
  <c r="Q171" i="6"/>
  <c r="R171" i="6"/>
  <c r="P172" i="6"/>
  <c r="K172" i="6"/>
  <c r="L172" i="6"/>
  <c r="S172" i="6"/>
  <c r="T172" i="6"/>
  <c r="O172" i="6"/>
  <c r="U172" i="6"/>
  <c r="W172" i="6"/>
  <c r="AA172" i="6"/>
  <c r="Q172" i="6"/>
  <c r="R172" i="6"/>
  <c r="P173" i="6"/>
  <c r="C52" i="6"/>
  <c r="K173" i="6"/>
  <c r="L173" i="6"/>
  <c r="S173" i="6"/>
  <c r="T173" i="6"/>
  <c r="O173" i="6"/>
  <c r="U173" i="6"/>
  <c r="W173" i="6"/>
  <c r="AA173" i="6"/>
  <c r="Q173" i="6"/>
  <c r="R173" i="6"/>
  <c r="P174" i="6"/>
  <c r="K174" i="6"/>
  <c r="L174" i="6"/>
  <c r="S174" i="6"/>
  <c r="T174" i="6"/>
  <c r="O174" i="6"/>
  <c r="U174" i="6"/>
  <c r="W174" i="6"/>
  <c r="AA174" i="6"/>
  <c r="Q174" i="6"/>
  <c r="R174" i="6"/>
  <c r="P175" i="6"/>
  <c r="K175" i="6"/>
  <c r="L175" i="6"/>
  <c r="S175" i="6"/>
  <c r="T175" i="6"/>
  <c r="O175" i="6"/>
  <c r="U175" i="6"/>
  <c r="W175" i="6"/>
  <c r="AA175" i="6"/>
  <c r="Q175" i="6"/>
  <c r="R175" i="6"/>
  <c r="P176" i="6"/>
  <c r="K176" i="6"/>
  <c r="L176" i="6"/>
  <c r="S176" i="6"/>
  <c r="T176" i="6"/>
  <c r="O176" i="6"/>
  <c r="U176" i="6"/>
  <c r="W176" i="6"/>
  <c r="AA176" i="6"/>
  <c r="Q176" i="6"/>
  <c r="R176" i="6"/>
  <c r="P177" i="6"/>
  <c r="K177" i="6"/>
  <c r="L177" i="6"/>
  <c r="S177" i="6"/>
  <c r="T177" i="6"/>
  <c r="O177" i="6"/>
  <c r="U177" i="6"/>
  <c r="W177" i="6"/>
  <c r="AA177" i="6"/>
  <c r="Q177" i="6"/>
  <c r="R177" i="6"/>
  <c r="P178" i="6"/>
  <c r="K178" i="6"/>
  <c r="L178" i="6"/>
  <c r="S178" i="6"/>
  <c r="T178" i="6"/>
  <c r="O178" i="6"/>
  <c r="U178" i="6"/>
  <c r="W178" i="6"/>
  <c r="AA178" i="6"/>
  <c r="Q178" i="6"/>
  <c r="R178" i="6"/>
  <c r="P179" i="6"/>
  <c r="K179" i="6"/>
  <c r="L179" i="6"/>
  <c r="S179" i="6"/>
  <c r="T179" i="6"/>
  <c r="O179" i="6"/>
  <c r="U179" i="6"/>
  <c r="W179" i="6"/>
  <c r="AA179" i="6"/>
  <c r="Q179" i="6"/>
  <c r="R179" i="6"/>
  <c r="P180" i="6"/>
  <c r="K180" i="6"/>
  <c r="L180" i="6"/>
  <c r="S180" i="6"/>
  <c r="T180" i="6"/>
  <c r="O180" i="6"/>
  <c r="U180" i="6"/>
  <c r="W180" i="6"/>
  <c r="AA180" i="6"/>
  <c r="Q180" i="6"/>
  <c r="R180" i="6"/>
  <c r="P181" i="6"/>
  <c r="K181" i="6"/>
  <c r="L181" i="6"/>
  <c r="S181" i="6"/>
  <c r="T181" i="6"/>
  <c r="O181" i="6"/>
  <c r="U181" i="6"/>
  <c r="W181" i="6"/>
  <c r="AA181" i="6"/>
  <c r="Q181" i="6"/>
  <c r="R181" i="6"/>
  <c r="P182" i="6"/>
  <c r="K182" i="6"/>
  <c r="L182" i="6"/>
  <c r="S182" i="6"/>
  <c r="T182" i="6"/>
  <c r="O182" i="6"/>
  <c r="U182" i="6"/>
  <c r="W182" i="6"/>
  <c r="AA182" i="6"/>
  <c r="Q182" i="6"/>
  <c r="R182" i="6"/>
  <c r="P183" i="6"/>
  <c r="K183" i="6"/>
  <c r="L183" i="6"/>
  <c r="S183" i="6"/>
  <c r="T183" i="6"/>
  <c r="O183" i="6"/>
  <c r="U183" i="6"/>
  <c r="W183" i="6"/>
  <c r="AA183" i="6"/>
  <c r="Q183" i="6"/>
  <c r="R183" i="6"/>
  <c r="P184" i="6"/>
  <c r="K184" i="6"/>
  <c r="L184" i="6"/>
  <c r="S184" i="6"/>
  <c r="T184" i="6"/>
  <c r="O184" i="6"/>
  <c r="U184" i="6"/>
  <c r="W184" i="6"/>
  <c r="AA184" i="6"/>
  <c r="Q184" i="6"/>
  <c r="R184" i="6"/>
  <c r="P185" i="6"/>
  <c r="C53" i="6"/>
  <c r="K185" i="6"/>
  <c r="L185" i="6"/>
  <c r="S185" i="6"/>
  <c r="T185" i="6"/>
  <c r="O185" i="6"/>
  <c r="U185" i="6"/>
  <c r="W185" i="6"/>
  <c r="AA185" i="6"/>
  <c r="Q185" i="6"/>
  <c r="R185" i="6"/>
  <c r="P186" i="6"/>
  <c r="K186" i="6"/>
  <c r="L186" i="6"/>
  <c r="S186" i="6"/>
  <c r="T186" i="6"/>
  <c r="O186" i="6"/>
  <c r="U186" i="6"/>
  <c r="W186" i="6"/>
  <c r="AA186" i="6"/>
  <c r="Q186" i="6"/>
  <c r="R186" i="6"/>
  <c r="P187" i="6"/>
  <c r="K187" i="6"/>
  <c r="L187" i="6"/>
  <c r="S187" i="6"/>
  <c r="T187" i="6"/>
  <c r="O187" i="6"/>
  <c r="U187" i="6"/>
  <c r="W187" i="6"/>
  <c r="AA187" i="6"/>
  <c r="Q187" i="6"/>
  <c r="R187" i="6"/>
  <c r="P188" i="6"/>
  <c r="K188" i="6"/>
  <c r="L188" i="6"/>
  <c r="S188" i="6"/>
  <c r="T188" i="6"/>
  <c r="O188" i="6"/>
  <c r="U188" i="6"/>
  <c r="W188" i="6"/>
  <c r="AA188" i="6"/>
  <c r="Q188" i="6"/>
  <c r="R188" i="6"/>
  <c r="P189" i="6"/>
  <c r="K189" i="6"/>
  <c r="L189" i="6"/>
  <c r="S189" i="6"/>
  <c r="T189" i="6"/>
  <c r="O189" i="6"/>
  <c r="U189" i="6"/>
  <c r="W189" i="6"/>
  <c r="AA189" i="6"/>
  <c r="Q189" i="6"/>
  <c r="R189" i="6"/>
  <c r="P190" i="6"/>
  <c r="K190" i="6"/>
  <c r="L190" i="6"/>
  <c r="S190" i="6"/>
  <c r="T190" i="6"/>
  <c r="O190" i="6"/>
  <c r="U190" i="6"/>
  <c r="W190" i="6"/>
  <c r="AA190" i="6"/>
  <c r="Q190" i="6"/>
  <c r="R190" i="6"/>
  <c r="P191" i="6"/>
  <c r="K191" i="6"/>
  <c r="L191" i="6"/>
  <c r="S191" i="6"/>
  <c r="T191" i="6"/>
  <c r="O191" i="6"/>
  <c r="U191" i="6"/>
  <c r="W191" i="6"/>
  <c r="AA191" i="6"/>
  <c r="Q191" i="6"/>
  <c r="R191" i="6"/>
  <c r="P192" i="6"/>
  <c r="K192" i="6"/>
  <c r="L192" i="6"/>
  <c r="S192" i="6"/>
  <c r="T192" i="6"/>
  <c r="O192" i="6"/>
  <c r="U192" i="6"/>
  <c r="W192" i="6"/>
  <c r="AA192" i="6"/>
  <c r="Q192" i="6"/>
  <c r="R192" i="6"/>
  <c r="P193" i="6"/>
  <c r="K193" i="6"/>
  <c r="L193" i="6"/>
  <c r="S193" i="6"/>
  <c r="T193" i="6"/>
  <c r="O193" i="6"/>
  <c r="U193" i="6"/>
  <c r="W193" i="6"/>
  <c r="AA193" i="6"/>
  <c r="Q193" i="6"/>
  <c r="R193" i="6"/>
  <c r="P194" i="6"/>
  <c r="K194" i="6"/>
  <c r="L194" i="6"/>
  <c r="S194" i="6"/>
  <c r="T194" i="6"/>
  <c r="O194" i="6"/>
  <c r="U194" i="6"/>
  <c r="W194" i="6"/>
  <c r="AA194" i="6"/>
  <c r="Q194" i="6"/>
  <c r="R194" i="6"/>
  <c r="P195" i="6"/>
  <c r="K195" i="6"/>
  <c r="L195" i="6"/>
  <c r="S195" i="6"/>
  <c r="T195" i="6"/>
  <c r="O195" i="6"/>
  <c r="U195" i="6"/>
  <c r="W195" i="6"/>
  <c r="AA195" i="6"/>
  <c r="Q195" i="6"/>
  <c r="R195" i="6"/>
  <c r="P196" i="6"/>
  <c r="K196" i="6"/>
  <c r="L196" i="6"/>
  <c r="S196" i="6"/>
  <c r="T196" i="6"/>
  <c r="O196" i="6"/>
  <c r="U196" i="6"/>
  <c r="W196" i="6"/>
  <c r="AA196" i="6"/>
  <c r="Q196" i="6"/>
  <c r="R196" i="6"/>
  <c r="P197" i="6"/>
  <c r="C54" i="6"/>
  <c r="K197" i="6"/>
  <c r="L197" i="6"/>
  <c r="S197" i="6"/>
  <c r="T197" i="6"/>
  <c r="O197" i="6"/>
  <c r="U197" i="6"/>
  <c r="W197" i="6"/>
  <c r="AA197" i="6"/>
  <c r="Q197" i="6"/>
  <c r="R197" i="6"/>
  <c r="P198" i="6"/>
  <c r="K198" i="6"/>
  <c r="L198" i="6"/>
  <c r="S198" i="6"/>
  <c r="T198" i="6"/>
  <c r="O198" i="6"/>
  <c r="U198" i="6"/>
  <c r="W198" i="6"/>
  <c r="AA198" i="6"/>
  <c r="Q198" i="6"/>
  <c r="R198" i="6"/>
  <c r="P199" i="6"/>
  <c r="K199" i="6"/>
  <c r="L199" i="6"/>
  <c r="S199" i="6"/>
  <c r="T199" i="6"/>
  <c r="O199" i="6"/>
  <c r="U199" i="6"/>
  <c r="W199" i="6"/>
  <c r="AA199" i="6"/>
  <c r="Q199" i="6"/>
  <c r="R199" i="6"/>
  <c r="P200" i="6"/>
  <c r="K200" i="6"/>
  <c r="L200" i="6"/>
  <c r="S200" i="6"/>
  <c r="T200" i="6"/>
  <c r="O200" i="6"/>
  <c r="U200" i="6"/>
  <c r="W200" i="6"/>
  <c r="AA200" i="6"/>
  <c r="Q200" i="6"/>
  <c r="R200" i="6"/>
  <c r="P201" i="6"/>
  <c r="K201" i="6"/>
  <c r="L201" i="6"/>
  <c r="S201" i="6"/>
  <c r="T201" i="6"/>
  <c r="O201" i="6"/>
  <c r="U201" i="6"/>
  <c r="W201" i="6"/>
  <c r="AA201" i="6"/>
  <c r="Q201" i="6"/>
  <c r="R201" i="6"/>
  <c r="P202" i="6"/>
  <c r="K202" i="6"/>
  <c r="L202" i="6"/>
  <c r="S202" i="6"/>
  <c r="T202" i="6"/>
  <c r="O202" i="6"/>
  <c r="U202" i="6"/>
  <c r="W202" i="6"/>
  <c r="AA202" i="6"/>
  <c r="Q202" i="6"/>
  <c r="R202" i="6"/>
  <c r="P203" i="6"/>
  <c r="K203" i="6"/>
  <c r="L203" i="6"/>
  <c r="S203" i="6"/>
  <c r="T203" i="6"/>
  <c r="O203" i="6"/>
  <c r="U203" i="6"/>
  <c r="W203" i="6"/>
  <c r="AA203" i="6"/>
  <c r="Q203" i="6"/>
  <c r="R203" i="6"/>
  <c r="P204" i="6"/>
  <c r="K204" i="6"/>
  <c r="L204" i="6"/>
  <c r="S204" i="6"/>
  <c r="T204" i="6"/>
  <c r="O204" i="6"/>
  <c r="U204" i="6"/>
  <c r="W204" i="6"/>
  <c r="AA204" i="6"/>
  <c r="Q204" i="6"/>
  <c r="R204" i="6"/>
  <c r="P205" i="6"/>
  <c r="K205" i="6"/>
  <c r="L205" i="6"/>
  <c r="S205" i="6"/>
  <c r="T205" i="6"/>
  <c r="O205" i="6"/>
  <c r="U205" i="6"/>
  <c r="W205" i="6"/>
  <c r="AA205" i="6"/>
  <c r="Q205" i="6"/>
  <c r="R205" i="6"/>
  <c r="P206" i="6"/>
  <c r="K206" i="6"/>
  <c r="L206" i="6"/>
  <c r="S206" i="6"/>
  <c r="T206" i="6"/>
  <c r="O206" i="6"/>
  <c r="U206" i="6"/>
  <c r="W206" i="6"/>
  <c r="AA206" i="6"/>
  <c r="Q206" i="6"/>
  <c r="R206" i="6"/>
  <c r="P207" i="6"/>
  <c r="K207" i="6"/>
  <c r="L207" i="6"/>
  <c r="S207" i="6"/>
  <c r="T207" i="6"/>
  <c r="O207" i="6"/>
  <c r="U207" i="6"/>
  <c r="W207" i="6"/>
  <c r="AA207" i="6"/>
  <c r="Q207" i="6"/>
  <c r="R207" i="6"/>
  <c r="P208" i="6"/>
  <c r="K208" i="6"/>
  <c r="L208" i="6"/>
  <c r="S208" i="6"/>
  <c r="T208" i="6"/>
  <c r="O208" i="6"/>
  <c r="U208" i="6"/>
  <c r="W208" i="6"/>
  <c r="AA208" i="6"/>
  <c r="Q208" i="6"/>
  <c r="R208" i="6"/>
  <c r="P209" i="6"/>
  <c r="C55" i="6"/>
  <c r="K209" i="6"/>
  <c r="L209" i="6"/>
  <c r="S209" i="6"/>
  <c r="T209" i="6"/>
  <c r="O209" i="6"/>
  <c r="U209" i="6"/>
  <c r="W209" i="6"/>
  <c r="AA209" i="6"/>
  <c r="Q209" i="6"/>
  <c r="R209" i="6"/>
  <c r="P210" i="6"/>
  <c r="K210" i="6"/>
  <c r="L210" i="6"/>
  <c r="S210" i="6"/>
  <c r="T210" i="6"/>
  <c r="O210" i="6"/>
  <c r="U210" i="6"/>
  <c r="W210" i="6"/>
  <c r="AA210" i="6"/>
  <c r="Q210" i="6"/>
  <c r="R210" i="6"/>
  <c r="P211" i="6"/>
  <c r="K211" i="6"/>
  <c r="L211" i="6"/>
  <c r="S211" i="6"/>
  <c r="T211" i="6"/>
  <c r="O211" i="6"/>
  <c r="U211" i="6"/>
  <c r="W211" i="6"/>
  <c r="AA211" i="6"/>
  <c r="Q211" i="6"/>
  <c r="R211" i="6"/>
  <c r="P212" i="6"/>
  <c r="K212" i="6"/>
  <c r="L212" i="6"/>
  <c r="S212" i="6"/>
  <c r="T212" i="6"/>
  <c r="O212" i="6"/>
  <c r="U212" i="6"/>
  <c r="W212" i="6"/>
  <c r="AA212" i="6"/>
  <c r="Q212" i="6"/>
  <c r="R212" i="6"/>
  <c r="P213" i="6"/>
  <c r="K213" i="6"/>
  <c r="L213" i="6"/>
  <c r="S213" i="6"/>
  <c r="T213" i="6"/>
  <c r="O213" i="6"/>
  <c r="U213" i="6"/>
  <c r="W213" i="6"/>
  <c r="AA213" i="6"/>
  <c r="Q213" i="6"/>
  <c r="R213" i="6"/>
  <c r="P214" i="6"/>
  <c r="K214" i="6"/>
  <c r="L214" i="6"/>
  <c r="S214" i="6"/>
  <c r="T214" i="6"/>
  <c r="O214" i="6"/>
  <c r="U214" i="6"/>
  <c r="W214" i="6"/>
  <c r="AA214" i="6"/>
  <c r="Q214" i="6"/>
  <c r="R214" i="6"/>
  <c r="P215" i="6"/>
  <c r="K215" i="6"/>
  <c r="L215" i="6"/>
  <c r="S215" i="6"/>
  <c r="T215" i="6"/>
  <c r="O215" i="6"/>
  <c r="U215" i="6"/>
  <c r="W215" i="6"/>
  <c r="AA215" i="6"/>
  <c r="Q215" i="6"/>
  <c r="R215" i="6"/>
  <c r="P216" i="6"/>
  <c r="K216" i="6"/>
  <c r="L216" i="6"/>
  <c r="S216" i="6"/>
  <c r="T216" i="6"/>
  <c r="O216" i="6"/>
  <c r="U216" i="6"/>
  <c r="W216" i="6"/>
  <c r="AA216" i="6"/>
  <c r="Q216" i="6"/>
  <c r="R216" i="6"/>
  <c r="P217" i="6"/>
  <c r="K217" i="6"/>
  <c r="L217" i="6"/>
  <c r="S217" i="6"/>
  <c r="T217" i="6"/>
  <c r="O217" i="6"/>
  <c r="U217" i="6"/>
  <c r="W217" i="6"/>
  <c r="AA217" i="6"/>
  <c r="Q217" i="6"/>
  <c r="R217" i="6"/>
  <c r="P218" i="6"/>
  <c r="K218" i="6"/>
  <c r="L218" i="6"/>
  <c r="S218" i="6"/>
  <c r="T218" i="6"/>
  <c r="O218" i="6"/>
  <c r="U218" i="6"/>
  <c r="W218" i="6"/>
  <c r="AA218" i="6"/>
  <c r="Q218" i="6"/>
  <c r="R218" i="6"/>
  <c r="P219" i="6"/>
  <c r="K219" i="6"/>
  <c r="L219" i="6"/>
  <c r="S219" i="6"/>
  <c r="T219" i="6"/>
  <c r="O219" i="6"/>
  <c r="U219" i="6"/>
  <c r="W219" i="6"/>
  <c r="AA219" i="6"/>
  <c r="Q219" i="6"/>
  <c r="R219" i="6"/>
  <c r="P220" i="6"/>
  <c r="K220" i="6"/>
  <c r="L220" i="6"/>
  <c r="S220" i="6"/>
  <c r="T220" i="6"/>
  <c r="O220" i="6"/>
  <c r="U220" i="6"/>
  <c r="W220" i="6"/>
  <c r="AA220" i="6"/>
  <c r="Q220" i="6"/>
  <c r="R220" i="6"/>
  <c r="P221" i="6"/>
  <c r="C56" i="6"/>
  <c r="K221" i="6"/>
  <c r="L221" i="6"/>
  <c r="S221" i="6"/>
  <c r="T221" i="6"/>
  <c r="O221" i="6"/>
  <c r="U221" i="6"/>
  <c r="W221" i="6"/>
  <c r="AA221" i="6"/>
  <c r="Q221" i="6"/>
  <c r="R221" i="6"/>
  <c r="P222" i="6"/>
  <c r="K222" i="6"/>
  <c r="L222" i="6"/>
  <c r="S222" i="6"/>
  <c r="T222" i="6"/>
  <c r="O222" i="6"/>
  <c r="U222" i="6"/>
  <c r="W222" i="6"/>
  <c r="AA222" i="6"/>
  <c r="Q222" i="6"/>
  <c r="R222" i="6"/>
  <c r="P223" i="6"/>
  <c r="K223" i="6"/>
  <c r="L223" i="6"/>
  <c r="S223" i="6"/>
  <c r="T223" i="6"/>
  <c r="O223" i="6"/>
  <c r="U223" i="6"/>
  <c r="W223" i="6"/>
  <c r="AA223" i="6"/>
  <c r="Q223" i="6"/>
  <c r="R223" i="6"/>
  <c r="P224" i="6"/>
  <c r="K224" i="6"/>
  <c r="L224" i="6"/>
  <c r="S224" i="6"/>
  <c r="T224" i="6"/>
  <c r="O224" i="6"/>
  <c r="U224" i="6"/>
  <c r="W224" i="6"/>
  <c r="AA224" i="6"/>
  <c r="Q224" i="6"/>
  <c r="R224" i="6"/>
  <c r="P225" i="6"/>
  <c r="K225" i="6"/>
  <c r="L225" i="6"/>
  <c r="S225" i="6"/>
  <c r="T225" i="6"/>
  <c r="O225" i="6"/>
  <c r="U225" i="6"/>
  <c r="W225" i="6"/>
  <c r="AA225" i="6"/>
  <c r="Q225" i="6"/>
  <c r="R225" i="6"/>
  <c r="P226" i="6"/>
  <c r="K226" i="6"/>
  <c r="L226" i="6"/>
  <c r="S226" i="6"/>
  <c r="T226" i="6"/>
  <c r="O226" i="6"/>
  <c r="U226" i="6"/>
  <c r="W226" i="6"/>
  <c r="AA226" i="6"/>
  <c r="Q226" i="6"/>
  <c r="R226" i="6"/>
  <c r="P227" i="6"/>
  <c r="K227" i="6"/>
  <c r="L227" i="6"/>
  <c r="S227" i="6"/>
  <c r="T227" i="6"/>
  <c r="O227" i="6"/>
  <c r="U227" i="6"/>
  <c r="W227" i="6"/>
  <c r="AA227" i="6"/>
  <c r="Q227" i="6"/>
  <c r="R227" i="6"/>
  <c r="P228" i="6"/>
  <c r="K228" i="6"/>
  <c r="L228" i="6"/>
  <c r="S228" i="6"/>
  <c r="T228" i="6"/>
  <c r="O228" i="6"/>
  <c r="U228" i="6"/>
  <c r="W228" i="6"/>
  <c r="AA228" i="6"/>
  <c r="Q228" i="6"/>
  <c r="R228" i="6"/>
  <c r="P229" i="6"/>
  <c r="K229" i="6"/>
  <c r="L229" i="6"/>
  <c r="S229" i="6"/>
  <c r="T229" i="6"/>
  <c r="O229" i="6"/>
  <c r="U229" i="6"/>
  <c r="W229" i="6"/>
  <c r="AA229" i="6"/>
  <c r="Q229" i="6"/>
  <c r="R229" i="6"/>
  <c r="P230" i="6"/>
  <c r="K230" i="6"/>
  <c r="L230" i="6"/>
  <c r="S230" i="6"/>
  <c r="T230" i="6"/>
  <c r="O230" i="6"/>
  <c r="U230" i="6"/>
  <c r="W230" i="6"/>
  <c r="AA230" i="6"/>
  <c r="Q230" i="6"/>
  <c r="R230" i="6"/>
  <c r="P231" i="6"/>
  <c r="K231" i="6"/>
  <c r="L231" i="6"/>
  <c r="S231" i="6"/>
  <c r="T231" i="6"/>
  <c r="O231" i="6"/>
  <c r="U231" i="6"/>
  <c r="W231" i="6"/>
  <c r="AA231" i="6"/>
  <c r="Q231" i="6"/>
  <c r="R231" i="6"/>
  <c r="P232" i="6"/>
  <c r="K232" i="6"/>
  <c r="L232" i="6"/>
  <c r="S232" i="6"/>
  <c r="T232" i="6"/>
  <c r="O232" i="6"/>
  <c r="U232" i="6"/>
  <c r="W232" i="6"/>
  <c r="AA232" i="6"/>
  <c r="Q232" i="6"/>
  <c r="R232" i="6"/>
  <c r="P233" i="6"/>
  <c r="C57" i="6"/>
  <c r="K233" i="6"/>
  <c r="L233" i="6"/>
  <c r="S233" i="6"/>
  <c r="T233" i="6"/>
  <c r="O233" i="6"/>
  <c r="U233" i="6"/>
  <c r="W233" i="6"/>
  <c r="AA233" i="6"/>
  <c r="Q233" i="6"/>
  <c r="R233" i="6"/>
  <c r="P234" i="6"/>
  <c r="K234" i="6"/>
  <c r="L234" i="6"/>
  <c r="S234" i="6"/>
  <c r="T234" i="6"/>
  <c r="O234" i="6"/>
  <c r="U234" i="6"/>
  <c r="W234" i="6"/>
  <c r="AA234" i="6"/>
  <c r="Q234" i="6"/>
  <c r="R234" i="6"/>
  <c r="P235" i="6"/>
  <c r="K235" i="6"/>
  <c r="L235" i="6"/>
  <c r="S235" i="6"/>
  <c r="T235" i="6"/>
  <c r="O235" i="6"/>
  <c r="U235" i="6"/>
  <c r="W235" i="6"/>
  <c r="AA235" i="6"/>
  <c r="Q235" i="6"/>
  <c r="R235" i="6"/>
  <c r="P236" i="6"/>
  <c r="K236" i="6"/>
  <c r="L236" i="6"/>
  <c r="S236" i="6"/>
  <c r="T236" i="6"/>
  <c r="O236" i="6"/>
  <c r="U236" i="6"/>
  <c r="W236" i="6"/>
  <c r="AA236" i="6"/>
  <c r="Q236" i="6"/>
  <c r="R236" i="6"/>
  <c r="P237" i="6"/>
  <c r="K237" i="6"/>
  <c r="L237" i="6"/>
  <c r="S237" i="6"/>
  <c r="T237" i="6"/>
  <c r="O237" i="6"/>
  <c r="U237" i="6"/>
  <c r="W237" i="6"/>
  <c r="AA237" i="6"/>
  <c r="Q237" i="6"/>
  <c r="R237" i="6"/>
  <c r="P238" i="6"/>
  <c r="K238" i="6"/>
  <c r="L238" i="6"/>
  <c r="S238" i="6"/>
  <c r="T238" i="6"/>
  <c r="O238" i="6"/>
  <c r="U238" i="6"/>
  <c r="W238" i="6"/>
  <c r="AA238" i="6"/>
  <c r="Q238" i="6"/>
  <c r="R238" i="6"/>
  <c r="P239" i="6"/>
  <c r="K239" i="6"/>
  <c r="L239" i="6"/>
  <c r="S239" i="6"/>
  <c r="T239" i="6"/>
  <c r="O239" i="6"/>
  <c r="U239" i="6"/>
  <c r="W239" i="6"/>
  <c r="AA239" i="6"/>
  <c r="Q239" i="6"/>
  <c r="R239" i="6"/>
  <c r="P240" i="6"/>
  <c r="K240" i="6"/>
  <c r="L240" i="6"/>
  <c r="S240" i="6"/>
  <c r="T240" i="6"/>
  <c r="O240" i="6"/>
  <c r="U240" i="6"/>
  <c r="W240" i="6"/>
  <c r="AA240" i="6"/>
  <c r="Q240" i="6"/>
  <c r="R240" i="6"/>
  <c r="P241" i="6"/>
  <c r="K241" i="6"/>
  <c r="L241" i="6"/>
  <c r="S241" i="6"/>
  <c r="T241" i="6"/>
  <c r="O241" i="6"/>
  <c r="U241" i="6"/>
  <c r="W241" i="6"/>
  <c r="AA241" i="6"/>
  <c r="Q241" i="6"/>
  <c r="R241" i="6"/>
  <c r="P242" i="6"/>
  <c r="K242" i="6"/>
  <c r="L242" i="6"/>
  <c r="S242" i="6"/>
  <c r="T242" i="6"/>
  <c r="O242" i="6"/>
  <c r="U242" i="6"/>
  <c r="W242" i="6"/>
  <c r="AA242" i="6"/>
  <c r="Q242" i="6"/>
  <c r="R242" i="6"/>
  <c r="P243" i="6"/>
  <c r="K243" i="6"/>
  <c r="L243" i="6"/>
  <c r="S243" i="6"/>
  <c r="T243" i="6"/>
  <c r="O243" i="6"/>
  <c r="U243" i="6"/>
  <c r="W243" i="6"/>
  <c r="AA243" i="6"/>
  <c r="Q243" i="6"/>
  <c r="R243" i="6"/>
  <c r="P244" i="6"/>
  <c r="K244" i="6"/>
  <c r="L244" i="6"/>
  <c r="S244" i="6"/>
  <c r="T244" i="6"/>
  <c r="O244" i="6"/>
  <c r="U244" i="6"/>
  <c r="W244" i="6"/>
  <c r="AA244" i="6"/>
  <c r="E73" i="6"/>
  <c r="AK5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K69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K111" i="6"/>
  <c r="AK112" i="6"/>
  <c r="AK113" i="6"/>
  <c r="AK114" i="6"/>
  <c r="AK115" i="6"/>
  <c r="AK116" i="6"/>
  <c r="AK117" i="6"/>
  <c r="AK118" i="6"/>
  <c r="AK119" i="6"/>
  <c r="AK120" i="6"/>
  <c r="AK121" i="6"/>
  <c r="AK122" i="6"/>
  <c r="AK123" i="6"/>
  <c r="AK124" i="6"/>
  <c r="AF125" i="6"/>
  <c r="AK125" i="6"/>
  <c r="AF126" i="6"/>
  <c r="AK126" i="6"/>
  <c r="AF127" i="6"/>
  <c r="AK127" i="6"/>
  <c r="AF128" i="6"/>
  <c r="AK128" i="6"/>
  <c r="AF129" i="6"/>
  <c r="AK129" i="6"/>
  <c r="AF130" i="6"/>
  <c r="AK130" i="6"/>
  <c r="AF131" i="6"/>
  <c r="AK131" i="6"/>
  <c r="AF132" i="6"/>
  <c r="AK132" i="6"/>
  <c r="AF133" i="6"/>
  <c r="AK133" i="6"/>
  <c r="AF134" i="6"/>
  <c r="AK134" i="6"/>
  <c r="AF135" i="6"/>
  <c r="AK135" i="6"/>
  <c r="AF136" i="6"/>
  <c r="AK136" i="6"/>
  <c r="AF137" i="6"/>
  <c r="AK137" i="6"/>
  <c r="AF138" i="6"/>
  <c r="AK138" i="6"/>
  <c r="AF139" i="6"/>
  <c r="AK139" i="6"/>
  <c r="AF140" i="6"/>
  <c r="AK140" i="6"/>
  <c r="AF141" i="6"/>
  <c r="AK141" i="6"/>
  <c r="AF142" i="6"/>
  <c r="AK142" i="6"/>
  <c r="AF143" i="6"/>
  <c r="AK143" i="6"/>
  <c r="AF144" i="6"/>
  <c r="AK144" i="6"/>
  <c r="AF145" i="6"/>
  <c r="AK145" i="6"/>
  <c r="AF146" i="6"/>
  <c r="AK146" i="6"/>
  <c r="AF147" i="6"/>
  <c r="AK147" i="6"/>
  <c r="AF148" i="6"/>
  <c r="AK148" i="6"/>
  <c r="AF149" i="6"/>
  <c r="AK149" i="6"/>
  <c r="AF150" i="6"/>
  <c r="AK150" i="6"/>
  <c r="AF151" i="6"/>
  <c r="AK151" i="6"/>
  <c r="AF152" i="6"/>
  <c r="AK152" i="6"/>
  <c r="AF153" i="6"/>
  <c r="AK153" i="6"/>
  <c r="AF154" i="6"/>
  <c r="AK154" i="6"/>
  <c r="AF155" i="6"/>
  <c r="AK155" i="6"/>
  <c r="AF156" i="6"/>
  <c r="AK156" i="6"/>
  <c r="AF157" i="6"/>
  <c r="AK157" i="6"/>
  <c r="AF158" i="6"/>
  <c r="AK158" i="6"/>
  <c r="AF159" i="6"/>
  <c r="AK159" i="6"/>
  <c r="AF160" i="6"/>
  <c r="AK160" i="6"/>
  <c r="AF161" i="6"/>
  <c r="AK161" i="6"/>
  <c r="AF162" i="6"/>
  <c r="AK162" i="6"/>
  <c r="AF163" i="6"/>
  <c r="AK163" i="6"/>
  <c r="AF164" i="6"/>
  <c r="AK164" i="6"/>
  <c r="AF165" i="6"/>
  <c r="AK165" i="6"/>
  <c r="AF166" i="6"/>
  <c r="AK166" i="6"/>
  <c r="AF167" i="6"/>
  <c r="AK167" i="6"/>
  <c r="AF168" i="6"/>
  <c r="AK168" i="6"/>
  <c r="AF169" i="6"/>
  <c r="AK169" i="6"/>
  <c r="AF170" i="6"/>
  <c r="AK170" i="6"/>
  <c r="AF171" i="6"/>
  <c r="AK171" i="6"/>
  <c r="AF172" i="6"/>
  <c r="AK172" i="6"/>
  <c r="AF173" i="6"/>
  <c r="AK173" i="6"/>
  <c r="AF174" i="6"/>
  <c r="AK174" i="6"/>
  <c r="AF175" i="6"/>
  <c r="AK175" i="6"/>
  <c r="AF176" i="6"/>
  <c r="AK176" i="6"/>
  <c r="AF177" i="6"/>
  <c r="AK177" i="6"/>
  <c r="AF178" i="6"/>
  <c r="AK178" i="6"/>
  <c r="AF179" i="6"/>
  <c r="AK179" i="6"/>
  <c r="AF180" i="6"/>
  <c r="AK180" i="6"/>
  <c r="AF181" i="6"/>
  <c r="AK181" i="6"/>
  <c r="AF182" i="6"/>
  <c r="AK182" i="6"/>
  <c r="AF183" i="6"/>
  <c r="AK183" i="6"/>
  <c r="AF184" i="6"/>
  <c r="AK184" i="6"/>
  <c r="AF185" i="6"/>
  <c r="AK185" i="6"/>
  <c r="AF186" i="6"/>
  <c r="AK186" i="6"/>
  <c r="AF187" i="6"/>
  <c r="AK187" i="6"/>
  <c r="AF188" i="6"/>
  <c r="AK188" i="6"/>
  <c r="AF189" i="6"/>
  <c r="AK189" i="6"/>
  <c r="AF190" i="6"/>
  <c r="AK190" i="6"/>
  <c r="AF191" i="6"/>
  <c r="AK191" i="6"/>
  <c r="AF192" i="6"/>
  <c r="AK192" i="6"/>
  <c r="AF193" i="6"/>
  <c r="AK193" i="6"/>
  <c r="AF194" i="6"/>
  <c r="AK194" i="6"/>
  <c r="AF195" i="6"/>
  <c r="AK195" i="6"/>
  <c r="AF196" i="6"/>
  <c r="AK196" i="6"/>
  <c r="AF197" i="6"/>
  <c r="AK197" i="6"/>
  <c r="AF198" i="6"/>
  <c r="AK198" i="6"/>
  <c r="AF199" i="6"/>
  <c r="AK199" i="6"/>
  <c r="AF200" i="6"/>
  <c r="AK200" i="6"/>
  <c r="AF201" i="6"/>
  <c r="AK201" i="6"/>
  <c r="AF202" i="6"/>
  <c r="AK202" i="6"/>
  <c r="AF203" i="6"/>
  <c r="AK203" i="6"/>
  <c r="AF204" i="6"/>
  <c r="AK204" i="6"/>
  <c r="AF205" i="6"/>
  <c r="AK205" i="6"/>
  <c r="AF206" i="6"/>
  <c r="AK206" i="6"/>
  <c r="AF207" i="6"/>
  <c r="AK207" i="6"/>
  <c r="AF208" i="6"/>
  <c r="AK208" i="6"/>
  <c r="AF209" i="6"/>
  <c r="AK209" i="6"/>
  <c r="AF210" i="6"/>
  <c r="AK210" i="6"/>
  <c r="AF211" i="6"/>
  <c r="AK211" i="6"/>
  <c r="AF212" i="6"/>
  <c r="AK212" i="6"/>
  <c r="AF213" i="6"/>
  <c r="AK213" i="6"/>
  <c r="AF214" i="6"/>
  <c r="AK214" i="6"/>
  <c r="AF215" i="6"/>
  <c r="AK215" i="6"/>
  <c r="AF216" i="6"/>
  <c r="AK216" i="6"/>
  <c r="AF217" i="6"/>
  <c r="AK217" i="6"/>
  <c r="AF218" i="6"/>
  <c r="AK218" i="6"/>
  <c r="AF219" i="6"/>
  <c r="AK219" i="6"/>
  <c r="AF220" i="6"/>
  <c r="AK220" i="6"/>
  <c r="AF221" i="6"/>
  <c r="AK221" i="6"/>
  <c r="AF222" i="6"/>
  <c r="AK222" i="6"/>
  <c r="AF223" i="6"/>
  <c r="AK223" i="6"/>
  <c r="AF224" i="6"/>
  <c r="AK224" i="6"/>
  <c r="AF225" i="6"/>
  <c r="AK225" i="6"/>
  <c r="AF226" i="6"/>
  <c r="AK226" i="6"/>
  <c r="AF227" i="6"/>
  <c r="AK227" i="6"/>
  <c r="AF228" i="6"/>
  <c r="AK228" i="6"/>
  <c r="AF229" i="6"/>
  <c r="AK229" i="6"/>
  <c r="AF230" i="6"/>
  <c r="AK230" i="6"/>
  <c r="AF231" i="6"/>
  <c r="AK231" i="6"/>
  <c r="AF232" i="6"/>
  <c r="AK232" i="6"/>
  <c r="AF233" i="6"/>
  <c r="AK233" i="6"/>
  <c r="AF234" i="6"/>
  <c r="AK234" i="6"/>
  <c r="AF235" i="6"/>
  <c r="AK235" i="6"/>
  <c r="AF236" i="6"/>
  <c r="AK236" i="6"/>
  <c r="AF237" i="6"/>
  <c r="AK237" i="6"/>
  <c r="AF238" i="6"/>
  <c r="AK238" i="6"/>
  <c r="AF239" i="6"/>
  <c r="AK239" i="6"/>
  <c r="AF240" i="6"/>
  <c r="AK240" i="6"/>
  <c r="AF241" i="6"/>
  <c r="AK241" i="6"/>
  <c r="AF242" i="6"/>
  <c r="AK242" i="6"/>
  <c r="AF243" i="6"/>
  <c r="AK243" i="6"/>
  <c r="AF244" i="6"/>
  <c r="AK244" i="6"/>
  <c r="C73" i="6"/>
  <c r="X5" i="6"/>
  <c r="Y5" i="6"/>
  <c r="X6" i="6"/>
  <c r="Y6" i="6"/>
  <c r="X7" i="6"/>
  <c r="Y7" i="6"/>
  <c r="X8" i="6"/>
  <c r="Y8" i="6"/>
  <c r="X9" i="6"/>
  <c r="Y9" i="6"/>
  <c r="X10" i="6"/>
  <c r="Y10" i="6"/>
  <c r="X11" i="6"/>
  <c r="Y11" i="6"/>
  <c r="X12" i="6"/>
  <c r="Y12" i="6"/>
  <c r="X13" i="6"/>
  <c r="Y13" i="6"/>
  <c r="X14" i="6"/>
  <c r="Y14" i="6"/>
  <c r="X15" i="6"/>
  <c r="Y15" i="6"/>
  <c r="X16" i="6"/>
  <c r="Y16" i="6"/>
  <c r="X17" i="6"/>
  <c r="Y17" i="6"/>
  <c r="X18" i="6"/>
  <c r="Y18" i="6"/>
  <c r="X19" i="6"/>
  <c r="Y19" i="6"/>
  <c r="X20" i="6"/>
  <c r="Y20" i="6"/>
  <c r="X21" i="6"/>
  <c r="Y21" i="6"/>
  <c r="X22" i="6"/>
  <c r="Y22" i="6"/>
  <c r="X23" i="6"/>
  <c r="Y23" i="6"/>
  <c r="X24" i="6"/>
  <c r="Y24" i="6"/>
  <c r="X25" i="6"/>
  <c r="Y25" i="6"/>
  <c r="X26" i="6"/>
  <c r="Y26" i="6"/>
  <c r="X27" i="6"/>
  <c r="Y27" i="6"/>
  <c r="X28" i="6"/>
  <c r="Y28" i="6"/>
  <c r="X29" i="6"/>
  <c r="Y29" i="6"/>
  <c r="X30" i="6"/>
  <c r="Y30" i="6"/>
  <c r="X31" i="6"/>
  <c r="Y31" i="6"/>
  <c r="X32" i="6"/>
  <c r="Y32" i="6"/>
  <c r="X33" i="6"/>
  <c r="Y33" i="6"/>
  <c r="X34" i="6"/>
  <c r="Y34" i="6"/>
  <c r="X35" i="6"/>
  <c r="Y35" i="6"/>
  <c r="X36" i="6"/>
  <c r="Y36" i="6"/>
  <c r="X37" i="6"/>
  <c r="Y37" i="6"/>
  <c r="X38" i="6"/>
  <c r="Y38" i="6"/>
  <c r="X39" i="6"/>
  <c r="Y39" i="6"/>
  <c r="X40" i="6"/>
  <c r="Y40" i="6"/>
  <c r="X41" i="6"/>
  <c r="Y41" i="6"/>
  <c r="X42" i="6"/>
  <c r="Y42" i="6"/>
  <c r="X43" i="6"/>
  <c r="Y43" i="6"/>
  <c r="X44" i="6"/>
  <c r="Y44" i="6"/>
  <c r="X45" i="6"/>
  <c r="Y45" i="6"/>
  <c r="X46" i="6"/>
  <c r="Y46" i="6"/>
  <c r="X47" i="6"/>
  <c r="Y47" i="6"/>
  <c r="X48" i="6"/>
  <c r="Y48" i="6"/>
  <c r="X49" i="6"/>
  <c r="Y49" i="6"/>
  <c r="X50" i="6"/>
  <c r="Y50" i="6"/>
  <c r="X51" i="6"/>
  <c r="Y51" i="6"/>
  <c r="X52" i="6"/>
  <c r="Y52" i="6"/>
  <c r="X53" i="6"/>
  <c r="Y53" i="6"/>
  <c r="X54" i="6"/>
  <c r="Y54" i="6"/>
  <c r="X55" i="6"/>
  <c r="Y55" i="6"/>
  <c r="X56" i="6"/>
  <c r="Y56" i="6"/>
  <c r="X57" i="6"/>
  <c r="Y57" i="6"/>
  <c r="X58" i="6"/>
  <c r="Y58" i="6"/>
  <c r="X59" i="6"/>
  <c r="Y59" i="6"/>
  <c r="X60" i="6"/>
  <c r="Y60" i="6"/>
  <c r="X61" i="6"/>
  <c r="Y61" i="6"/>
  <c r="X62" i="6"/>
  <c r="Y62" i="6"/>
  <c r="X63" i="6"/>
  <c r="Y63" i="6"/>
  <c r="X64" i="6"/>
  <c r="Y64" i="6"/>
  <c r="X65" i="6"/>
  <c r="Y65" i="6"/>
  <c r="X66" i="6"/>
  <c r="Y66" i="6"/>
  <c r="X67" i="6"/>
  <c r="Y67" i="6"/>
  <c r="X68" i="6"/>
  <c r="Y68" i="6"/>
  <c r="X69" i="6"/>
  <c r="Y69" i="6"/>
  <c r="X70" i="6"/>
  <c r="Y70" i="6"/>
  <c r="X71" i="6"/>
  <c r="Y71" i="6"/>
  <c r="X72" i="6"/>
  <c r="Y72" i="6"/>
  <c r="X73" i="6"/>
  <c r="Y73" i="6"/>
  <c r="X74" i="6"/>
  <c r="Y74" i="6"/>
  <c r="X75" i="6"/>
  <c r="Y75" i="6"/>
  <c r="X76" i="6"/>
  <c r="Y76" i="6"/>
  <c r="X77" i="6"/>
  <c r="Y77" i="6"/>
  <c r="X78" i="6"/>
  <c r="Y78" i="6"/>
  <c r="X79" i="6"/>
  <c r="Y79" i="6"/>
  <c r="X80" i="6"/>
  <c r="Y80" i="6"/>
  <c r="X81" i="6"/>
  <c r="Y81" i="6"/>
  <c r="X82" i="6"/>
  <c r="Y82" i="6"/>
  <c r="X83" i="6"/>
  <c r="Y83" i="6"/>
  <c r="X84" i="6"/>
  <c r="Y84" i="6"/>
  <c r="X85" i="6"/>
  <c r="Y85" i="6"/>
  <c r="X86" i="6"/>
  <c r="Y86" i="6"/>
  <c r="X87" i="6"/>
  <c r="Y87" i="6"/>
  <c r="X88" i="6"/>
  <c r="Y88" i="6"/>
  <c r="X89" i="6"/>
  <c r="Y89" i="6"/>
  <c r="X90" i="6"/>
  <c r="Y90" i="6"/>
  <c r="X91" i="6"/>
  <c r="Y91" i="6"/>
  <c r="X92" i="6"/>
  <c r="Y92" i="6"/>
  <c r="X93" i="6"/>
  <c r="Y93" i="6"/>
  <c r="X94" i="6"/>
  <c r="Y94" i="6"/>
  <c r="X95" i="6"/>
  <c r="Y95" i="6"/>
  <c r="X96" i="6"/>
  <c r="Y96" i="6"/>
  <c r="X97" i="6"/>
  <c r="Y97" i="6"/>
  <c r="X98" i="6"/>
  <c r="Y98" i="6"/>
  <c r="X99" i="6"/>
  <c r="Y99" i="6"/>
  <c r="X100" i="6"/>
  <c r="Y100" i="6"/>
  <c r="X101" i="6"/>
  <c r="Y101" i="6"/>
  <c r="X102" i="6"/>
  <c r="Y102" i="6"/>
  <c r="X103" i="6"/>
  <c r="Y103" i="6"/>
  <c r="X104" i="6"/>
  <c r="Y104" i="6"/>
  <c r="X105" i="6"/>
  <c r="Y105" i="6"/>
  <c r="X106" i="6"/>
  <c r="Y106" i="6"/>
  <c r="X107" i="6"/>
  <c r="Y107" i="6"/>
  <c r="X108" i="6"/>
  <c r="Y108" i="6"/>
  <c r="X109" i="6"/>
  <c r="Y109" i="6"/>
  <c r="X110" i="6"/>
  <c r="Y110" i="6"/>
  <c r="X111" i="6"/>
  <c r="Y111" i="6"/>
  <c r="X112" i="6"/>
  <c r="Y112" i="6"/>
  <c r="X113" i="6"/>
  <c r="Y113" i="6"/>
  <c r="X114" i="6"/>
  <c r="Y114" i="6"/>
  <c r="X115" i="6"/>
  <c r="Y115" i="6"/>
  <c r="X116" i="6"/>
  <c r="Y116" i="6"/>
  <c r="X117" i="6"/>
  <c r="Y117" i="6"/>
  <c r="X118" i="6"/>
  <c r="Y118" i="6"/>
  <c r="X119" i="6"/>
  <c r="Y119" i="6"/>
  <c r="X120" i="6"/>
  <c r="Y120" i="6"/>
  <c r="X121" i="6"/>
  <c r="Y121" i="6"/>
  <c r="X122" i="6"/>
  <c r="Y122" i="6"/>
  <c r="X123" i="6"/>
  <c r="Y123" i="6"/>
  <c r="X124" i="6"/>
  <c r="Y124" i="6"/>
  <c r="X125" i="6"/>
  <c r="Y125" i="6"/>
  <c r="X126" i="6"/>
  <c r="Y126" i="6"/>
  <c r="X127" i="6"/>
  <c r="Y127" i="6"/>
  <c r="X128" i="6"/>
  <c r="Y128" i="6"/>
  <c r="X129" i="6"/>
  <c r="Y129" i="6"/>
  <c r="X130" i="6"/>
  <c r="Y130" i="6"/>
  <c r="X131" i="6"/>
  <c r="Y131" i="6"/>
  <c r="X132" i="6"/>
  <c r="Y132" i="6"/>
  <c r="X133" i="6"/>
  <c r="Y133" i="6"/>
  <c r="X134" i="6"/>
  <c r="Y134" i="6"/>
  <c r="X135" i="6"/>
  <c r="Y135" i="6"/>
  <c r="X136" i="6"/>
  <c r="Y136" i="6"/>
  <c r="X137" i="6"/>
  <c r="Y137" i="6"/>
  <c r="X138" i="6"/>
  <c r="Y138" i="6"/>
  <c r="X139" i="6"/>
  <c r="Y139" i="6"/>
  <c r="X140" i="6"/>
  <c r="Y140" i="6"/>
  <c r="X141" i="6"/>
  <c r="Y141" i="6"/>
  <c r="X142" i="6"/>
  <c r="Y142" i="6"/>
  <c r="X143" i="6"/>
  <c r="Y143" i="6"/>
  <c r="X144" i="6"/>
  <c r="Y144" i="6"/>
  <c r="X145" i="6"/>
  <c r="Y145" i="6"/>
  <c r="X146" i="6"/>
  <c r="Y146" i="6"/>
  <c r="X147" i="6"/>
  <c r="Y147" i="6"/>
  <c r="X148" i="6"/>
  <c r="Y148" i="6"/>
  <c r="X149" i="6"/>
  <c r="Y149" i="6"/>
  <c r="X150" i="6"/>
  <c r="Y150" i="6"/>
  <c r="X151" i="6"/>
  <c r="Y151" i="6"/>
  <c r="X152" i="6"/>
  <c r="Y152" i="6"/>
  <c r="X153" i="6"/>
  <c r="Y153" i="6"/>
  <c r="X154" i="6"/>
  <c r="Y154" i="6"/>
  <c r="X155" i="6"/>
  <c r="Y155" i="6"/>
  <c r="X156" i="6"/>
  <c r="Y156" i="6"/>
  <c r="X157" i="6"/>
  <c r="Y157" i="6"/>
  <c r="X158" i="6"/>
  <c r="Y158" i="6"/>
  <c r="X159" i="6"/>
  <c r="Y159" i="6"/>
  <c r="X160" i="6"/>
  <c r="Y160" i="6"/>
  <c r="X161" i="6"/>
  <c r="Y161" i="6"/>
  <c r="X162" i="6"/>
  <c r="Y162" i="6"/>
  <c r="X163" i="6"/>
  <c r="Y163" i="6"/>
  <c r="X164" i="6"/>
  <c r="Y164" i="6"/>
  <c r="X165" i="6"/>
  <c r="Y165" i="6"/>
  <c r="X166" i="6"/>
  <c r="Y166" i="6"/>
  <c r="X167" i="6"/>
  <c r="Y167" i="6"/>
  <c r="X168" i="6"/>
  <c r="Y168" i="6"/>
  <c r="X169" i="6"/>
  <c r="Y169" i="6"/>
  <c r="X170" i="6"/>
  <c r="Y170" i="6"/>
  <c r="X171" i="6"/>
  <c r="Y171" i="6"/>
  <c r="X172" i="6"/>
  <c r="Y172" i="6"/>
  <c r="X173" i="6"/>
  <c r="Y173" i="6"/>
  <c r="X174" i="6"/>
  <c r="Y174" i="6"/>
  <c r="X175" i="6"/>
  <c r="Y175" i="6"/>
  <c r="X176" i="6"/>
  <c r="Y176" i="6"/>
  <c r="X177" i="6"/>
  <c r="Y177" i="6"/>
  <c r="X178" i="6"/>
  <c r="Y178" i="6"/>
  <c r="X179" i="6"/>
  <c r="Y179" i="6"/>
  <c r="X180" i="6"/>
  <c r="Y180" i="6"/>
  <c r="X181" i="6"/>
  <c r="Y181" i="6"/>
  <c r="X182" i="6"/>
  <c r="Y182" i="6"/>
  <c r="X183" i="6"/>
  <c r="Y183" i="6"/>
  <c r="X184" i="6"/>
  <c r="Y184" i="6"/>
  <c r="X185" i="6"/>
  <c r="Y185" i="6"/>
  <c r="X186" i="6"/>
  <c r="Y186" i="6"/>
  <c r="X187" i="6"/>
  <c r="Y187" i="6"/>
  <c r="X188" i="6"/>
  <c r="Y188" i="6"/>
  <c r="X189" i="6"/>
  <c r="Y189" i="6"/>
  <c r="X190" i="6"/>
  <c r="Y190" i="6"/>
  <c r="X191" i="6"/>
  <c r="Y191" i="6"/>
  <c r="X192" i="6"/>
  <c r="Y192" i="6"/>
  <c r="X193" i="6"/>
  <c r="Y193" i="6"/>
  <c r="X194" i="6"/>
  <c r="Y194" i="6"/>
  <c r="X195" i="6"/>
  <c r="Y195" i="6"/>
  <c r="X196" i="6"/>
  <c r="Y196" i="6"/>
  <c r="X197" i="6"/>
  <c r="Y197" i="6"/>
  <c r="X198" i="6"/>
  <c r="Y198" i="6"/>
  <c r="X199" i="6"/>
  <c r="Y199" i="6"/>
  <c r="X200" i="6"/>
  <c r="Y200" i="6"/>
  <c r="X201" i="6"/>
  <c r="Y201" i="6"/>
  <c r="X202" i="6"/>
  <c r="Y202" i="6"/>
  <c r="X203" i="6"/>
  <c r="Y203" i="6"/>
  <c r="X204" i="6"/>
  <c r="Y204" i="6"/>
  <c r="X205" i="6"/>
  <c r="Y205" i="6"/>
  <c r="X206" i="6"/>
  <c r="Y206" i="6"/>
  <c r="X207" i="6"/>
  <c r="Y207" i="6"/>
  <c r="X208" i="6"/>
  <c r="Y208" i="6"/>
  <c r="X209" i="6"/>
  <c r="Y209" i="6"/>
  <c r="X210" i="6"/>
  <c r="Y210" i="6"/>
  <c r="X211" i="6"/>
  <c r="Y211" i="6"/>
  <c r="X212" i="6"/>
  <c r="Y212" i="6"/>
  <c r="X213" i="6"/>
  <c r="Y213" i="6"/>
  <c r="X214" i="6"/>
  <c r="Y214" i="6"/>
  <c r="X215" i="6"/>
  <c r="Y215" i="6"/>
  <c r="X216" i="6"/>
  <c r="Y216" i="6"/>
  <c r="X217" i="6"/>
  <c r="Y217" i="6"/>
  <c r="X218" i="6"/>
  <c r="Y218" i="6"/>
  <c r="X219" i="6"/>
  <c r="Y219" i="6"/>
  <c r="X220" i="6"/>
  <c r="Y220" i="6"/>
  <c r="X221" i="6"/>
  <c r="Y221" i="6"/>
  <c r="X222" i="6"/>
  <c r="Y222" i="6"/>
  <c r="X223" i="6"/>
  <c r="Y223" i="6"/>
  <c r="X224" i="6"/>
  <c r="Y224" i="6"/>
  <c r="X225" i="6"/>
  <c r="Y225" i="6"/>
  <c r="X226" i="6"/>
  <c r="Y226" i="6"/>
  <c r="X227" i="6"/>
  <c r="Y227" i="6"/>
  <c r="X228" i="6"/>
  <c r="Y228" i="6"/>
  <c r="X229" i="6"/>
  <c r="Y229" i="6"/>
  <c r="X230" i="6"/>
  <c r="Y230" i="6"/>
  <c r="X231" i="6"/>
  <c r="Y231" i="6"/>
  <c r="X232" i="6"/>
  <c r="Y232" i="6"/>
  <c r="X233" i="6"/>
  <c r="Y233" i="6"/>
  <c r="X234" i="6"/>
  <c r="Y234" i="6"/>
  <c r="X235" i="6"/>
  <c r="Y235" i="6"/>
  <c r="X236" i="6"/>
  <c r="Y236" i="6"/>
  <c r="X237" i="6"/>
  <c r="Y237" i="6"/>
  <c r="X238" i="6"/>
  <c r="Y238" i="6"/>
  <c r="X239" i="6"/>
  <c r="Y239" i="6"/>
  <c r="X240" i="6"/>
  <c r="Y240" i="6"/>
  <c r="X241" i="6"/>
  <c r="Y241" i="6"/>
  <c r="X242" i="6"/>
  <c r="Y242" i="6"/>
  <c r="X243" i="6"/>
  <c r="Y243" i="6"/>
  <c r="X244" i="6"/>
  <c r="Y244" i="6"/>
  <c r="E71" i="6"/>
  <c r="D71" i="6"/>
  <c r="E72" i="6"/>
  <c r="AH5" i="6"/>
  <c r="AH6" i="6"/>
  <c r="AH7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H64" i="6"/>
  <c r="AH65" i="6"/>
  <c r="AH66" i="6"/>
  <c r="AH67" i="6"/>
  <c r="AH68" i="6"/>
  <c r="AH69" i="6"/>
  <c r="AH70" i="6"/>
  <c r="AH71" i="6"/>
  <c r="AH72" i="6"/>
  <c r="AH73" i="6"/>
  <c r="AH74" i="6"/>
  <c r="AH75" i="6"/>
  <c r="AH76" i="6"/>
  <c r="AH77" i="6"/>
  <c r="AH78" i="6"/>
  <c r="AH79" i="6"/>
  <c r="AH80" i="6"/>
  <c r="AH81" i="6"/>
  <c r="AH82" i="6"/>
  <c r="AH83" i="6"/>
  <c r="AH84" i="6"/>
  <c r="AH85" i="6"/>
  <c r="AH86" i="6"/>
  <c r="AH87" i="6"/>
  <c r="AH88" i="6"/>
  <c r="AH89" i="6"/>
  <c r="AH90" i="6"/>
  <c r="AH91" i="6"/>
  <c r="AH92" i="6"/>
  <c r="AH93" i="6"/>
  <c r="AH94" i="6"/>
  <c r="AH95" i="6"/>
  <c r="AH96" i="6"/>
  <c r="AH97" i="6"/>
  <c r="AH98" i="6"/>
  <c r="AH99" i="6"/>
  <c r="AH100" i="6"/>
  <c r="AH101" i="6"/>
  <c r="AH102" i="6"/>
  <c r="AH103" i="6"/>
  <c r="AH104" i="6"/>
  <c r="AH105" i="6"/>
  <c r="AH106" i="6"/>
  <c r="AH107" i="6"/>
  <c r="AH108" i="6"/>
  <c r="AH109" i="6"/>
  <c r="AH110" i="6"/>
  <c r="AH111" i="6"/>
  <c r="AH112" i="6"/>
  <c r="AH113" i="6"/>
  <c r="AH114" i="6"/>
  <c r="AH115" i="6"/>
  <c r="AH116" i="6"/>
  <c r="AH117" i="6"/>
  <c r="AH118" i="6"/>
  <c r="AH119" i="6"/>
  <c r="AH120" i="6"/>
  <c r="AH121" i="6"/>
  <c r="AH122" i="6"/>
  <c r="AH123" i="6"/>
  <c r="AH124" i="6"/>
  <c r="AH125" i="6"/>
  <c r="AH126" i="6"/>
  <c r="AH127" i="6"/>
  <c r="AH128" i="6"/>
  <c r="AH129" i="6"/>
  <c r="AH130" i="6"/>
  <c r="AH131" i="6"/>
  <c r="AH132" i="6"/>
  <c r="AH133" i="6"/>
  <c r="AH134" i="6"/>
  <c r="AH135" i="6"/>
  <c r="AH136" i="6"/>
  <c r="AH137" i="6"/>
  <c r="AH138" i="6"/>
  <c r="AH139" i="6"/>
  <c r="AH140" i="6"/>
  <c r="AH141" i="6"/>
  <c r="AH142" i="6"/>
  <c r="AH143" i="6"/>
  <c r="AH144" i="6"/>
  <c r="AH145" i="6"/>
  <c r="AH146" i="6"/>
  <c r="AH147" i="6"/>
  <c r="AH148" i="6"/>
  <c r="AH149" i="6"/>
  <c r="AH150" i="6"/>
  <c r="AH151" i="6"/>
  <c r="AH152" i="6"/>
  <c r="AH153" i="6"/>
  <c r="AH154" i="6"/>
  <c r="AH155" i="6"/>
  <c r="AH156" i="6"/>
  <c r="AH157" i="6"/>
  <c r="AH158" i="6"/>
  <c r="AH159" i="6"/>
  <c r="AH160" i="6"/>
  <c r="AH161" i="6"/>
  <c r="AH162" i="6"/>
  <c r="AH163" i="6"/>
  <c r="AH164" i="6"/>
  <c r="AH165" i="6"/>
  <c r="AH166" i="6"/>
  <c r="AH167" i="6"/>
  <c r="AH168" i="6"/>
  <c r="AH169" i="6"/>
  <c r="AH170" i="6"/>
  <c r="AH171" i="6"/>
  <c r="AH172" i="6"/>
  <c r="AH173" i="6"/>
  <c r="AH174" i="6"/>
  <c r="AH175" i="6"/>
  <c r="AH176" i="6"/>
  <c r="AH177" i="6"/>
  <c r="AH178" i="6"/>
  <c r="AH179" i="6"/>
  <c r="AH180" i="6"/>
  <c r="AH181" i="6"/>
  <c r="AH182" i="6"/>
  <c r="AH183" i="6"/>
  <c r="AH184" i="6"/>
  <c r="AH185" i="6"/>
  <c r="AH186" i="6"/>
  <c r="AH187" i="6"/>
  <c r="AH188" i="6"/>
  <c r="AH189" i="6"/>
  <c r="AH190" i="6"/>
  <c r="AH191" i="6"/>
  <c r="AH192" i="6"/>
  <c r="AH193" i="6"/>
  <c r="AH194" i="6"/>
  <c r="AH195" i="6"/>
  <c r="AH196" i="6"/>
  <c r="AH197" i="6"/>
  <c r="AH198" i="6"/>
  <c r="AH199" i="6"/>
  <c r="AH200" i="6"/>
  <c r="AH201" i="6"/>
  <c r="AH202" i="6"/>
  <c r="AH203" i="6"/>
  <c r="AH204" i="6"/>
  <c r="AH205" i="6"/>
  <c r="AH206" i="6"/>
  <c r="AH207" i="6"/>
  <c r="AH208" i="6"/>
  <c r="AH209" i="6"/>
  <c r="AH210" i="6"/>
  <c r="AH211" i="6"/>
  <c r="AH212" i="6"/>
  <c r="AH213" i="6"/>
  <c r="AH214" i="6"/>
  <c r="AH215" i="6"/>
  <c r="AH216" i="6"/>
  <c r="AH217" i="6"/>
  <c r="AH218" i="6"/>
  <c r="AH219" i="6"/>
  <c r="AH220" i="6"/>
  <c r="AH221" i="6"/>
  <c r="AH222" i="6"/>
  <c r="AH223" i="6"/>
  <c r="AH224" i="6"/>
  <c r="AH225" i="6"/>
  <c r="AH226" i="6"/>
  <c r="AH227" i="6"/>
  <c r="AH228" i="6"/>
  <c r="AH229" i="6"/>
  <c r="AH230" i="6"/>
  <c r="AH231" i="6"/>
  <c r="AH232" i="6"/>
  <c r="AH233" i="6"/>
  <c r="AH234" i="6"/>
  <c r="AH235" i="6"/>
  <c r="AH236" i="6"/>
  <c r="AH237" i="6"/>
  <c r="AH238" i="6"/>
  <c r="AH239" i="6"/>
  <c r="AH240" i="6"/>
  <c r="AH241" i="6"/>
  <c r="AH242" i="6"/>
  <c r="AH243" i="6"/>
  <c r="AH244" i="6"/>
  <c r="C72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3" i="6"/>
  <c r="Z134" i="6"/>
  <c r="Z135" i="6"/>
  <c r="Z136" i="6"/>
  <c r="Z137" i="6"/>
  <c r="Z138" i="6"/>
  <c r="Z139" i="6"/>
  <c r="Z140" i="6"/>
  <c r="Z141" i="6"/>
  <c r="Z142" i="6"/>
  <c r="Z143" i="6"/>
  <c r="Z144" i="6"/>
  <c r="Z145" i="6"/>
  <c r="Z146" i="6"/>
  <c r="Z147" i="6"/>
  <c r="Z148" i="6"/>
  <c r="Z149" i="6"/>
  <c r="Z150" i="6"/>
  <c r="Z151" i="6"/>
  <c r="Z152" i="6"/>
  <c r="Z153" i="6"/>
  <c r="Z154" i="6"/>
  <c r="Z155" i="6"/>
  <c r="Z156" i="6"/>
  <c r="Z157" i="6"/>
  <c r="Z158" i="6"/>
  <c r="Z159" i="6"/>
  <c r="Z160" i="6"/>
  <c r="Z161" i="6"/>
  <c r="Z162" i="6"/>
  <c r="Z163" i="6"/>
  <c r="Z164" i="6"/>
  <c r="Z165" i="6"/>
  <c r="Z166" i="6"/>
  <c r="Z167" i="6"/>
  <c r="Z168" i="6"/>
  <c r="Z169" i="6"/>
  <c r="Z170" i="6"/>
  <c r="Z171" i="6"/>
  <c r="Z172" i="6"/>
  <c r="Z173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188" i="6"/>
  <c r="Z189" i="6"/>
  <c r="Z190" i="6"/>
  <c r="Z191" i="6"/>
  <c r="Z192" i="6"/>
  <c r="Z193" i="6"/>
  <c r="Z194" i="6"/>
  <c r="Z195" i="6"/>
  <c r="Z196" i="6"/>
  <c r="Z197" i="6"/>
  <c r="Z198" i="6"/>
  <c r="Z199" i="6"/>
  <c r="Z200" i="6"/>
  <c r="Z201" i="6"/>
  <c r="Z202" i="6"/>
  <c r="Z203" i="6"/>
  <c r="Z204" i="6"/>
  <c r="Z205" i="6"/>
  <c r="Z206" i="6"/>
  <c r="Z207" i="6"/>
  <c r="Z208" i="6"/>
  <c r="Z209" i="6"/>
  <c r="Z210" i="6"/>
  <c r="Z211" i="6"/>
  <c r="Z212" i="6"/>
  <c r="Z213" i="6"/>
  <c r="Z214" i="6"/>
  <c r="Z215" i="6"/>
  <c r="Z216" i="6"/>
  <c r="Z217" i="6"/>
  <c r="Z218" i="6"/>
  <c r="Z219" i="6"/>
  <c r="Z220" i="6"/>
  <c r="Z221" i="6"/>
  <c r="Z222" i="6"/>
  <c r="Z223" i="6"/>
  <c r="Z224" i="6"/>
  <c r="Z225" i="6"/>
  <c r="Z226" i="6"/>
  <c r="Z227" i="6"/>
  <c r="Z228" i="6"/>
  <c r="Z229" i="6"/>
  <c r="Z230" i="6"/>
  <c r="Z231" i="6"/>
  <c r="Z232" i="6"/>
  <c r="Z233" i="6"/>
  <c r="Z234" i="6"/>
  <c r="Z235" i="6"/>
  <c r="Z236" i="6"/>
  <c r="Z237" i="6"/>
  <c r="Z238" i="6"/>
  <c r="Z239" i="6"/>
  <c r="Z240" i="6"/>
  <c r="Z241" i="6"/>
  <c r="Z242" i="6"/>
  <c r="Z243" i="6"/>
  <c r="Z244" i="6"/>
  <c r="E74" i="6"/>
  <c r="G237" i="6"/>
  <c r="G225" i="6"/>
  <c r="G213" i="6"/>
  <c r="G201" i="6"/>
  <c r="G189" i="6"/>
  <c r="G177" i="6"/>
  <c r="G165" i="6"/>
  <c r="G153" i="6"/>
  <c r="G9" i="6"/>
  <c r="G21" i="6"/>
  <c r="G33" i="6"/>
  <c r="G45" i="6"/>
  <c r="G57" i="6"/>
  <c r="G69" i="6"/>
  <c r="G81" i="6"/>
  <c r="G93" i="6"/>
  <c r="G105" i="6"/>
  <c r="G117" i="6"/>
  <c r="G129" i="6"/>
  <c r="G141" i="6"/>
  <c r="G233" i="6"/>
  <c r="G236" i="6"/>
  <c r="G221" i="6"/>
  <c r="G224" i="6"/>
  <c r="G209" i="6"/>
  <c r="G212" i="6"/>
  <c r="G197" i="6"/>
  <c r="G200" i="6"/>
  <c r="G185" i="6"/>
  <c r="G188" i="6"/>
  <c r="G173" i="6"/>
  <c r="G176" i="6"/>
  <c r="G161" i="6"/>
  <c r="G164" i="6"/>
  <c r="G149" i="6"/>
  <c r="G152" i="6"/>
  <c r="G137" i="6"/>
  <c r="G125" i="6"/>
  <c r="G127" i="6"/>
  <c r="G140" i="6"/>
  <c r="G5" i="6"/>
  <c r="G17" i="6"/>
  <c r="G19" i="6"/>
  <c r="G29" i="6"/>
  <c r="G31" i="6"/>
  <c r="G41" i="6"/>
  <c r="G43" i="6"/>
  <c r="G53" i="6"/>
  <c r="G55" i="6"/>
  <c r="G65" i="6"/>
  <c r="G67" i="6"/>
  <c r="G77" i="6"/>
  <c r="G79" i="6"/>
  <c r="G89" i="6"/>
  <c r="G91" i="6"/>
  <c r="AI5" i="6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31" i="6"/>
  <c r="AI32" i="6"/>
  <c r="AI33" i="6"/>
  <c r="AI34" i="6"/>
  <c r="AI35" i="6"/>
  <c r="AI36" i="6"/>
  <c r="AI37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Z246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I64" i="6"/>
  <c r="AI65" i="6"/>
  <c r="AI66" i="6"/>
  <c r="AI67" i="6"/>
  <c r="AI68" i="6"/>
  <c r="AI69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6" i="6"/>
  <c r="AI97" i="6"/>
  <c r="AI98" i="6"/>
  <c r="AI99" i="6"/>
  <c r="AI100" i="6"/>
  <c r="AI101" i="6"/>
  <c r="AI102" i="6"/>
  <c r="AI103" i="6"/>
  <c r="AI104" i="6"/>
  <c r="AI105" i="6"/>
  <c r="AI106" i="6"/>
  <c r="AI107" i="6"/>
  <c r="AI108" i="6"/>
  <c r="AI109" i="6"/>
  <c r="AI110" i="6"/>
  <c r="AI111" i="6"/>
  <c r="AI112" i="6"/>
  <c r="AI113" i="6"/>
  <c r="AI114" i="6"/>
  <c r="AI115" i="6"/>
  <c r="AI116" i="6"/>
  <c r="AI117" i="6"/>
  <c r="AI118" i="6"/>
  <c r="AI119" i="6"/>
  <c r="AI120" i="6"/>
  <c r="AI121" i="6"/>
  <c r="AI122" i="6"/>
  <c r="AI123" i="6"/>
  <c r="AI124" i="6"/>
  <c r="AI125" i="6"/>
  <c r="AI126" i="6"/>
  <c r="AI127" i="6"/>
  <c r="AI128" i="6"/>
  <c r="AI129" i="6"/>
  <c r="AI130" i="6"/>
  <c r="AI131" i="6"/>
  <c r="AI132" i="6"/>
  <c r="AI133" i="6"/>
  <c r="AI134" i="6"/>
  <c r="AI135" i="6"/>
  <c r="AI136" i="6"/>
  <c r="AI137" i="6"/>
  <c r="AI138" i="6"/>
  <c r="AI139" i="6"/>
  <c r="AI140" i="6"/>
  <c r="AI141" i="6"/>
  <c r="AI142" i="6"/>
  <c r="AI143" i="6"/>
  <c r="AI144" i="6"/>
  <c r="AI145" i="6"/>
  <c r="AI146" i="6"/>
  <c r="AI147" i="6"/>
  <c r="AI148" i="6"/>
  <c r="AI149" i="6"/>
  <c r="AI150" i="6"/>
  <c r="AI151" i="6"/>
  <c r="AI152" i="6"/>
  <c r="AI153" i="6"/>
  <c r="AI154" i="6"/>
  <c r="AI155" i="6"/>
  <c r="AI156" i="6"/>
  <c r="AI157" i="6"/>
  <c r="AI158" i="6"/>
  <c r="AI159" i="6"/>
  <c r="AI160" i="6"/>
  <c r="AI161" i="6"/>
  <c r="AI162" i="6"/>
  <c r="AI163" i="6"/>
  <c r="AI164" i="6"/>
  <c r="AI165" i="6"/>
  <c r="AI166" i="6"/>
  <c r="AI167" i="6"/>
  <c r="AI168" i="6"/>
  <c r="AI169" i="6"/>
  <c r="AI170" i="6"/>
  <c r="AI171" i="6"/>
  <c r="AI172" i="6"/>
  <c r="AI173" i="6"/>
  <c r="AI174" i="6"/>
  <c r="AI175" i="6"/>
  <c r="AI176" i="6"/>
  <c r="AI177" i="6"/>
  <c r="AI178" i="6"/>
  <c r="AI179" i="6"/>
  <c r="AI180" i="6"/>
  <c r="AI181" i="6"/>
  <c r="AI182" i="6"/>
  <c r="AI183" i="6"/>
  <c r="AI184" i="6"/>
  <c r="AI185" i="6"/>
  <c r="AI186" i="6"/>
  <c r="AI187" i="6"/>
  <c r="AI188" i="6"/>
  <c r="AI189" i="6"/>
  <c r="AI190" i="6"/>
  <c r="AI191" i="6"/>
  <c r="AI192" i="6"/>
  <c r="AI193" i="6"/>
  <c r="AI194" i="6"/>
  <c r="AI195" i="6"/>
  <c r="AI196" i="6"/>
  <c r="AI197" i="6"/>
  <c r="AI198" i="6"/>
  <c r="AI199" i="6"/>
  <c r="AI200" i="6"/>
  <c r="AI201" i="6"/>
  <c r="AI202" i="6"/>
  <c r="AI203" i="6"/>
  <c r="AI204" i="6"/>
  <c r="AI205" i="6"/>
  <c r="AI206" i="6"/>
  <c r="AI207" i="6"/>
  <c r="AI208" i="6"/>
  <c r="AI209" i="6"/>
  <c r="AI210" i="6"/>
  <c r="AI211" i="6"/>
  <c r="AI212" i="6"/>
  <c r="AI213" i="6"/>
  <c r="AI214" i="6"/>
  <c r="AI215" i="6"/>
  <c r="AI216" i="6"/>
  <c r="AI217" i="6"/>
  <c r="AI218" i="6"/>
  <c r="AI219" i="6"/>
  <c r="AI220" i="6"/>
  <c r="AI221" i="6"/>
  <c r="AI222" i="6"/>
  <c r="AI223" i="6"/>
  <c r="AI224" i="6"/>
  <c r="AI225" i="6"/>
  <c r="AI226" i="6"/>
  <c r="AI227" i="6"/>
  <c r="AI228" i="6"/>
  <c r="AI229" i="6"/>
  <c r="AI230" i="6"/>
  <c r="AI231" i="6"/>
  <c r="AI232" i="6"/>
  <c r="AI233" i="6"/>
  <c r="AI234" i="6"/>
  <c r="AI235" i="6"/>
  <c r="AI236" i="6"/>
  <c r="AI237" i="6"/>
  <c r="AI238" i="6"/>
  <c r="AI239" i="6"/>
  <c r="AI240" i="6"/>
  <c r="AI241" i="6"/>
  <c r="AI242" i="6"/>
  <c r="AI243" i="6"/>
  <c r="AI244" i="6"/>
  <c r="C71" i="6"/>
  <c r="AN5" i="6"/>
  <c r="Q244" i="6"/>
  <c r="R244" i="6"/>
  <c r="AN25" i="6"/>
  <c r="AN24" i="6"/>
  <c r="AN23" i="6"/>
  <c r="AN22" i="6"/>
  <c r="AN21" i="6"/>
  <c r="AN20" i="6"/>
  <c r="AN19" i="6"/>
  <c r="AN18" i="6"/>
  <c r="AN17" i="6"/>
  <c r="AN16" i="6"/>
  <c r="AN15" i="6"/>
  <c r="AN14" i="6"/>
  <c r="AN13" i="6"/>
  <c r="AN12" i="6"/>
  <c r="AN11" i="6"/>
  <c r="AN10" i="6"/>
  <c r="AN9" i="6"/>
  <c r="AN8" i="6"/>
  <c r="AN7" i="6"/>
  <c r="AN6" i="6"/>
  <c r="AM6" i="6"/>
  <c r="E70" i="6"/>
  <c r="AM7" i="6"/>
  <c r="AM8" i="6"/>
  <c r="AM9" i="6"/>
  <c r="AM10" i="6"/>
  <c r="AM11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5" i="6"/>
  <c r="C70" i="6"/>
  <c r="G101" i="6"/>
  <c r="G103" i="6"/>
  <c r="G113" i="6"/>
  <c r="G115" i="6"/>
  <c r="J245" i="6"/>
  <c r="C6" i="6"/>
  <c r="C35" i="6"/>
</calcChain>
</file>

<file path=xl/comments1.xml><?xml version="1.0" encoding="utf-8"?>
<comments xmlns="http://schemas.openxmlformats.org/spreadsheetml/2006/main">
  <authors>
    <author>O. P.</author>
  </authors>
  <commentList>
    <comment ref="G4" authorId="0">
      <text>
        <r>
          <rPr>
            <b/>
            <sz val="9"/>
            <color indexed="81"/>
            <rFont val="Calibri"/>
            <family val="2"/>
            <charset val="238"/>
          </rPr>
          <t>O. P.:</t>
        </r>
        <r>
          <rPr>
            <sz val="9"/>
            <color indexed="81"/>
            <rFont val="Calibri"/>
            <family val="2"/>
            <charset val="238"/>
          </rPr>
          <t xml:space="preserve">
This determines which tax rate to apply. Loss can be carried forward to up to 6 years.
Manual readjustment of the loss carried forward might be needed after modifying input parameters.</t>
        </r>
      </text>
    </comment>
    <comment ref="S4" authorId="0">
      <text>
        <r>
          <rPr>
            <b/>
            <sz val="9"/>
            <color indexed="81"/>
            <rFont val="Calibri"/>
            <family val="2"/>
            <charset val="238"/>
          </rPr>
          <t>O. P.:</t>
        </r>
        <r>
          <rPr>
            <sz val="9"/>
            <color indexed="81"/>
            <rFont val="Calibri"/>
            <family val="2"/>
            <charset val="238"/>
          </rPr>
          <t xml:space="preserve">
Earnings Before Taxes</t>
        </r>
      </text>
    </comment>
    <comment ref="W4" authorId="0">
      <text>
        <r>
          <rPr>
            <b/>
            <sz val="9"/>
            <color indexed="81"/>
            <rFont val="Calibri"/>
            <family val="2"/>
            <charset val="238"/>
          </rPr>
          <t>O. P.:</t>
        </r>
        <r>
          <rPr>
            <sz val="9"/>
            <color indexed="81"/>
            <rFont val="Calibri"/>
            <family val="2"/>
            <charset val="238"/>
          </rPr>
          <t xml:space="preserve">
Future Cash Flow</t>
        </r>
      </text>
    </comment>
    <comment ref="X4" authorId="0">
      <text>
        <r>
          <rPr>
            <b/>
            <sz val="9"/>
            <color indexed="81"/>
            <rFont val="Calibri"/>
            <family val="2"/>
            <charset val="238"/>
          </rPr>
          <t>O. P.:</t>
        </r>
        <r>
          <rPr>
            <sz val="9"/>
            <color indexed="81"/>
            <rFont val="Calibri"/>
            <family val="2"/>
            <charset val="238"/>
          </rPr>
          <t xml:space="preserve">
Discounted Future Cash Flow</t>
        </r>
      </text>
    </comment>
    <comment ref="AC4" authorId="0">
      <text>
        <r>
          <rPr>
            <b/>
            <sz val="9"/>
            <color indexed="81"/>
            <rFont val="Calibri"/>
            <family val="2"/>
            <charset val="238"/>
          </rPr>
          <t>O. P.:</t>
        </r>
        <r>
          <rPr>
            <sz val="9"/>
            <color indexed="81"/>
            <rFont val="Calibri"/>
            <family val="2"/>
            <charset val="238"/>
          </rPr>
          <t xml:space="preserve">
Earnings Before Taxes</t>
        </r>
      </text>
    </comment>
    <comment ref="AM4" authorId="0">
      <text>
        <r>
          <rPr>
            <b/>
            <sz val="9"/>
            <color indexed="81"/>
            <rFont val="Calibri"/>
            <family val="2"/>
            <charset val="238"/>
          </rPr>
          <t>O. P.:</t>
        </r>
        <r>
          <rPr>
            <sz val="9"/>
            <color indexed="81"/>
            <rFont val="Calibri"/>
            <family val="2"/>
            <charset val="238"/>
          </rPr>
          <t xml:space="preserve">
In order to avoid multiple IRR resulting from ocassional negative monthly CF, sums of CF for each year (1-20) were calculated in this column and a single IRR was calctulated from these.</t>
        </r>
      </text>
    </comment>
    <comment ref="AN4" authorId="0">
      <text>
        <r>
          <rPr>
            <b/>
            <sz val="9"/>
            <color indexed="81"/>
            <rFont val="Calibri"/>
            <family val="2"/>
            <charset val="238"/>
          </rPr>
          <t>O. P.:</t>
        </r>
        <r>
          <rPr>
            <sz val="9"/>
            <color indexed="81"/>
            <rFont val="Calibri"/>
            <family val="2"/>
            <charset val="238"/>
          </rPr>
          <t xml:space="preserve">
Calculated IRR is only valid if all cells between AN5 and AN24 are positive numbers</t>
        </r>
      </text>
    </comment>
    <comment ref="B9" authorId="0">
      <text>
        <r>
          <rPr>
            <b/>
            <sz val="9"/>
            <color indexed="81"/>
            <rFont val="Calibri"/>
            <family val="2"/>
            <charset val="238"/>
          </rPr>
          <t>O. P.:</t>
        </r>
        <r>
          <rPr>
            <sz val="9"/>
            <color indexed="81"/>
            <rFont val="Calibri"/>
            <family val="2"/>
            <charset val="238"/>
          </rPr>
          <t xml:space="preserve">
Does not generate costs in the first 10 years. Then gradually reflected in costs in the next 10 years.</t>
        </r>
      </text>
    </comment>
    <comment ref="C11" authorId="0">
      <text>
        <r>
          <rPr>
            <b/>
            <sz val="9"/>
            <color indexed="81"/>
            <rFont val="Calibri"/>
            <family val="2"/>
            <charset val="238"/>
          </rPr>
          <t>O. P.:</t>
        </r>
        <r>
          <rPr>
            <sz val="9"/>
            <color indexed="81"/>
            <rFont val="Calibri"/>
            <family val="2"/>
            <charset val="238"/>
          </rPr>
          <t xml:space="preserve">
</t>
        </r>
        <r>
          <rPr>
            <b/>
            <sz val="9"/>
            <color indexed="81"/>
            <rFont val="Calibri"/>
            <family val="2"/>
            <charset val="238"/>
          </rPr>
          <t>Please enter a share of debt finance on the total investment.</t>
        </r>
        <r>
          <rPr>
            <sz val="9"/>
            <color indexed="81"/>
            <rFont val="Calibri"/>
            <family val="2"/>
            <charset val="238"/>
          </rPr>
          <t xml:space="preserve">
Income Tax Rate might need to be readjusted manually when using a combination of Debt and Equity finance.</t>
        </r>
      </text>
    </comment>
    <comment ref="E70" authorId="0">
      <text>
        <r>
          <rPr>
            <b/>
            <sz val="9"/>
            <color indexed="81"/>
            <rFont val="Calibri"/>
            <family val="2"/>
            <charset val="238"/>
          </rPr>
          <t>O. P.:</t>
        </r>
        <r>
          <rPr>
            <sz val="9"/>
            <color indexed="81"/>
            <rFont val="Calibri"/>
            <family val="2"/>
            <charset val="238"/>
          </rPr>
          <t xml:space="preserve">
Calculated IRR is only guaranteed to be valid if all cells between AN6 and AN24 are positive numbers</t>
        </r>
      </text>
    </comment>
  </commentList>
</comments>
</file>

<file path=xl/comments2.xml><?xml version="1.0" encoding="utf-8"?>
<comments xmlns="http://schemas.openxmlformats.org/spreadsheetml/2006/main">
  <authors>
    <author>O. P.</author>
  </authors>
  <commentList>
    <comment ref="G4" authorId="0">
      <text>
        <r>
          <rPr>
            <b/>
            <sz val="9"/>
            <color indexed="81"/>
            <rFont val="Calibri"/>
            <family val="2"/>
            <charset val="238"/>
          </rPr>
          <t>O. P.:</t>
        </r>
        <r>
          <rPr>
            <sz val="9"/>
            <color indexed="81"/>
            <rFont val="Calibri"/>
            <family val="2"/>
            <charset val="238"/>
          </rPr>
          <t xml:space="preserve">
This determines which tax rate to apply. Loss can be carried forward to up to 6 years.
Manual readjustment of the loss carried forward might be needed after modifying input parameters.</t>
        </r>
      </text>
    </comment>
    <comment ref="S4" authorId="0">
      <text>
        <r>
          <rPr>
            <b/>
            <sz val="9"/>
            <color indexed="81"/>
            <rFont val="Calibri"/>
            <family val="2"/>
            <charset val="238"/>
          </rPr>
          <t>O. P.:</t>
        </r>
        <r>
          <rPr>
            <sz val="9"/>
            <color indexed="81"/>
            <rFont val="Calibri"/>
            <family val="2"/>
            <charset val="238"/>
          </rPr>
          <t xml:space="preserve">
Earnings Before Taxes</t>
        </r>
      </text>
    </comment>
    <comment ref="W4" authorId="0">
      <text>
        <r>
          <rPr>
            <b/>
            <sz val="9"/>
            <color indexed="81"/>
            <rFont val="Calibri"/>
            <family val="2"/>
            <charset val="238"/>
          </rPr>
          <t>O. P.:</t>
        </r>
        <r>
          <rPr>
            <sz val="9"/>
            <color indexed="81"/>
            <rFont val="Calibri"/>
            <family val="2"/>
            <charset val="238"/>
          </rPr>
          <t xml:space="preserve">
Future Cash Flow</t>
        </r>
      </text>
    </comment>
    <comment ref="X4" authorId="0">
      <text>
        <r>
          <rPr>
            <b/>
            <sz val="9"/>
            <color indexed="81"/>
            <rFont val="Calibri"/>
            <family val="2"/>
            <charset val="238"/>
          </rPr>
          <t>O. P.:</t>
        </r>
        <r>
          <rPr>
            <sz val="9"/>
            <color indexed="81"/>
            <rFont val="Calibri"/>
            <family val="2"/>
            <charset val="238"/>
          </rPr>
          <t xml:space="preserve">
Discounted Future Cash Flow</t>
        </r>
      </text>
    </comment>
    <comment ref="AC4" authorId="0">
      <text>
        <r>
          <rPr>
            <b/>
            <sz val="9"/>
            <color indexed="81"/>
            <rFont val="Calibri"/>
            <family val="2"/>
            <charset val="238"/>
          </rPr>
          <t>O. P.:</t>
        </r>
        <r>
          <rPr>
            <sz val="9"/>
            <color indexed="81"/>
            <rFont val="Calibri"/>
            <family val="2"/>
            <charset val="238"/>
          </rPr>
          <t xml:space="preserve">
Earnings Before Taxes</t>
        </r>
      </text>
    </comment>
    <comment ref="AM4" authorId="0">
      <text>
        <r>
          <rPr>
            <b/>
            <sz val="9"/>
            <color indexed="81"/>
            <rFont val="Calibri"/>
            <family val="2"/>
            <charset val="238"/>
          </rPr>
          <t>O. P.:</t>
        </r>
        <r>
          <rPr>
            <sz val="9"/>
            <color indexed="81"/>
            <rFont val="Calibri"/>
            <family val="2"/>
            <charset val="238"/>
          </rPr>
          <t xml:space="preserve">
In order to avoid multiple IRR resulting from ocassional negative monthly CF, sums of CF for each year (1-20) were calculated in this column and a single IRR was calctulated from these.</t>
        </r>
      </text>
    </comment>
    <comment ref="AN4" authorId="0">
      <text>
        <r>
          <rPr>
            <b/>
            <sz val="9"/>
            <color indexed="81"/>
            <rFont val="Calibri"/>
            <family val="2"/>
            <charset val="238"/>
          </rPr>
          <t>O. P.:</t>
        </r>
        <r>
          <rPr>
            <sz val="9"/>
            <color indexed="81"/>
            <rFont val="Calibri"/>
            <family val="2"/>
            <charset val="238"/>
          </rPr>
          <t xml:space="preserve">
Calculated IRR is only valid if all cells between AN5 and AN24 are positive numbers</t>
        </r>
      </text>
    </comment>
    <comment ref="B9" authorId="0">
      <text>
        <r>
          <rPr>
            <b/>
            <sz val="9"/>
            <color indexed="81"/>
            <rFont val="Calibri"/>
            <family val="2"/>
            <charset val="238"/>
          </rPr>
          <t>O. P.:</t>
        </r>
        <r>
          <rPr>
            <sz val="9"/>
            <color indexed="81"/>
            <rFont val="Calibri"/>
            <family val="2"/>
            <charset val="238"/>
          </rPr>
          <t xml:space="preserve">
Does not generate costs in the first 10 years. Then gradually reflected in costs in the next 10 years.</t>
        </r>
      </text>
    </comment>
    <comment ref="C11" authorId="0">
      <text>
        <r>
          <rPr>
            <b/>
            <sz val="9"/>
            <color indexed="81"/>
            <rFont val="Calibri"/>
            <family val="2"/>
            <charset val="238"/>
          </rPr>
          <t>O. P.:</t>
        </r>
        <r>
          <rPr>
            <sz val="9"/>
            <color indexed="81"/>
            <rFont val="Calibri"/>
            <family val="2"/>
            <charset val="238"/>
          </rPr>
          <t xml:space="preserve">
</t>
        </r>
        <r>
          <rPr>
            <b/>
            <sz val="9"/>
            <color indexed="81"/>
            <rFont val="Calibri"/>
            <family val="2"/>
            <charset val="238"/>
          </rPr>
          <t>Please enter a share of debt finance on the total investment.</t>
        </r>
        <r>
          <rPr>
            <sz val="9"/>
            <color indexed="81"/>
            <rFont val="Calibri"/>
            <family val="2"/>
            <charset val="238"/>
          </rPr>
          <t xml:space="preserve">
Income Tax Rate might need to be readjusted manually when using a combination of Debt and Equity finance.</t>
        </r>
      </text>
    </comment>
    <comment ref="E67" authorId="0">
      <text>
        <r>
          <rPr>
            <b/>
            <sz val="9"/>
            <color indexed="81"/>
            <rFont val="Calibri"/>
            <family val="2"/>
            <charset val="238"/>
          </rPr>
          <t>O. P.:</t>
        </r>
        <r>
          <rPr>
            <sz val="9"/>
            <color indexed="81"/>
            <rFont val="Calibri"/>
            <family val="2"/>
            <charset val="238"/>
          </rPr>
          <t xml:space="preserve">
Calculated IRR is only guaranteed to be valid if all cells between AN6 and AN24 are positive numbers</t>
        </r>
      </text>
    </comment>
  </commentList>
</comments>
</file>

<file path=xl/sharedStrings.xml><?xml version="1.0" encoding="utf-8"?>
<sst xmlns="http://schemas.openxmlformats.org/spreadsheetml/2006/main" count="408" uniqueCount="101">
  <si>
    <t>kWh</t>
  </si>
  <si>
    <t>Initial Investment</t>
  </si>
  <si>
    <t>No. of Months in Use</t>
  </si>
  <si>
    <t>Maintenance Costs (p.a.)</t>
  </si>
  <si>
    <t>Increase in Maintenance Costs (p.a.)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</si>
  <si>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</si>
  <si>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</si>
  <si>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</si>
  <si>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</si>
  <si>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</si>
  <si>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</si>
  <si>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</si>
  <si>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</si>
  <si>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</si>
  <si>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</si>
  <si>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</si>
  <si>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</si>
  <si>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</si>
  <si>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</si>
  <si>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Performance</t>
  </si>
  <si>
    <t>Discount Rate (Cost of Capital)</t>
  </si>
  <si>
    <t>Monthly Interest</t>
  </si>
  <si>
    <t>Maintenance Costs</t>
  </si>
  <si>
    <t>Revenue</t>
  </si>
  <si>
    <t>Inverter Costs</t>
  </si>
  <si>
    <t>CZK/EUR Rate</t>
  </si>
  <si>
    <t>Inverter Exchange Fund</t>
  </si>
  <si>
    <t>Income Tax</t>
  </si>
  <si>
    <t>Annual Tax Base</t>
  </si>
  <si>
    <t>Net Income</t>
  </si>
  <si>
    <t>loss carried forward</t>
  </si>
  <si>
    <t>year no.</t>
  </si>
  <si>
    <t>Up to 9,690</t>
  </si>
  <si>
    <t>From 9,690 to 26,764</t>
  </si>
  <si>
    <t>From 26,764 to 71,754</t>
  </si>
  <si>
    <t>From 71,754 to 151,956</t>
  </si>
  <si>
    <t>Over 151,956</t>
  </si>
  <si>
    <t>Tax Base</t>
  </si>
  <si>
    <t>Tax Rate</t>
  </si>
  <si>
    <t>final tax base</t>
  </si>
  <si>
    <t>Purchase Price (€/kWh)</t>
  </si>
  <si>
    <t>Inflation Rate for Purchase Price Indexing</t>
  </si>
  <si>
    <t>Principal</t>
  </si>
  <si>
    <t>Payment</t>
  </si>
  <si>
    <t>Amount to Principal</t>
  </si>
  <si>
    <t>Duration of the Interest (months)</t>
  </si>
  <si>
    <t>Annual Interest</t>
  </si>
  <si>
    <t>Debt Finance</t>
  </si>
  <si>
    <t>Equity Financing</t>
  </si>
  <si>
    <t>Debt Financing</t>
  </si>
  <si>
    <t>RESULTS</t>
  </si>
  <si>
    <t>France</t>
  </si>
  <si>
    <t>Hydropower</t>
  </si>
  <si>
    <t>Geothermal</t>
  </si>
  <si>
    <t>Solar</t>
  </si>
  <si>
    <t>Ocean</t>
  </si>
  <si>
    <t>Wind</t>
  </si>
  <si>
    <t>Biomass</t>
  </si>
  <si>
    <t>Germany</t>
  </si>
  <si>
    <t xml:space="preserve">RE Electricity </t>
  </si>
  <si>
    <t>INPUT PARAMETERS</t>
  </si>
  <si>
    <t>DATA FOR DEBT FINANCING</t>
  </si>
  <si>
    <t>DATA FOR EQUITY FINANCING</t>
  </si>
  <si>
    <t>p.a.</t>
  </si>
  <si>
    <t>CZK/EUR</t>
  </si>
  <si>
    <t>NPV At the End of the Project</t>
  </si>
  <si>
    <t>Not Applicable</t>
  </si>
  <si>
    <t>Combination of D+E</t>
  </si>
  <si>
    <t>EBT</t>
  </si>
  <si>
    <t>FCF</t>
  </si>
  <si>
    <t>DFCF</t>
  </si>
  <si>
    <t>Principal Remaining</t>
  </si>
  <si>
    <t>NPV of the Investment</t>
  </si>
  <si>
    <t>Deprec. of Facility</t>
  </si>
  <si>
    <t>Deprec. of New Inverters</t>
  </si>
  <si>
    <t>-</t>
  </si>
  <si>
    <t>Cumul. CF</t>
  </si>
  <si>
    <t>When using a combination of D + T finance, the blue line shows the outcome.</t>
  </si>
  <si>
    <t>Annual FCF used for IRR calculation</t>
  </si>
  <si>
    <t>Equity Finance</t>
  </si>
  <si>
    <t>D + E Finance</t>
  </si>
  <si>
    <t>Cumul. CF incl. Initial Investment</t>
  </si>
  <si>
    <t>Simple interest method used</t>
  </si>
  <si>
    <t>DATA COMMON FOR BOTH DEBT &amp; EQUITY</t>
  </si>
  <si>
    <t>1MWp PV Project in France Launched in January 2015</t>
  </si>
  <si>
    <t>Monthly Financial Projections for the PV Power Plant with a Lifespan of 20 Years</t>
  </si>
  <si>
    <t>Projected Annual Performance</t>
  </si>
  <si>
    <t>Projected Yearly Performance</t>
  </si>
  <si>
    <t>P/L in the current year</t>
  </si>
  <si>
    <t>Cumul. CF incl. Init. Inv.</t>
  </si>
  <si>
    <t>tax rate</t>
  </si>
  <si>
    <t>Please read the comments added to some of the cells.</t>
  </si>
  <si>
    <t>Profitability Index</t>
  </si>
  <si>
    <t>Payback Period</t>
  </si>
  <si>
    <t>Capital Budgeting Method</t>
  </si>
  <si>
    <t>Loss</t>
  </si>
  <si>
    <t>Any Profit</t>
  </si>
  <si>
    <t>1MWp PV Project in Germany Launched in January 2015</t>
  </si>
  <si>
    <t>Return on Investment</t>
  </si>
  <si>
    <t>Internal Rate of Return</t>
  </si>
  <si>
    <t>NPV of Future 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</si>
</sst>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00"/>
    <numFmt numFmtId="166" formatCode="#,##0.0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5"/>
      <name val="Calibri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indexed="81"/>
      <name val="Calibri"/>
      <family val="2"/>
      <charset val="238"/>
    </font>
    <font>
      <b/>
      <sz val="9"/>
      <color indexed="81"/>
      <name val="Calibri"/>
      <family val="2"/>
      <charset val="238"/>
    </font>
    <font>
      <b/>
      <sz val="14"/>
      <color rgb="FF000000"/>
      <name val="Calibri"/>
      <scheme val="minor"/>
    </font>
    <font>
      <i/>
      <sz val="11"/>
      <color theme="1"/>
      <name val="Calibri"/>
      <scheme val="minor"/>
    </font>
    <font>
      <b/>
      <i/>
      <sz val="11"/>
      <color rgb="FFFF0000"/>
      <name val="Calibri"/>
      <scheme val="minor"/>
    </font>
    <font>
      <b/>
      <sz val="11"/>
      <color theme="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0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6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3" fontId="0" fillId="0" borderId="0" xfId="0" applyNumberFormat="1" applyBorder="1"/>
    <xf numFmtId="10" fontId="0" fillId="0" borderId="0" xfId="0" applyNumberFormat="1" applyBorder="1"/>
    <xf numFmtId="0" fontId="2" fillId="0" borderId="0" xfId="0" applyFont="1"/>
    <xf numFmtId="0" fontId="0" fillId="0" borderId="27" xfId="0" applyBorder="1"/>
    <xf numFmtId="0" fontId="0" fillId="0" borderId="3" xfId="0" applyBorder="1"/>
    <xf numFmtId="0" fontId="0" fillId="0" borderId="5" xfId="0" applyBorder="1"/>
    <xf numFmtId="0" fontId="1" fillId="0" borderId="0" xfId="0" applyFont="1" applyAlignment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166" fontId="0" fillId="0" borderId="0" xfId="0" applyNumberFormat="1" applyBorder="1"/>
    <xf numFmtId="165" fontId="0" fillId="0" borderId="0" xfId="0" applyNumberFormat="1" applyBorder="1"/>
    <xf numFmtId="3" fontId="8" fillId="0" borderId="0" xfId="0" applyNumberFormat="1" applyFont="1" applyAlignment="1">
      <alignment horizontal="right"/>
    </xf>
    <xf numFmtId="10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Border="1"/>
    <xf numFmtId="0" fontId="0" fillId="0" borderId="0" xfId="0" applyFill="1" applyBorder="1"/>
    <xf numFmtId="0" fontId="0" fillId="0" borderId="0" xfId="0" applyFill="1" applyAlignment="1"/>
    <xf numFmtId="0" fontId="0" fillId="2" borderId="1" xfId="0" applyFill="1" applyBorder="1"/>
    <xf numFmtId="3" fontId="0" fillId="2" borderId="1" xfId="0" applyNumberFormat="1" applyFill="1" applyBorder="1"/>
    <xf numFmtId="0" fontId="0" fillId="2" borderId="3" xfId="0" applyFill="1" applyBorder="1"/>
    <xf numFmtId="3" fontId="0" fillId="2" borderId="3" xfId="0" applyNumberFormat="1" applyFill="1" applyBorder="1"/>
    <xf numFmtId="3" fontId="0" fillId="2" borderId="5" xfId="0" applyNumberFormat="1" applyFill="1" applyBorder="1"/>
    <xf numFmtId="3" fontId="0" fillId="2" borderId="20" xfId="0" applyNumberFormat="1" applyFill="1" applyBorder="1"/>
    <xf numFmtId="0" fontId="0" fillId="3" borderId="29" xfId="0" applyFill="1" applyBorder="1"/>
    <xf numFmtId="0" fontId="0" fillId="3" borderId="1" xfId="0" applyFill="1" applyBorder="1"/>
    <xf numFmtId="3" fontId="0" fillId="3" borderId="29" xfId="0" applyNumberFormat="1" applyFill="1" applyBorder="1"/>
    <xf numFmtId="3" fontId="0" fillId="3" borderId="1" xfId="0" applyNumberFormat="1" applyFill="1" applyBorder="1"/>
    <xf numFmtId="3" fontId="0" fillId="3" borderId="32" xfId="0" applyNumberFormat="1" applyFill="1" applyBorder="1"/>
    <xf numFmtId="3" fontId="0" fillId="3" borderId="20" xfId="0" applyNumberFormat="1" applyFill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20" xfId="0" applyNumberFormat="1" applyBorder="1"/>
    <xf numFmtId="0" fontId="0" fillId="4" borderId="1" xfId="0" applyFill="1" applyBorder="1"/>
    <xf numFmtId="3" fontId="0" fillId="4" borderId="1" xfId="0" applyNumberFormat="1" applyFill="1" applyBorder="1"/>
    <xf numFmtId="3" fontId="0" fillId="4" borderId="20" xfId="0" applyNumberFormat="1" applyFill="1" applyBorder="1"/>
    <xf numFmtId="0" fontId="0" fillId="3" borderId="27" xfId="0" applyFill="1" applyBorder="1"/>
    <xf numFmtId="0" fontId="0" fillId="3" borderId="30" xfId="0" applyFill="1" applyBorder="1"/>
    <xf numFmtId="0" fontId="0" fillId="3" borderId="28" xfId="0" applyFill="1" applyBorder="1"/>
    <xf numFmtId="3" fontId="0" fillId="3" borderId="4" xfId="0" applyNumberFormat="1" applyFill="1" applyBorder="1"/>
    <xf numFmtId="3" fontId="0" fillId="3" borderId="6" xfId="0" applyNumberFormat="1" applyFill="1" applyBorder="1"/>
    <xf numFmtId="0" fontId="1" fillId="0" borderId="0" xfId="0" applyFont="1" applyFill="1" applyBorder="1" applyAlignment="1">
      <alignment horizontal="center"/>
    </xf>
    <xf numFmtId="3" fontId="0" fillId="0" borderId="0" xfId="0" applyNumberFormat="1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/>
    <xf numFmtId="0" fontId="12" fillId="0" borderId="0" xfId="0" applyFont="1" applyFill="1" applyBorder="1"/>
    <xf numFmtId="0" fontId="11" fillId="0" borderId="0" xfId="0" applyFont="1" applyAlignment="1"/>
    <xf numFmtId="0" fontId="13" fillId="0" borderId="0" xfId="0" applyFont="1" applyAlignment="1"/>
    <xf numFmtId="0" fontId="0" fillId="2" borderId="19" xfId="0" applyFill="1" applyBorder="1"/>
    <xf numFmtId="3" fontId="0" fillId="2" borderId="16" xfId="0" applyNumberFormat="1" applyFill="1" applyBorder="1"/>
    <xf numFmtId="0" fontId="0" fillId="2" borderId="14" xfId="0" applyFill="1" applyBorder="1"/>
    <xf numFmtId="0" fontId="0" fillId="2" borderId="17" xfId="0" applyFill="1" applyBorder="1"/>
    <xf numFmtId="10" fontId="0" fillId="2" borderId="17" xfId="0" applyNumberFormat="1" applyFill="1" applyBorder="1"/>
    <xf numFmtId="0" fontId="0" fillId="2" borderId="15" xfId="0" applyFill="1" applyBorder="1"/>
    <xf numFmtId="3" fontId="0" fillId="2" borderId="18" xfId="0" applyNumberFormat="1" applyFill="1" applyBorder="1"/>
    <xf numFmtId="0" fontId="0" fillId="2" borderId="27" xfId="0" applyFill="1" applyBorder="1"/>
    <xf numFmtId="10" fontId="0" fillId="2" borderId="28" xfId="0" applyNumberFormat="1" applyFill="1" applyBorder="1"/>
    <xf numFmtId="10" fontId="0" fillId="2" borderId="4" xfId="0" applyNumberFormat="1" applyFill="1" applyBorder="1"/>
    <xf numFmtId="0" fontId="0" fillId="2" borderId="5" xfId="0" applyFill="1" applyBorder="1"/>
    <xf numFmtId="2" fontId="0" fillId="2" borderId="6" xfId="0" applyNumberFormat="1" applyFill="1" applyBorder="1"/>
    <xf numFmtId="0" fontId="1" fillId="2" borderId="11" xfId="0" applyFont="1" applyFill="1" applyBorder="1"/>
    <xf numFmtId="0" fontId="0" fillId="2" borderId="23" xfId="0" applyFill="1" applyBorder="1"/>
    <xf numFmtId="3" fontId="0" fillId="2" borderId="24" xfId="0" applyNumberFormat="1" applyFill="1" applyBorder="1" applyAlignment="1">
      <alignment horizontal="right" wrapText="1"/>
    </xf>
    <xf numFmtId="0" fontId="0" fillId="2" borderId="12" xfId="0" applyFill="1" applyBorder="1"/>
    <xf numFmtId="3" fontId="0" fillId="2" borderId="25" xfId="0" applyNumberFormat="1" applyFill="1" applyBorder="1" applyAlignment="1">
      <alignment horizontal="right" wrapText="1"/>
    </xf>
    <xf numFmtId="0" fontId="0" fillId="2" borderId="13" xfId="0" applyFill="1" applyBorder="1"/>
    <xf numFmtId="3" fontId="0" fillId="2" borderId="26" xfId="0" applyNumberFormat="1" applyFill="1" applyBorder="1" applyAlignment="1">
      <alignment horizontal="right" wrapText="1"/>
    </xf>
    <xf numFmtId="0" fontId="1" fillId="2" borderId="9" xfId="0" applyFont="1" applyFill="1" applyBorder="1"/>
    <xf numFmtId="0" fontId="1" fillId="2" borderId="10" xfId="0" applyFont="1" applyFill="1" applyBorder="1"/>
    <xf numFmtId="0" fontId="0" fillId="2" borderId="27" xfId="0" applyFill="1" applyBorder="1" applyAlignment="1">
      <alignment horizontal="left"/>
    </xf>
    <xf numFmtId="9" fontId="0" fillId="2" borderId="30" xfId="0" applyNumberFormat="1" applyFill="1" applyBorder="1"/>
    <xf numFmtId="166" fontId="0" fillId="2" borderId="28" xfId="0" applyNumberFormat="1" applyFill="1" applyBorder="1"/>
    <xf numFmtId="0" fontId="0" fillId="2" borderId="3" xfId="0" applyFill="1" applyBorder="1" applyAlignment="1">
      <alignment horizontal="left"/>
    </xf>
    <xf numFmtId="164" fontId="0" fillId="2" borderId="1" xfId="0" applyNumberFormat="1" applyFill="1" applyBorder="1"/>
    <xf numFmtId="166" fontId="0" fillId="2" borderId="4" xfId="0" applyNumberFormat="1" applyFill="1" applyBorder="1"/>
    <xf numFmtId="0" fontId="0" fillId="2" borderId="7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4" fontId="0" fillId="2" borderId="20" xfId="0" applyNumberFormat="1" applyFill="1" applyBorder="1"/>
    <xf numFmtId="0" fontId="1" fillId="2" borderId="27" xfId="0" applyFont="1" applyFill="1" applyBorder="1"/>
    <xf numFmtId="9" fontId="0" fillId="2" borderId="4" xfId="0" applyNumberFormat="1" applyFill="1" applyBorder="1"/>
    <xf numFmtId="9" fontId="0" fillId="2" borderId="6" xfId="0" applyNumberFormat="1" applyFill="1" applyBorder="1"/>
    <xf numFmtId="3" fontId="0" fillId="3" borderId="28" xfId="0" applyNumberFormat="1" applyFill="1" applyBorder="1"/>
    <xf numFmtId="0" fontId="0" fillId="3" borderId="3" xfId="0" applyFill="1" applyBorder="1"/>
    <xf numFmtId="164" fontId="0" fillId="3" borderId="4" xfId="0" applyNumberFormat="1" applyFill="1" applyBorder="1"/>
    <xf numFmtId="0" fontId="0" fillId="3" borderId="5" xfId="0" applyFill="1" applyBorder="1"/>
    <xf numFmtId="166" fontId="0" fillId="2" borderId="6" xfId="0" applyNumberFormat="1" applyFill="1" applyBorder="1"/>
    <xf numFmtId="0" fontId="1" fillId="0" borderId="28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4" xfId="0" applyBorder="1"/>
    <xf numFmtId="10" fontId="0" fillId="0" borderId="4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9" fontId="1" fillId="4" borderId="30" xfId="0" applyNumberFormat="1" applyFont="1" applyFill="1" applyBorder="1" applyAlignment="1">
      <alignment horizontal="right"/>
    </xf>
    <xf numFmtId="10" fontId="0" fillId="4" borderId="1" xfId="0" applyNumberFormat="1" applyFill="1" applyBorder="1"/>
    <xf numFmtId="0" fontId="1" fillId="3" borderId="30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3" fontId="1" fillId="3" borderId="1" xfId="0" applyNumberFormat="1" applyFont="1" applyFill="1" applyBorder="1"/>
    <xf numFmtId="0" fontId="0" fillId="3" borderId="4" xfId="0" applyFill="1" applyBorder="1"/>
    <xf numFmtId="3" fontId="1" fillId="3" borderId="20" xfId="0" applyNumberFormat="1" applyFont="1" applyFill="1" applyBorder="1"/>
    <xf numFmtId="0" fontId="7" fillId="4" borderId="1" xfId="0" applyFont="1" applyFill="1" applyBorder="1" applyAlignment="1">
      <alignment wrapText="1"/>
    </xf>
    <xf numFmtId="3" fontId="1" fillId="4" borderId="1" xfId="0" applyNumberFormat="1" applyFont="1" applyFill="1" applyBorder="1"/>
    <xf numFmtId="0" fontId="0" fillId="4" borderId="4" xfId="0" applyFill="1" applyBorder="1"/>
    <xf numFmtId="3" fontId="0" fillId="4" borderId="4" xfId="0" applyNumberFormat="1" applyFill="1" applyBorder="1"/>
    <xf numFmtId="3" fontId="1" fillId="4" borderId="20" xfId="0" applyNumberFormat="1" applyFont="1" applyFill="1" applyBorder="1"/>
    <xf numFmtId="3" fontId="0" fillId="4" borderId="6" xfId="0" applyNumberFormat="1" applyFill="1" applyBorder="1"/>
    <xf numFmtId="0" fontId="0" fillId="0" borderId="1" xfId="0" applyBorder="1" applyAlignment="1">
      <alignment horizontal="right"/>
    </xf>
    <xf numFmtId="0" fontId="0" fillId="0" borderId="6" xfId="0" applyBorder="1"/>
    <xf numFmtId="0" fontId="1" fillId="2" borderId="2" xfId="0" applyFont="1" applyFill="1" applyBorder="1" applyAlignment="1">
      <alignment horizontal="right"/>
    </xf>
    <xf numFmtId="9" fontId="0" fillId="3" borderId="10" xfId="0" applyNumberFormat="1" applyFill="1" applyBorder="1"/>
    <xf numFmtId="0" fontId="1" fillId="3" borderId="9" xfId="0" applyFont="1" applyFill="1" applyBorder="1"/>
    <xf numFmtId="0" fontId="1" fillId="2" borderId="28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2" fontId="0" fillId="0" borderId="4" xfId="0" applyNumberFormat="1" applyBorder="1"/>
    <xf numFmtId="3" fontId="0" fillId="0" borderId="7" xfId="0" applyNumberFormat="1" applyBorder="1"/>
    <xf numFmtId="3" fontId="0" fillId="0" borderId="21" xfId="0" applyNumberFormat="1" applyBorder="1"/>
    <xf numFmtId="0" fontId="0" fillId="0" borderId="8" xfId="0" applyBorder="1"/>
    <xf numFmtId="3" fontId="0" fillId="0" borderId="39" xfId="0" applyNumberFormat="1" applyBorder="1"/>
    <xf numFmtId="3" fontId="0" fillId="0" borderId="40" xfId="0" applyNumberFormat="1" applyBorder="1"/>
    <xf numFmtId="0" fontId="0" fillId="0" borderId="41" xfId="0" applyBorder="1" applyAlignment="1">
      <alignment horizontal="right"/>
    </xf>
    <xf numFmtId="0" fontId="1" fillId="0" borderId="5" xfId="0" applyFont="1" applyBorder="1"/>
    <xf numFmtId="0" fontId="1" fillId="0" borderId="20" xfId="0" applyFont="1" applyBorder="1"/>
    <xf numFmtId="0" fontId="1" fillId="0" borderId="6" xfId="0" applyFont="1" applyBorder="1"/>
    <xf numFmtId="3" fontId="0" fillId="0" borderId="0" xfId="0" applyNumberFormat="1" applyAlignment="1">
      <alignment horizontal="right"/>
    </xf>
    <xf numFmtId="9" fontId="8" fillId="0" borderId="0" xfId="0" applyNumberFormat="1" applyFont="1"/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9" fontId="0" fillId="0" borderId="1" xfId="0" applyNumberForma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2" fontId="0" fillId="0" borderId="1" xfId="0" applyNumberFormat="1" applyBorder="1"/>
    <xf numFmtId="0" fontId="0" fillId="0" borderId="27" xfId="0" applyBorder="1" applyAlignment="1">
      <alignment horizontal="right"/>
    </xf>
    <xf numFmtId="10" fontId="0" fillId="0" borderId="0" xfId="0" applyNumberFormat="1" applyFill="1" applyBorder="1"/>
    <xf numFmtId="10" fontId="0" fillId="0" borderId="0" xfId="0" applyNumberFormat="1" applyFill="1" applyBorder="1" applyAlignment="1">
      <alignment horizontal="right"/>
    </xf>
    <xf numFmtId="10" fontId="0" fillId="0" borderId="20" xfId="0" applyNumberFormat="1" applyFill="1" applyBorder="1"/>
    <xf numFmtId="10" fontId="0" fillId="0" borderId="20" xfId="0" applyNumberFormat="1" applyFill="1" applyBorder="1" applyAlignment="1">
      <alignment horizontal="right"/>
    </xf>
    <xf numFmtId="10" fontId="0" fillId="0" borderId="6" xfId="0" applyNumberFormat="1" applyBorder="1"/>
    <xf numFmtId="10" fontId="0" fillId="2" borderId="6" xfId="0" applyNumberFormat="1" applyFill="1" applyBorder="1"/>
    <xf numFmtId="0" fontId="14" fillId="6" borderId="0" xfId="0" applyFont="1" applyFill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5" borderId="0" xfId="0" applyFont="1" applyFill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3" fontId="5" fillId="3" borderId="38" xfId="0" applyNumberFormat="1" applyFont="1" applyFill="1" applyBorder="1" applyAlignment="1">
      <alignment horizontal="center"/>
    </xf>
    <xf numFmtId="3" fontId="5" fillId="3" borderId="33" xfId="0" applyNumberFormat="1" applyFont="1" applyFill="1" applyBorder="1" applyAlignment="1">
      <alignment horizontal="center"/>
    </xf>
    <xf numFmtId="3" fontId="5" fillId="3" borderId="35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/>
    <xf numFmtId="0" fontId="0" fillId="0" borderId="32" xfId="0" applyBorder="1"/>
    <xf numFmtId="0" fontId="0" fillId="0" borderId="27" xfId="0" applyBorder="1" applyAlignment="1">
      <alignment horizontal="center"/>
    </xf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0" fillId="0" borderId="28" xfId="0" applyBorder="1"/>
    <xf numFmtId="0" fontId="0" fillId="0" borderId="31" xfId="0" applyBorder="1"/>
    <xf numFmtId="0" fontId="1" fillId="0" borderId="19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3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2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Normal" xfId="0" builtinId="0"/>
  </cellStyles>
  <dxfs count="3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516122588271"/>
          <c:y val="0.0457516249308945"/>
          <c:w val="0.858684723077691"/>
          <c:h val="0.809662987046277"/>
        </c:manualLayout>
      </c:layout>
      <c:lineChart>
        <c:grouping val="standard"/>
        <c:varyColors val="0"/>
        <c:ser>
          <c:idx val="0"/>
          <c:order val="0"/>
          <c:tx>
            <c:v>NPV Debt Financing</c:v>
          </c:tx>
          <c:marker>
            <c:symbol val="none"/>
          </c:marker>
          <c:cat>
            <c:numRef>
              <c:f>France!$H$5:$H$244</c:f>
              <c:numCache>
                <c:formatCode>General</c:formatCode>
                <c:ptCount val="240"/>
                <c:pt idx="0">
                  <c:v>2015.0</c:v>
                </c:pt>
                <c:pt idx="12">
                  <c:v>2016.0</c:v>
                </c:pt>
                <c:pt idx="24">
                  <c:v>2017.0</c:v>
                </c:pt>
                <c:pt idx="36">
                  <c:v>2018.0</c:v>
                </c:pt>
                <c:pt idx="48">
                  <c:v>2019.0</c:v>
                </c:pt>
                <c:pt idx="60">
                  <c:v>2020.0</c:v>
                </c:pt>
                <c:pt idx="72">
                  <c:v>2021.0</c:v>
                </c:pt>
                <c:pt idx="84">
                  <c:v>2022.0</c:v>
                </c:pt>
                <c:pt idx="96">
                  <c:v>2023.0</c:v>
                </c:pt>
                <c:pt idx="108">
                  <c:v>2024.0</c:v>
                </c:pt>
                <c:pt idx="120">
                  <c:v>2025.0</c:v>
                </c:pt>
                <c:pt idx="132">
                  <c:v>2026.0</c:v>
                </c:pt>
                <c:pt idx="144">
                  <c:v>2027.0</c:v>
                </c:pt>
                <c:pt idx="156">
                  <c:v>2028.0</c:v>
                </c:pt>
                <c:pt idx="168">
                  <c:v>2029.0</c:v>
                </c:pt>
                <c:pt idx="180">
                  <c:v>2030.0</c:v>
                </c:pt>
                <c:pt idx="192">
                  <c:v>2031.0</c:v>
                </c:pt>
                <c:pt idx="204">
                  <c:v>2032.0</c:v>
                </c:pt>
                <c:pt idx="216">
                  <c:v>2033.0</c:v>
                </c:pt>
                <c:pt idx="228">
                  <c:v>2034.0</c:v>
                </c:pt>
              </c:numCache>
            </c:numRef>
          </c:cat>
          <c:val>
            <c:numRef>
              <c:f>France!$Y$5:$Y$239</c:f>
              <c:numCache>
                <c:formatCode>#,##0</c:formatCode>
                <c:ptCount val="235"/>
                <c:pt idx="0">
                  <c:v>-9111.318818306088</c:v>
                </c:pt>
                <c:pt idx="1">
                  <c:v>-15619.11763661218</c:v>
                </c:pt>
                <c:pt idx="2">
                  <c:v>-16174.07645491827</c:v>
                </c:pt>
                <c:pt idx="3">
                  <c:v>-14735.71527322435</c:v>
                </c:pt>
                <c:pt idx="4">
                  <c:v>-12754.95409153044</c:v>
                </c:pt>
                <c:pt idx="5">
                  <c:v>-10096.19290983653</c:v>
                </c:pt>
                <c:pt idx="6">
                  <c:v>-6352.631728142618</c:v>
                </c:pt>
                <c:pt idx="7">
                  <c:v>-4100.670546448704</c:v>
                </c:pt>
                <c:pt idx="8">
                  <c:v>-3611.509364754792</c:v>
                </c:pt>
                <c:pt idx="9">
                  <c:v>-7542.908183060883</c:v>
                </c:pt>
                <c:pt idx="10">
                  <c:v>-16084.70700136697</c:v>
                </c:pt>
                <c:pt idx="11">
                  <c:v>-25494.34581967306</c:v>
                </c:pt>
                <c:pt idx="12">
                  <c:v>-34177.94454231833</c:v>
                </c:pt>
                <c:pt idx="13">
                  <c:v>-40357.70088782075</c:v>
                </c:pt>
                <c:pt idx="14">
                  <c:v>-40812.52596475174</c:v>
                </c:pt>
                <c:pt idx="15">
                  <c:v>-39350.34672168272</c:v>
                </c:pt>
                <c:pt idx="16">
                  <c:v>-37366.53365004228</c:v>
                </c:pt>
                <c:pt idx="17">
                  <c:v>-34730.67829268755</c:v>
                </c:pt>
                <c:pt idx="18">
                  <c:v>-31051.55527818996</c:v>
                </c:pt>
                <c:pt idx="19">
                  <c:v>-28806.9252922638</c:v>
                </c:pt>
                <c:pt idx="20">
                  <c:v>-28257.60524919479</c:v>
                </c:pt>
                <c:pt idx="21">
                  <c:v>-31959.60090898291</c:v>
                </c:pt>
                <c:pt idx="22">
                  <c:v>-40095.48411162818</c:v>
                </c:pt>
                <c:pt idx="23">
                  <c:v>-49065.98143998774</c:v>
                </c:pt>
                <c:pt idx="24">
                  <c:v>-57342.99189320707</c:v>
                </c:pt>
                <c:pt idx="25">
                  <c:v>-63212.02136315131</c:v>
                </c:pt>
                <c:pt idx="26">
                  <c:v>-63575.302647378</c:v>
                </c:pt>
                <c:pt idx="27">
                  <c:v>-62094.97349128468</c:v>
                </c:pt>
                <c:pt idx="28">
                  <c:v>-60112.98163034238</c:v>
                </c:pt>
                <c:pt idx="29">
                  <c:v>-57503.91138833886</c:v>
                </c:pt>
                <c:pt idx="30">
                  <c:v>-53891.51573663739</c:v>
                </c:pt>
                <c:pt idx="31">
                  <c:v>-51658.69252327061</c:v>
                </c:pt>
                <c:pt idx="32">
                  <c:v>-51056.27310066301</c:v>
                </c:pt>
                <c:pt idx="33">
                  <c:v>-54542.40472257459</c:v>
                </c:pt>
                <c:pt idx="34">
                  <c:v>-62292.66933570249</c:v>
                </c:pt>
                <c:pt idx="35">
                  <c:v>-70845.59427658877</c:v>
                </c:pt>
                <c:pt idx="36">
                  <c:v>-78736.0937083696</c:v>
                </c:pt>
                <c:pt idx="37">
                  <c:v>-84310.80342880643</c:v>
                </c:pt>
                <c:pt idx="38">
                  <c:v>-84590.5564654932</c:v>
                </c:pt>
                <c:pt idx="39">
                  <c:v>-83097.2830044322</c:v>
                </c:pt>
                <c:pt idx="40">
                  <c:v>-81121.55335350787</c:v>
                </c:pt>
                <c:pt idx="41">
                  <c:v>-78542.75346525438</c:v>
                </c:pt>
                <c:pt idx="42">
                  <c:v>-74999.04119727421</c:v>
                </c:pt>
                <c:pt idx="43">
                  <c:v>-72782.08345141822</c:v>
                </c:pt>
                <c:pt idx="44">
                  <c:v>-72133.10832261804</c:v>
                </c:pt>
                <c:pt idx="45">
                  <c:v>-75416.15114120404</c:v>
                </c:pt>
                <c:pt idx="46">
                  <c:v>-82800.07157362837</c:v>
                </c:pt>
                <c:pt idx="47">
                  <c:v>-90955.92190983403</c:v>
                </c:pt>
                <c:pt idx="48">
                  <c:v>-98478.98541987834</c:v>
                </c:pt>
                <c:pt idx="49">
                  <c:v>-103774.920881813</c:v>
                </c:pt>
                <c:pt idx="50">
                  <c:v>-103978.6208587468</c:v>
                </c:pt>
                <c:pt idx="51">
                  <c:v>-102477.1759238466</c:v>
                </c:pt>
                <c:pt idx="52">
                  <c:v>-100511.7459789236</c:v>
                </c:pt>
                <c:pt idx="53">
                  <c:v>-97966.33477147206</c:v>
                </c:pt>
                <c:pt idx="54">
                  <c:v>-94492.95354397479</c:v>
                </c:pt>
                <c:pt idx="55">
                  <c:v>-92295.53109404035</c:v>
                </c:pt>
                <c:pt idx="56">
                  <c:v>-91606.05992668018</c:v>
                </c:pt>
                <c:pt idx="57">
                  <c:v>-94698.06659100625</c:v>
                </c:pt>
                <c:pt idx="58">
                  <c:v>-101733.9458405266</c:v>
                </c:pt>
                <c:pt idx="59">
                  <c:v>-109512.2011060834</c:v>
                </c:pt>
                <c:pt idx="60">
                  <c:v>-116685.9514875099</c:v>
                </c:pt>
                <c:pt idx="61">
                  <c:v>-121717.8410089542</c:v>
                </c:pt>
                <c:pt idx="62">
                  <c:v>-121852.4549182521</c:v>
                </c:pt>
                <c:pt idx="63">
                  <c:v>-120347.2066066263</c:v>
                </c:pt>
                <c:pt idx="64">
                  <c:v>-118395.7372825042</c:v>
                </c:pt>
                <c:pt idx="65">
                  <c:v>-115886.4916927617</c:v>
                </c:pt>
                <c:pt idx="66">
                  <c:v>-112484.8040780267</c:v>
                </c:pt>
                <c:pt idx="67">
                  <c:v>-110310.2242476565</c:v>
                </c:pt>
                <c:pt idx="68">
                  <c:v>-109585.8627078991</c:v>
                </c:pt>
                <c:pt idx="69">
                  <c:v>-112498.2024199862</c:v>
                </c:pt>
                <c:pt idx="70">
                  <c:v>-119203.4207382915</c:v>
                </c:pt>
                <c:pt idx="71">
                  <c:v>-126622.5926765909</c:v>
                </c:pt>
                <c:pt idx="72">
                  <c:v>-133464.247796266</c:v>
                </c:pt>
                <c:pt idx="73">
                  <c:v>-138246.044728884</c:v>
                </c:pt>
                <c:pt idx="74">
                  <c:v>-138318.0617442205</c:v>
                </c:pt>
                <c:pt idx="75">
                  <c:v>-136812.9998350915</c:v>
                </c:pt>
                <c:pt idx="76">
                  <c:v>-134878.8008036589</c:v>
                </c:pt>
                <c:pt idx="77">
                  <c:v>-132408.180369347</c:v>
                </c:pt>
                <c:pt idx="78">
                  <c:v>-129079.2856904279</c:v>
                </c:pt>
                <c:pt idx="79">
                  <c:v>-126930.5180978436</c:v>
                </c:pt>
                <c:pt idx="80">
                  <c:v>-126176.4461527458</c:v>
                </c:pt>
                <c:pt idx="81">
                  <c:v>-128919.8417544219</c:v>
                </c:pt>
                <c:pt idx="82">
                  <c:v>-135310.9028956782</c:v>
                </c:pt>
                <c:pt idx="83">
                  <c:v>-142388.5834326202</c:v>
                </c:pt>
                <c:pt idx="84">
                  <c:v>-148914.5012708227</c:v>
                </c:pt>
                <c:pt idx="85">
                  <c:v>-153459.424063987</c:v>
                </c:pt>
                <c:pt idx="86">
                  <c:v>-153474.8842281315</c:v>
                </c:pt>
                <c:pt idx="87">
                  <c:v>-151973.6450609186</c:v>
                </c:pt>
                <c:pt idx="88">
                  <c:v>-150059.6985926561</c:v>
                </c:pt>
                <c:pt idx="89">
                  <c:v>-147629.8679980814</c:v>
                </c:pt>
                <c:pt idx="90">
                  <c:v>-144374.6228014075</c:v>
                </c:pt>
                <c:pt idx="91">
                  <c:v>-142254.3226826201</c:v>
                </c:pt>
                <c:pt idx="92">
                  <c:v>-141475.3212922441</c:v>
                </c:pt>
                <c:pt idx="93">
                  <c:v>-144059.8844054226</c:v>
                </c:pt>
                <c:pt idx="94">
                  <c:v>-150152.459577523</c:v>
                </c:pt>
                <c:pt idx="95">
                  <c:v>-156905.3664313029</c:v>
                </c:pt>
                <c:pt idx="96">
                  <c:v>-163131.0878955436</c:v>
                </c:pt>
                <c:pt idx="97">
                  <c:v>-167451.6581250418</c:v>
                </c:pt>
                <c:pt idx="98">
                  <c:v>-167416.1794376026</c:v>
                </c:pt>
                <c:pt idx="99">
                  <c:v>-165922.0693360637</c:v>
                </c:pt>
                <c:pt idx="100">
                  <c:v>-164031.0527272868</c:v>
                </c:pt>
                <c:pt idx="101">
                  <c:v>-161643.9029844623</c:v>
                </c:pt>
                <c:pt idx="102">
                  <c:v>-158462.9402271618</c:v>
                </c:pt>
                <c:pt idx="103">
                  <c:v>-156373.4703647658</c:v>
                </c:pt>
                <c:pt idx="104">
                  <c:v>-155573.9466508935</c:v>
                </c:pt>
                <c:pt idx="105">
                  <c:v>-158009.210971011</c:v>
                </c:pt>
                <c:pt idx="106">
                  <c:v>-163818.1806026518</c:v>
                </c:pt>
                <c:pt idx="107">
                  <c:v>-170262.2006458734</c:v>
                </c:pt>
                <c:pt idx="108">
                  <c:v>-176202.4902680893</c:v>
                </c:pt>
                <c:pt idx="109">
                  <c:v>-180310.5687314071</c:v>
                </c:pt>
                <c:pt idx="110">
                  <c:v>-180229.3727220361</c:v>
                </c:pt>
                <c:pt idx="111">
                  <c:v>-178745.3900441337</c:v>
                </c:pt>
                <c:pt idx="112">
                  <c:v>-176879.6967081276</c:v>
                </c:pt>
                <c:pt idx="113">
                  <c:v>-174536.8650494917</c:v>
                </c:pt>
                <c:pt idx="114">
                  <c:v>-171430.6120746483</c:v>
                </c:pt>
                <c:pt idx="115">
                  <c:v>-169374.0634095902</c:v>
                </c:pt>
                <c:pt idx="116">
                  <c:v>-168558.0743833695</c:v>
                </c:pt>
                <c:pt idx="117">
                  <c:v>-170853.0272206944</c:v>
                </c:pt>
                <c:pt idx="118">
                  <c:v>-176392.5206519014</c:v>
                </c:pt>
                <c:pt idx="119">
                  <c:v>-182542.7511360744</c:v>
                </c:pt>
                <c:pt idx="120">
                  <c:v>-186616.4758196096</c:v>
                </c:pt>
                <c:pt idx="121">
                  <c:v>-188928.1368571873</c:v>
                </c:pt>
                <c:pt idx="122">
                  <c:v>-187210.912787602</c:v>
                </c:pt>
                <c:pt idx="123">
                  <c:v>-184144.6087390805</c:v>
                </c:pt>
                <c:pt idx="124">
                  <c:v>-180711.2080976512</c:v>
                </c:pt>
                <c:pt idx="125">
                  <c:v>-176818.9367150872</c:v>
                </c:pt>
                <c:pt idx="126">
                  <c:v>-172192.4721467075</c:v>
                </c:pt>
                <c:pt idx="127">
                  <c:v>-168575.5232088243</c:v>
                </c:pt>
                <c:pt idx="128">
                  <c:v>-166151.6381978915</c:v>
                </c:pt>
                <c:pt idx="129">
                  <c:v>-166719.5904191572</c:v>
                </c:pt>
                <c:pt idx="130">
                  <c:v>-170407.8636801392</c:v>
                </c:pt>
                <c:pt idx="131">
                  <c:v>-174683.4914897736</c:v>
                </c:pt>
                <c:pt idx="132">
                  <c:v>-178575.0970894222</c:v>
                </c:pt>
                <c:pt idx="133">
                  <c:v>-180772.1009084158</c:v>
                </c:pt>
                <c:pt idx="134">
                  <c:v>-179094.4683643491</c:v>
                </c:pt>
                <c:pt idx="135">
                  <c:v>-176119.4063319683</c:v>
                </c:pt>
                <c:pt idx="136">
                  <c:v>-172791.3022619511</c:v>
                </c:pt>
                <c:pt idx="137">
                  <c:v>-169021.8956448884</c:v>
                </c:pt>
                <c:pt idx="138">
                  <c:v>-164546.4049525526</c:v>
                </c:pt>
                <c:pt idx="139">
                  <c:v>-161041.7798637172</c:v>
                </c:pt>
                <c:pt idx="140">
                  <c:v>-158684.5413972003</c:v>
                </c:pt>
                <c:pt idx="141">
                  <c:v>-159204.5955374206</c:v>
                </c:pt>
                <c:pt idx="142">
                  <c:v>-162725.506997551</c:v>
                </c:pt>
                <c:pt idx="143">
                  <c:v>-166811.2857178996</c:v>
                </c:pt>
                <c:pt idx="144">
                  <c:v>-169587.8591413292</c:v>
                </c:pt>
                <c:pt idx="145">
                  <c:v>-171228.1108112097</c:v>
                </c:pt>
                <c:pt idx="146">
                  <c:v>-170264.4601306876</c:v>
                </c:pt>
                <c:pt idx="147">
                  <c:v>-168431.9015297137</c:v>
                </c:pt>
                <c:pt idx="148">
                  <c:v>-166366.2154801303</c:v>
                </c:pt>
                <c:pt idx="149">
                  <c:v>-164008.0039255495</c:v>
                </c:pt>
                <c:pt idx="150">
                  <c:v>-161179.0349385424</c:v>
                </c:pt>
                <c:pt idx="151">
                  <c:v>-159008.2501193885</c:v>
                </c:pt>
                <c:pt idx="152">
                  <c:v>-157614.502573971</c:v>
                </c:pt>
                <c:pt idx="153">
                  <c:v>-158162.3842468324</c:v>
                </c:pt>
                <c:pt idx="154">
                  <c:v>-160735.0982188614</c:v>
                </c:pt>
                <c:pt idx="155">
                  <c:v>-163692.7553783377</c:v>
                </c:pt>
                <c:pt idx="156">
                  <c:v>-166527.297100165</c:v>
                </c:pt>
                <c:pt idx="157">
                  <c:v>-168269.1985999433</c:v>
                </c:pt>
                <c:pt idx="158">
                  <c:v>-167507.067388248</c:v>
                </c:pt>
                <c:pt idx="159">
                  <c:v>-165909.4731330702</c:v>
                </c:pt>
                <c:pt idx="160">
                  <c:v>-164087.8557389116</c:v>
                </c:pt>
                <c:pt idx="161">
                  <c:v>-161985.0919916449</c:v>
                </c:pt>
                <c:pt idx="162">
                  <c:v>-159429.7744488413</c:v>
                </c:pt>
                <c:pt idx="163">
                  <c:v>-157507.6231266946</c:v>
                </c:pt>
                <c:pt idx="164">
                  <c:v>-156332.9415096336</c:v>
                </c:pt>
                <c:pt idx="165">
                  <c:v>-157025.7350654958</c:v>
                </c:pt>
                <c:pt idx="166">
                  <c:v>-159666.022146688</c:v>
                </c:pt>
                <c:pt idx="167">
                  <c:v>-162676.6987315525</c:v>
                </c:pt>
                <c:pt idx="168">
                  <c:v>-165510.6320527077</c:v>
                </c:pt>
                <c:pt idx="169">
                  <c:v>-167293.9345001458</c:v>
                </c:pt>
                <c:pt idx="170">
                  <c:v>-166669.2504908579</c:v>
                </c:pt>
                <c:pt idx="171">
                  <c:v>-165241.2680511515</c:v>
                </c:pt>
                <c:pt idx="172">
                  <c:v>-163598.0184150151</c:v>
                </c:pt>
                <c:pt idx="173">
                  <c:v>-161684.5661174461</c:v>
                </c:pt>
                <c:pt idx="174">
                  <c:v>-159336.066921561</c:v>
                </c:pt>
                <c:pt idx="175">
                  <c:v>-157596.674029519</c:v>
                </c:pt>
                <c:pt idx="176">
                  <c:v>-156576.3154906364</c:v>
                </c:pt>
                <c:pt idx="177">
                  <c:v>-157352.1173219922</c:v>
                </c:pt>
                <c:pt idx="178">
                  <c:v>-160001.0350779583</c:v>
                </c:pt>
                <c:pt idx="179">
                  <c:v>-163006.3460557653</c:v>
                </c:pt>
                <c:pt idx="180">
                  <c:v>-165811.2189094906</c:v>
                </c:pt>
                <c:pt idx="181">
                  <c:v>-167605.8620756054</c:v>
                </c:pt>
                <c:pt idx="182">
                  <c:v>-167084.8880367719</c:v>
                </c:pt>
                <c:pt idx="183">
                  <c:v>-165791.5489327144</c:v>
                </c:pt>
                <c:pt idx="184">
                  <c:v>-164291.3635454018</c:v>
                </c:pt>
                <c:pt idx="185">
                  <c:v>-162531.5004002435</c:v>
                </c:pt>
                <c:pt idx="186">
                  <c:v>-160353.4271897181</c:v>
                </c:pt>
                <c:pt idx="187">
                  <c:v>-158761.3217179486</c:v>
                </c:pt>
                <c:pt idx="188">
                  <c:v>-157860.9041166331</c:v>
                </c:pt>
                <c:pt idx="189">
                  <c:v>-158688.0626233325</c:v>
                </c:pt>
                <c:pt idx="190">
                  <c:v>-161316.8072566366</c:v>
                </c:pt>
                <c:pt idx="191">
                  <c:v>-164288.484891588</c:v>
                </c:pt>
                <c:pt idx="192">
                  <c:v>-166933.2300637179</c:v>
                </c:pt>
                <c:pt idx="193">
                  <c:v>-168761.60406194</c:v>
                </c:pt>
                <c:pt idx="194">
                  <c:v>-168715.486201707</c:v>
                </c:pt>
                <c:pt idx="195">
                  <c:v>-168045.8282667367</c:v>
                </c:pt>
                <c:pt idx="196">
                  <c:v>-167211.0433969301</c:v>
                </c:pt>
                <c:pt idx="197">
                  <c:v>-166168.3176297732</c:v>
                </c:pt>
                <c:pt idx="198">
                  <c:v>-164789.1572459737</c:v>
                </c:pt>
                <c:pt idx="199">
                  <c:v>-163887.5471497548</c:v>
                </c:pt>
                <c:pt idx="200">
                  <c:v>-163549.1935020624</c:v>
                </c:pt>
                <c:pt idx="201">
                  <c:v>-164613.7853852942</c:v>
                </c:pt>
                <c:pt idx="202">
                  <c:v>-167141.3252204896</c:v>
                </c:pt>
                <c:pt idx="203">
                  <c:v>-169949.4574968583</c:v>
                </c:pt>
                <c:pt idx="204">
                  <c:v>-172587.7538923358</c:v>
                </c:pt>
                <c:pt idx="205">
                  <c:v>-174441.1769478037</c:v>
                </c:pt>
                <c:pt idx="206">
                  <c:v>-174492.1178952578</c:v>
                </c:pt>
                <c:pt idx="207">
                  <c:v>-173943.6359503842</c:v>
                </c:pt>
                <c:pt idx="208">
                  <c:v>-173236.5945973564</c:v>
                </c:pt>
                <c:pt idx="209">
                  <c:v>-172329.8200598138</c:v>
                </c:pt>
                <c:pt idx="210">
                  <c:v>-171099.7391195676</c:v>
                </c:pt>
                <c:pt idx="211">
                  <c:v>-170329.1737189248</c:v>
                </c:pt>
                <c:pt idx="212">
                  <c:v>-170100.5497330988</c:v>
                </c:pt>
                <c:pt idx="213">
                  <c:v>-171221.4091883635</c:v>
                </c:pt>
                <c:pt idx="214">
                  <c:v>-173749.458314718</c:v>
                </c:pt>
                <c:pt idx="215">
                  <c:v>-176547.6099755027</c:v>
                </c:pt>
                <c:pt idx="216">
                  <c:v>-179172.4554962656</c:v>
                </c:pt>
                <c:pt idx="217">
                  <c:v>-181042.719862169</c:v>
                </c:pt>
                <c:pt idx="218">
                  <c:v>-181179.7551952084</c:v>
                </c:pt>
                <c:pt idx="219">
                  <c:v>-180740.5617453363</c:v>
                </c:pt>
                <c:pt idx="220">
                  <c:v>-180149.1252432317</c:v>
                </c:pt>
                <c:pt idx="221">
                  <c:v>-179365.8493041205</c:v>
                </c:pt>
                <c:pt idx="222">
                  <c:v>-178271.892827155</c:v>
                </c:pt>
                <c:pt idx="223">
                  <c:v>-177620.1078901236</c:v>
                </c:pt>
                <c:pt idx="224">
                  <c:v>-177489.7656717357</c:v>
                </c:pt>
                <c:pt idx="225">
                  <c:v>-178657.4919162986</c:v>
                </c:pt>
                <c:pt idx="226">
                  <c:v>-181178.784575241</c:v>
                </c:pt>
                <c:pt idx="227">
                  <c:v>-183960.091755156</c:v>
                </c:pt>
                <c:pt idx="228">
                  <c:v>-186566.2372216384</c:v>
                </c:pt>
                <c:pt idx="229">
                  <c:v>-188446.9342290843</c:v>
                </c:pt>
                <c:pt idx="230">
                  <c:v>-188661.0041451045</c:v>
                </c:pt>
                <c:pt idx="231">
                  <c:v>-188321.1516554449</c:v>
                </c:pt>
                <c:pt idx="232">
                  <c:v>-187835.1309152663</c:v>
                </c:pt>
                <c:pt idx="233">
                  <c:v>-187164.8625409508</c:v>
                </c:pt>
                <c:pt idx="234">
                  <c:v>-186196.0563776374</c:v>
                </c:pt>
              </c:numCache>
            </c:numRef>
          </c:val>
          <c:smooth val="0"/>
        </c:ser>
        <c:ser>
          <c:idx val="1"/>
          <c:order val="1"/>
          <c:tx>
            <c:v>NPV Equity Financing</c:v>
          </c:tx>
          <c:marker>
            <c:symbol val="none"/>
          </c:marker>
          <c:cat>
            <c:numRef>
              <c:f>France!$H$5:$H$244</c:f>
              <c:numCache>
                <c:formatCode>General</c:formatCode>
                <c:ptCount val="240"/>
                <c:pt idx="0">
                  <c:v>2015.0</c:v>
                </c:pt>
                <c:pt idx="12">
                  <c:v>2016.0</c:v>
                </c:pt>
                <c:pt idx="24">
                  <c:v>2017.0</c:v>
                </c:pt>
                <c:pt idx="36">
                  <c:v>2018.0</c:v>
                </c:pt>
                <c:pt idx="48">
                  <c:v>2019.0</c:v>
                </c:pt>
                <c:pt idx="60">
                  <c:v>2020.0</c:v>
                </c:pt>
                <c:pt idx="72">
                  <c:v>2021.0</c:v>
                </c:pt>
                <c:pt idx="84">
                  <c:v>2022.0</c:v>
                </c:pt>
                <c:pt idx="96">
                  <c:v>2023.0</c:v>
                </c:pt>
                <c:pt idx="108">
                  <c:v>2024.0</c:v>
                </c:pt>
                <c:pt idx="120">
                  <c:v>2025.0</c:v>
                </c:pt>
                <c:pt idx="132">
                  <c:v>2026.0</c:v>
                </c:pt>
                <c:pt idx="144">
                  <c:v>2027.0</c:v>
                </c:pt>
                <c:pt idx="156">
                  <c:v>2028.0</c:v>
                </c:pt>
                <c:pt idx="168">
                  <c:v>2029.0</c:v>
                </c:pt>
                <c:pt idx="180">
                  <c:v>2030.0</c:v>
                </c:pt>
                <c:pt idx="192">
                  <c:v>2031.0</c:v>
                </c:pt>
                <c:pt idx="204">
                  <c:v>2032.0</c:v>
                </c:pt>
                <c:pt idx="216">
                  <c:v>2033.0</c:v>
                </c:pt>
                <c:pt idx="228">
                  <c:v>2034.0</c:v>
                </c:pt>
              </c:numCache>
            </c:numRef>
          </c:cat>
          <c:val>
            <c:numRef>
              <c:f>France!$AI$5:$AI$239</c:f>
              <c:numCache>
                <c:formatCode>#,##0</c:formatCode>
                <c:ptCount val="235"/>
                <c:pt idx="0">
                  <c:v>-1.52733677186717E6</c:v>
                </c:pt>
                <c:pt idx="1">
                  <c:v>-1.52424172253391E6</c:v>
                </c:pt>
                <c:pt idx="2">
                  <c:v>-1.51519383320064E6</c:v>
                </c:pt>
                <c:pt idx="3">
                  <c:v>-1.50415262386738E6</c:v>
                </c:pt>
                <c:pt idx="4">
                  <c:v>-1.49256901453412E6</c:v>
                </c:pt>
                <c:pt idx="5">
                  <c:v>-1.48030740520085E6</c:v>
                </c:pt>
                <c:pt idx="6">
                  <c:v>-1.46696099586759E6</c:v>
                </c:pt>
                <c:pt idx="7">
                  <c:v>-1.45510618653432E6</c:v>
                </c:pt>
                <c:pt idx="8">
                  <c:v>-1.44501417720106E6</c:v>
                </c:pt>
                <c:pt idx="9">
                  <c:v>-1.4393427278678E6</c:v>
                </c:pt>
                <c:pt idx="10">
                  <c:v>-1.43828167853453E6</c:v>
                </c:pt>
                <c:pt idx="11">
                  <c:v>-1.43808846920127E6</c:v>
                </c:pt>
                <c:pt idx="12">
                  <c:v>-1.43762649825575E6</c:v>
                </c:pt>
                <c:pt idx="13">
                  <c:v>-1.43466068493309E6</c:v>
                </c:pt>
                <c:pt idx="14">
                  <c:v>-1.42596994034186E6</c:v>
                </c:pt>
                <c:pt idx="15">
                  <c:v>-1.41536219143063E6</c:v>
                </c:pt>
                <c:pt idx="16">
                  <c:v>-1.40423280869083E6</c:v>
                </c:pt>
                <c:pt idx="17">
                  <c:v>-1.39245138366531E6</c:v>
                </c:pt>
                <c:pt idx="18">
                  <c:v>-1.37962669098265E6</c:v>
                </c:pt>
                <c:pt idx="19">
                  <c:v>-1.36823649132856E6</c:v>
                </c:pt>
                <c:pt idx="20">
                  <c:v>-1.35854160161733E6</c:v>
                </c:pt>
                <c:pt idx="21">
                  <c:v>-1.35309802760896E6</c:v>
                </c:pt>
                <c:pt idx="22">
                  <c:v>-1.35208834114344E6</c:v>
                </c:pt>
                <c:pt idx="23">
                  <c:v>-1.35191326880364E6</c:v>
                </c:pt>
                <c:pt idx="24">
                  <c:v>-1.35148021290623E6</c:v>
                </c:pt>
                <c:pt idx="25">
                  <c:v>-1.34863917602554E6</c:v>
                </c:pt>
                <c:pt idx="26">
                  <c:v>-1.34029239095914E6</c:v>
                </c:pt>
                <c:pt idx="27">
                  <c:v>-1.33010199545241E6</c:v>
                </c:pt>
                <c:pt idx="28">
                  <c:v>-1.31940993724084E6</c:v>
                </c:pt>
                <c:pt idx="29">
                  <c:v>-1.30809080064821E6</c:v>
                </c:pt>
                <c:pt idx="30">
                  <c:v>-1.29576833864587E6</c:v>
                </c:pt>
                <c:pt idx="31">
                  <c:v>-1.28482544908188E6</c:v>
                </c:pt>
                <c:pt idx="32">
                  <c:v>-1.27551296330864E6</c:v>
                </c:pt>
                <c:pt idx="33">
                  <c:v>-1.27028902857992E6</c:v>
                </c:pt>
                <c:pt idx="34">
                  <c:v>-1.26932922684242E6</c:v>
                </c:pt>
                <c:pt idx="35">
                  <c:v>-1.26917208543267E6</c:v>
                </c:pt>
                <c:pt idx="36">
                  <c:v>-1.26876728357814E6</c:v>
                </c:pt>
                <c:pt idx="37">
                  <c:v>-1.26604669201226E6</c:v>
                </c:pt>
                <c:pt idx="38">
                  <c:v>-1.25803114376263E6</c:v>
                </c:pt>
                <c:pt idx="39">
                  <c:v>-1.24824256901526E6</c:v>
                </c:pt>
                <c:pt idx="40">
                  <c:v>-1.23797153807802E6</c:v>
                </c:pt>
                <c:pt idx="41">
                  <c:v>-1.22709743690345E6</c:v>
                </c:pt>
                <c:pt idx="42">
                  <c:v>-1.21525842334916E6</c:v>
                </c:pt>
                <c:pt idx="43">
                  <c:v>-1.20474616431698E6</c:v>
                </c:pt>
                <c:pt idx="44">
                  <c:v>-1.19580188790187E6</c:v>
                </c:pt>
                <c:pt idx="45">
                  <c:v>-1.19078962943414E6</c:v>
                </c:pt>
                <c:pt idx="46">
                  <c:v>-1.18987824858025E6</c:v>
                </c:pt>
                <c:pt idx="47">
                  <c:v>-1.18973879763014E6</c:v>
                </c:pt>
                <c:pt idx="48">
                  <c:v>-1.18936157420084E6</c:v>
                </c:pt>
                <c:pt idx="49">
                  <c:v>-1.18675722272343E6</c:v>
                </c:pt>
                <c:pt idx="50">
                  <c:v>-1.17906063576101E6</c:v>
                </c:pt>
                <c:pt idx="51">
                  <c:v>-1.16965890388676E6</c:v>
                </c:pt>
                <c:pt idx="52">
                  <c:v>-1.15979318700249E6</c:v>
                </c:pt>
                <c:pt idx="53">
                  <c:v>-1.1493474888557E6</c:v>
                </c:pt>
                <c:pt idx="54">
                  <c:v>-1.13797382068885E6</c:v>
                </c:pt>
                <c:pt idx="55">
                  <c:v>-1.12787611129957E6</c:v>
                </c:pt>
                <c:pt idx="56">
                  <c:v>-1.11928635319286E6</c:v>
                </c:pt>
                <c:pt idx="57">
                  <c:v>-1.11447807291784E6</c:v>
                </c:pt>
                <c:pt idx="58">
                  <c:v>-1.11361366522801E6</c:v>
                </c:pt>
                <c:pt idx="59">
                  <c:v>-1.11349163355422E6</c:v>
                </c:pt>
                <c:pt idx="60">
                  <c:v>-1.11314130113627E6</c:v>
                </c:pt>
                <c:pt idx="61">
                  <c:v>-1.11064910785834E6</c:v>
                </c:pt>
                <c:pt idx="62">
                  <c:v>-1.10325963896826E6</c:v>
                </c:pt>
                <c:pt idx="63">
                  <c:v>-1.09423030785725E6</c:v>
                </c:pt>
                <c:pt idx="64">
                  <c:v>-1.08475475573375E6</c:v>
                </c:pt>
                <c:pt idx="65">
                  <c:v>-1.07472142734463E6</c:v>
                </c:pt>
                <c:pt idx="66">
                  <c:v>-1.06379565693052E6</c:v>
                </c:pt>
                <c:pt idx="67">
                  <c:v>-1.05409699430077E6</c:v>
                </c:pt>
                <c:pt idx="68">
                  <c:v>-1.04584854996163E6</c:v>
                </c:pt>
                <c:pt idx="69">
                  <c:v>-1.04123680687434E6</c:v>
                </c:pt>
                <c:pt idx="70">
                  <c:v>-1.04041794239327E6</c:v>
                </c:pt>
                <c:pt idx="71">
                  <c:v>-1.04031303153219E6</c:v>
                </c:pt>
                <c:pt idx="72">
                  <c:v>-1.0399888935096E6</c:v>
                </c:pt>
                <c:pt idx="73">
                  <c:v>-1.03760489729995E6</c:v>
                </c:pt>
                <c:pt idx="74">
                  <c:v>-1.03051112117302E6</c:v>
                </c:pt>
                <c:pt idx="75">
                  <c:v>-1.02184026612163E6</c:v>
                </c:pt>
                <c:pt idx="76">
                  <c:v>-1.01274027394793E6</c:v>
                </c:pt>
                <c:pt idx="77">
                  <c:v>-1.00310386037135E6</c:v>
                </c:pt>
                <c:pt idx="78">
                  <c:v>-992609.1725501689</c:v>
                </c:pt>
                <c:pt idx="79">
                  <c:v>-983294.6118153193</c:v>
                </c:pt>
                <c:pt idx="80">
                  <c:v>-975374.7467279563</c:v>
                </c:pt>
                <c:pt idx="81">
                  <c:v>-970952.3491873672</c:v>
                </c:pt>
                <c:pt idx="82">
                  <c:v>-970177.6171863583</c:v>
                </c:pt>
                <c:pt idx="83">
                  <c:v>-970089.5045810351</c:v>
                </c:pt>
                <c:pt idx="84">
                  <c:v>-969790.8575218422</c:v>
                </c:pt>
                <c:pt idx="85">
                  <c:v>-967511.215417611</c:v>
                </c:pt>
                <c:pt idx="86">
                  <c:v>-960702.1106843601</c:v>
                </c:pt>
                <c:pt idx="87">
                  <c:v>-952376.3066197517</c:v>
                </c:pt>
                <c:pt idx="88">
                  <c:v>-943637.7952540937</c:v>
                </c:pt>
                <c:pt idx="89">
                  <c:v>-934383.3997621236</c:v>
                </c:pt>
                <c:pt idx="90">
                  <c:v>-924303.5896680543</c:v>
                </c:pt>
                <c:pt idx="91">
                  <c:v>-915358.7246518713</c:v>
                </c:pt>
                <c:pt idx="92">
                  <c:v>-907755.1583641</c:v>
                </c:pt>
                <c:pt idx="93">
                  <c:v>-903515.156579883</c:v>
                </c:pt>
                <c:pt idx="94">
                  <c:v>-902783.166854588</c:v>
                </c:pt>
                <c:pt idx="95">
                  <c:v>-902711.5088109724</c:v>
                </c:pt>
                <c:pt idx="96">
                  <c:v>-902437.644658646</c:v>
                </c:pt>
                <c:pt idx="97">
                  <c:v>-900258.6292715771</c:v>
                </c:pt>
                <c:pt idx="98">
                  <c:v>-893723.5649675708</c:v>
                </c:pt>
                <c:pt idx="99">
                  <c:v>-885729.8692494648</c:v>
                </c:pt>
                <c:pt idx="100">
                  <c:v>-877339.2670241207</c:v>
                </c:pt>
                <c:pt idx="101">
                  <c:v>-868452.5316647292</c:v>
                </c:pt>
                <c:pt idx="102">
                  <c:v>-858771.9832908616</c:v>
                </c:pt>
                <c:pt idx="103">
                  <c:v>-850182.9278118985</c:v>
                </c:pt>
                <c:pt idx="104">
                  <c:v>-842883.818481459</c:v>
                </c:pt>
                <c:pt idx="105">
                  <c:v>-838819.4971850095</c:v>
                </c:pt>
                <c:pt idx="106">
                  <c:v>-838128.8812000831</c:v>
                </c:pt>
                <c:pt idx="107">
                  <c:v>-838073.3156267376</c:v>
                </c:pt>
                <c:pt idx="108">
                  <c:v>-837823.5237093659</c:v>
                </c:pt>
                <c:pt idx="109">
                  <c:v>-835741.520633096</c:v>
                </c:pt>
                <c:pt idx="110">
                  <c:v>-829470.2430841372</c:v>
                </c:pt>
                <c:pt idx="111">
                  <c:v>-821796.1788666471</c:v>
                </c:pt>
                <c:pt idx="112">
                  <c:v>-813740.4039910533</c:v>
                </c:pt>
                <c:pt idx="113">
                  <c:v>-805207.4907928298</c:v>
                </c:pt>
                <c:pt idx="114">
                  <c:v>-795911.1562783987</c:v>
                </c:pt>
                <c:pt idx="115">
                  <c:v>-787664.526073753</c:v>
                </c:pt>
                <c:pt idx="116">
                  <c:v>-780658.4555079445</c:v>
                </c:pt>
                <c:pt idx="117">
                  <c:v>-776763.3268056818</c:v>
                </c:pt>
                <c:pt idx="118">
                  <c:v>-776112.738697301</c:v>
                </c:pt>
                <c:pt idx="119">
                  <c:v>-776072.8876418865</c:v>
                </c:pt>
                <c:pt idx="120">
                  <c:v>-774251.2965734333</c:v>
                </c:pt>
                <c:pt idx="121">
                  <c:v>-770667.6418590227</c:v>
                </c:pt>
                <c:pt idx="122">
                  <c:v>-763055.1020374491</c:v>
                </c:pt>
                <c:pt idx="123">
                  <c:v>-754093.4822369393</c:v>
                </c:pt>
                <c:pt idx="124">
                  <c:v>-744764.7658435218</c:v>
                </c:pt>
                <c:pt idx="125">
                  <c:v>-734977.1787089695</c:v>
                </c:pt>
                <c:pt idx="126">
                  <c:v>-724455.3983886016</c:v>
                </c:pt>
                <c:pt idx="127">
                  <c:v>-714943.1336987301</c:v>
                </c:pt>
                <c:pt idx="128">
                  <c:v>-706623.932935809</c:v>
                </c:pt>
                <c:pt idx="129">
                  <c:v>-701296.5694050864</c:v>
                </c:pt>
                <c:pt idx="130">
                  <c:v>-699089.5269140801</c:v>
                </c:pt>
                <c:pt idx="131">
                  <c:v>-697469.8389717262</c:v>
                </c:pt>
                <c:pt idx="132">
                  <c:v>-695746.8581409098</c:v>
                </c:pt>
                <c:pt idx="133">
                  <c:v>-692329.2755294383</c:v>
                </c:pt>
                <c:pt idx="134">
                  <c:v>-685037.0565549065</c:v>
                </c:pt>
                <c:pt idx="135">
                  <c:v>-676447.4080920608</c:v>
                </c:pt>
                <c:pt idx="136">
                  <c:v>-667504.7175915786</c:v>
                </c:pt>
                <c:pt idx="137">
                  <c:v>-658120.7245440508</c:v>
                </c:pt>
                <c:pt idx="138">
                  <c:v>-648030.64742125</c:v>
                </c:pt>
                <c:pt idx="139">
                  <c:v>-638911.4359019495</c:v>
                </c:pt>
                <c:pt idx="140">
                  <c:v>-630939.6110049676</c:v>
                </c:pt>
                <c:pt idx="141">
                  <c:v>-625845.0787147229</c:v>
                </c:pt>
                <c:pt idx="142">
                  <c:v>-623751.4037443881</c:v>
                </c:pt>
                <c:pt idx="143">
                  <c:v>-622222.5960342717</c:v>
                </c:pt>
                <c:pt idx="144">
                  <c:v>-620179.9121922968</c:v>
                </c:pt>
                <c:pt idx="145">
                  <c:v>-616996.422431585</c:v>
                </c:pt>
                <c:pt idx="146">
                  <c:v>-611204.5274712607</c:v>
                </c:pt>
                <c:pt idx="147">
                  <c:v>-604539.2029794037</c:v>
                </c:pt>
                <c:pt idx="148">
                  <c:v>-597636.2105878097</c:v>
                </c:pt>
                <c:pt idx="149">
                  <c:v>-590436.1333215446</c:v>
                </c:pt>
                <c:pt idx="150">
                  <c:v>-582760.7202558057</c:v>
                </c:pt>
                <c:pt idx="151">
                  <c:v>-575738.8939143433</c:v>
                </c:pt>
                <c:pt idx="152">
                  <c:v>-569489.4882470257</c:v>
                </c:pt>
                <c:pt idx="153">
                  <c:v>-565177.0759625636</c:v>
                </c:pt>
                <c:pt idx="154">
                  <c:v>-562884.840825865</c:v>
                </c:pt>
                <c:pt idx="155">
                  <c:v>-560972.8743287453</c:v>
                </c:pt>
                <c:pt idx="156">
                  <c:v>-559165.2087346227</c:v>
                </c:pt>
                <c:pt idx="157">
                  <c:v>-556260.4137912233</c:v>
                </c:pt>
                <c:pt idx="158">
                  <c:v>-550847.0783044256</c:v>
                </c:pt>
                <c:pt idx="159">
                  <c:v>-544593.7531595877</c:v>
                </c:pt>
                <c:pt idx="160">
                  <c:v>-538111.8594003173</c:v>
                </c:pt>
                <c:pt idx="161">
                  <c:v>-531344.254873006</c:v>
                </c:pt>
                <c:pt idx="162">
                  <c:v>-524119.5131168293</c:v>
                </c:pt>
                <c:pt idx="163">
                  <c:v>-517523.3350503426</c:v>
                </c:pt>
                <c:pt idx="164">
                  <c:v>-511670.004980762</c:v>
                </c:pt>
                <c:pt idx="165">
                  <c:v>-507679.5091188075</c:v>
                </c:pt>
                <c:pt idx="166">
                  <c:v>-505631.8464795306</c:v>
                </c:pt>
                <c:pt idx="167">
                  <c:v>-503949.893623346</c:v>
                </c:pt>
                <c:pt idx="168">
                  <c:v>-502310.1806012013</c:v>
                </c:pt>
                <c:pt idx="169">
                  <c:v>-499615.3426105807</c:v>
                </c:pt>
                <c:pt idx="170">
                  <c:v>-494508.0053430804</c:v>
                </c:pt>
                <c:pt idx="171">
                  <c:v>-488592.8380215907</c:v>
                </c:pt>
                <c:pt idx="172">
                  <c:v>-482457.8529983351</c:v>
                </c:pt>
                <c:pt idx="173">
                  <c:v>-476048.0958478724</c:v>
                </c:pt>
                <c:pt idx="174">
                  <c:v>-469198.703293878</c:v>
                </c:pt>
                <c:pt idx="175">
                  <c:v>-462953.8094197395</c:v>
                </c:pt>
                <c:pt idx="176">
                  <c:v>-457423.32307634</c:v>
                </c:pt>
                <c:pt idx="177">
                  <c:v>-453684.3510023318</c:v>
                </c:pt>
                <c:pt idx="178">
                  <c:v>-451813.829393333</c:v>
                </c:pt>
                <c:pt idx="179">
                  <c:v>-450295.0161071595</c:v>
                </c:pt>
                <c:pt idx="180">
                  <c:v>-448786.7187862096</c:v>
                </c:pt>
                <c:pt idx="181">
                  <c:v>-446263.6927098627</c:v>
                </c:pt>
                <c:pt idx="182">
                  <c:v>-441420.5316146651</c:v>
                </c:pt>
                <c:pt idx="183">
                  <c:v>-435800.4688161167</c:v>
                </c:pt>
                <c:pt idx="184">
                  <c:v>-429969.0041935271</c:v>
                </c:pt>
                <c:pt idx="185">
                  <c:v>-423873.2872908863</c:v>
                </c:pt>
                <c:pt idx="186">
                  <c:v>-417354.7667401633</c:v>
                </c:pt>
                <c:pt idx="187">
                  <c:v>-411417.6012055533</c:v>
                </c:pt>
                <c:pt idx="188">
                  <c:v>-406167.4915990766</c:v>
                </c:pt>
                <c:pt idx="189">
                  <c:v>-402640.3068585347</c:v>
                </c:pt>
                <c:pt idx="190">
                  <c:v>-400910.0376223418</c:v>
                </c:pt>
                <c:pt idx="191">
                  <c:v>-399518.0113046145</c:v>
                </c:pt>
                <c:pt idx="192">
                  <c:v>-398089.9158091641</c:v>
                </c:pt>
                <c:pt idx="193">
                  <c:v>-395839.293609839</c:v>
                </c:pt>
                <c:pt idx="194">
                  <c:v>-391707.99837405</c:v>
                </c:pt>
                <c:pt idx="195">
                  <c:v>-386946.9561306069</c:v>
                </c:pt>
                <c:pt idx="196">
                  <c:v>-382014.5541571898</c:v>
                </c:pt>
                <c:pt idx="197">
                  <c:v>-376867.9525213054</c:v>
                </c:pt>
                <c:pt idx="198">
                  <c:v>-371378.6314254731</c:v>
                </c:pt>
                <c:pt idx="199">
                  <c:v>-366360.549587069</c:v>
                </c:pt>
                <c:pt idx="200">
                  <c:v>-361899.3868710803</c:v>
                </c:pt>
                <c:pt idx="201">
                  <c:v>-358834.805954379</c:v>
                </c:pt>
                <c:pt idx="202">
                  <c:v>-357226.782742456</c:v>
                </c:pt>
                <c:pt idx="203">
                  <c:v>-355892.9350984912</c:v>
                </c:pt>
                <c:pt idx="204">
                  <c:v>-354580.3519410921</c:v>
                </c:pt>
                <c:pt idx="205">
                  <c:v>-352476.7331021951</c:v>
                </c:pt>
                <c:pt idx="206">
                  <c:v>-348564.4441373733</c:v>
                </c:pt>
                <c:pt idx="207">
                  <c:v>-344046.5184789046</c:v>
                </c:pt>
                <c:pt idx="208">
                  <c:v>-339363.7937201238</c:v>
                </c:pt>
                <c:pt idx="209">
                  <c:v>-334475.070085953</c:v>
                </c:pt>
                <c:pt idx="210">
                  <c:v>-329256.7482511581</c:v>
                </c:pt>
                <c:pt idx="211">
                  <c:v>-324491.6239422213</c:v>
                </c:pt>
                <c:pt idx="212">
                  <c:v>-320262.0967092988</c:v>
                </c:pt>
                <c:pt idx="213">
                  <c:v>-317375.6821439195</c:v>
                </c:pt>
                <c:pt idx="214">
                  <c:v>-315890.0599311928</c:v>
                </c:pt>
                <c:pt idx="215">
                  <c:v>-314668.1162789653</c:v>
                </c:pt>
                <c:pt idx="216">
                  <c:v>-313458.1560344892</c:v>
                </c:pt>
                <c:pt idx="217">
                  <c:v>-311487.4454746069</c:v>
                </c:pt>
                <c:pt idx="218">
                  <c:v>-307777.3110164779</c:v>
                </c:pt>
                <c:pt idx="219">
                  <c:v>-303484.7270981161</c:v>
                </c:pt>
                <c:pt idx="220">
                  <c:v>-299033.6535307112</c:v>
                </c:pt>
                <c:pt idx="221">
                  <c:v>-294384.4679020027</c:v>
                </c:pt>
                <c:pt idx="222">
                  <c:v>-289418.3029752082</c:v>
                </c:pt>
                <c:pt idx="223">
                  <c:v>-284887.984583282</c:v>
                </c:pt>
                <c:pt idx="224">
                  <c:v>-280872.7575507453</c:v>
                </c:pt>
                <c:pt idx="225">
                  <c:v>-278149.2211579088</c:v>
                </c:pt>
                <c:pt idx="226">
                  <c:v>-276772.8467819376</c:v>
                </c:pt>
                <c:pt idx="227">
                  <c:v>-275650.0558444352</c:v>
                </c:pt>
                <c:pt idx="228">
                  <c:v>-274531.8622670145</c:v>
                </c:pt>
                <c:pt idx="229">
                  <c:v>-272682.044243406</c:v>
                </c:pt>
                <c:pt idx="230">
                  <c:v>-269159.3974079408</c:v>
                </c:pt>
                <c:pt idx="231">
                  <c:v>-265076.6006058631</c:v>
                </c:pt>
                <c:pt idx="232">
                  <c:v>-260841.3820441629</c:v>
                </c:pt>
                <c:pt idx="233">
                  <c:v>-256415.6362829346</c:v>
                </c:pt>
                <c:pt idx="234">
                  <c:v>-251685.0470024614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8738584"/>
        <c:axId val="-2139717368"/>
      </c:lineChart>
      <c:dateAx>
        <c:axId val="-2138738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9717368"/>
        <c:crosses val="autoZero"/>
        <c:auto val="0"/>
        <c:lblOffset val="100"/>
        <c:baseTimeUnit val="days"/>
      </c:dateAx>
      <c:valAx>
        <c:axId val="-21397173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EUR</a:t>
                </a:r>
              </a:p>
            </c:rich>
          </c:tx>
          <c:layout>
            <c:manualLayout>
              <c:xMode val="edge"/>
              <c:yMode val="edge"/>
              <c:x val="0.0253699788583509"/>
              <c:y val="0.040578171957939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-21387385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596292568361"/>
          <c:y val="0.0446499320920778"/>
          <c:w val="0.843926827287421"/>
          <c:h val="0.814246276152393"/>
        </c:manualLayout>
      </c:layout>
      <c:lineChart>
        <c:grouping val="standard"/>
        <c:varyColors val="0"/>
        <c:ser>
          <c:idx val="0"/>
          <c:order val="0"/>
          <c:tx>
            <c:v>Cumulative CF Debt Financing</c:v>
          </c:tx>
          <c:spPr>
            <a:ln w="28575" cmpd="sng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France!$H$5:$H$244</c:f>
              <c:numCache>
                <c:formatCode>General</c:formatCode>
                <c:ptCount val="240"/>
                <c:pt idx="0">
                  <c:v>2015.0</c:v>
                </c:pt>
                <c:pt idx="12">
                  <c:v>2016.0</c:v>
                </c:pt>
                <c:pt idx="24">
                  <c:v>2017.0</c:v>
                </c:pt>
                <c:pt idx="36">
                  <c:v>2018.0</c:v>
                </c:pt>
                <c:pt idx="48">
                  <c:v>2019.0</c:v>
                </c:pt>
                <c:pt idx="60">
                  <c:v>2020.0</c:v>
                </c:pt>
                <c:pt idx="72">
                  <c:v>2021.0</c:v>
                </c:pt>
                <c:pt idx="84">
                  <c:v>2022.0</c:v>
                </c:pt>
                <c:pt idx="96">
                  <c:v>2023.0</c:v>
                </c:pt>
                <c:pt idx="108">
                  <c:v>2024.0</c:v>
                </c:pt>
                <c:pt idx="120">
                  <c:v>2025.0</c:v>
                </c:pt>
                <c:pt idx="132">
                  <c:v>2026.0</c:v>
                </c:pt>
                <c:pt idx="144">
                  <c:v>2027.0</c:v>
                </c:pt>
                <c:pt idx="156">
                  <c:v>2028.0</c:v>
                </c:pt>
                <c:pt idx="168">
                  <c:v>2029.0</c:v>
                </c:pt>
                <c:pt idx="180">
                  <c:v>2030.0</c:v>
                </c:pt>
                <c:pt idx="192">
                  <c:v>2031.0</c:v>
                </c:pt>
                <c:pt idx="204">
                  <c:v>2032.0</c:v>
                </c:pt>
                <c:pt idx="216">
                  <c:v>2033.0</c:v>
                </c:pt>
                <c:pt idx="228">
                  <c:v>2034.0</c:v>
                </c:pt>
              </c:numCache>
            </c:numRef>
          </c:cat>
          <c:val>
            <c:numRef>
              <c:f>France!$AA$5:$AA$244</c:f>
              <c:numCache>
                <c:formatCode>#,##0</c:formatCode>
                <c:ptCount val="240"/>
                <c:pt idx="0">
                  <c:v>-9566.884759221459</c:v>
                </c:pt>
                <c:pt idx="1">
                  <c:v>-16400.07351844285</c:v>
                </c:pt>
                <c:pt idx="2">
                  <c:v>-16982.78027766425</c:v>
                </c:pt>
                <c:pt idx="3">
                  <c:v>-15472.50103688564</c:v>
                </c:pt>
                <c:pt idx="4">
                  <c:v>-13392.70179610703</c:v>
                </c:pt>
                <c:pt idx="5">
                  <c:v>-10601.00255532842</c:v>
                </c:pt>
                <c:pt idx="6">
                  <c:v>-6670.263314549815</c:v>
                </c:pt>
                <c:pt idx="7">
                  <c:v>-4305.704073771205</c:v>
                </c:pt>
                <c:pt idx="8">
                  <c:v>-3792.084832992598</c:v>
                </c:pt>
                <c:pt idx="9">
                  <c:v>-7920.053592213993</c:v>
                </c:pt>
                <c:pt idx="10">
                  <c:v>-16888.94235143539</c:v>
                </c:pt>
                <c:pt idx="11">
                  <c:v>-26769.06311065678</c:v>
                </c:pt>
                <c:pt idx="12">
                  <c:v>-36342.73070237319</c:v>
                </c:pt>
                <c:pt idx="13">
                  <c:v>-43155.9120732896</c:v>
                </c:pt>
                <c:pt idx="14">
                  <c:v>-43657.35672060602</c:v>
                </c:pt>
                <c:pt idx="15">
                  <c:v>-42045.30410512242</c:v>
                </c:pt>
                <c:pt idx="16">
                  <c:v>-39858.15019363884</c:v>
                </c:pt>
                <c:pt idx="17">
                  <c:v>-36952.11966215524</c:v>
                </c:pt>
                <c:pt idx="18">
                  <c:v>-32895.88653867165</c:v>
                </c:pt>
                <c:pt idx="19">
                  <c:v>-30421.18197918807</c:v>
                </c:pt>
                <c:pt idx="20">
                  <c:v>-29815.55663170448</c:v>
                </c:pt>
                <c:pt idx="21">
                  <c:v>-33897.0068466209</c:v>
                </c:pt>
                <c:pt idx="22">
                  <c:v>-42866.8180775373</c:v>
                </c:pt>
                <c:pt idx="23">
                  <c:v>-52756.79138205371</c:v>
                </c:pt>
                <c:pt idx="24">
                  <c:v>-62338.46560796175</c:v>
                </c:pt>
                <c:pt idx="25">
                  <c:v>-69132.60084810593</c:v>
                </c:pt>
                <c:pt idx="26">
                  <c:v>-69553.14434475885</c:v>
                </c:pt>
                <c:pt idx="27">
                  <c:v>-67839.47830543633</c:v>
                </c:pt>
                <c:pt idx="28">
                  <c:v>-65545.07497741301</c:v>
                </c:pt>
                <c:pt idx="29">
                  <c:v>-62524.75003851368</c:v>
                </c:pt>
                <c:pt idx="30">
                  <c:v>-58342.95052221275</c:v>
                </c:pt>
                <c:pt idx="31">
                  <c:v>-55758.17854983903</c:v>
                </c:pt>
                <c:pt idx="32">
                  <c:v>-55060.8027657429</c:v>
                </c:pt>
                <c:pt idx="33">
                  <c:v>-59096.4358845583</c:v>
                </c:pt>
                <c:pt idx="34">
                  <c:v>-68068.3359573305</c:v>
                </c:pt>
                <c:pt idx="35">
                  <c:v>-77969.41569202399</c:v>
                </c:pt>
                <c:pt idx="36">
                  <c:v>-87560.36706697504</c:v>
                </c:pt>
                <c:pt idx="37">
                  <c:v>-94336.46157410176</c:v>
                </c:pt>
                <c:pt idx="38">
                  <c:v>-94676.503138651</c:v>
                </c:pt>
                <c:pt idx="39">
                  <c:v>-92861.41991377222</c:v>
                </c:pt>
                <c:pt idx="40">
                  <c:v>-90459.90817476337</c:v>
                </c:pt>
                <c:pt idx="41">
                  <c:v>-87325.36079309195</c:v>
                </c:pt>
                <c:pt idx="42">
                  <c:v>-83017.95638316039</c:v>
                </c:pt>
                <c:pt idx="43">
                  <c:v>-80323.23038708651</c:v>
                </c:pt>
                <c:pt idx="44">
                  <c:v>-79534.39706193536</c:v>
                </c:pt>
                <c:pt idx="45">
                  <c:v>-83524.95612694426</c:v>
                </c:pt>
                <c:pt idx="46">
                  <c:v>-92500.15756205873</c:v>
                </c:pt>
                <c:pt idx="47">
                  <c:v>-102413.6446197813</c:v>
                </c:pt>
                <c:pt idx="48">
                  <c:v>-112015.1918711674</c:v>
                </c:pt>
                <c:pt idx="49">
                  <c:v>-118774.2966574245</c:v>
                </c:pt>
                <c:pt idx="50">
                  <c:v>-119034.2751822668</c:v>
                </c:pt>
                <c:pt idx="51">
                  <c:v>-117118.0086947447</c:v>
                </c:pt>
                <c:pt idx="52">
                  <c:v>-114609.5666936541</c:v>
                </c:pt>
                <c:pt idx="53">
                  <c:v>-111360.9053006028</c:v>
                </c:pt>
                <c:pt idx="54">
                  <c:v>-106927.8928804144</c:v>
                </c:pt>
                <c:pt idx="55">
                  <c:v>-104123.3631225395</c:v>
                </c:pt>
                <c:pt idx="56">
                  <c:v>-103243.4037837624</c:v>
                </c:pt>
                <c:pt idx="57">
                  <c:v>-107189.6748805689</c:v>
                </c:pt>
                <c:pt idx="58">
                  <c:v>-116169.437842708</c:v>
                </c:pt>
                <c:pt idx="59">
                  <c:v>-126096.6816265567</c:v>
                </c:pt>
                <c:pt idx="60">
                  <c:v>-135710.1932396382</c:v>
                </c:pt>
                <c:pt idx="61">
                  <c:v>-142453.4064514324</c:v>
                </c:pt>
                <c:pt idx="62">
                  <c:v>-142633.80196445</c:v>
                </c:pt>
                <c:pt idx="63">
                  <c:v>-140616.6252639821</c:v>
                </c:pt>
                <c:pt idx="64">
                  <c:v>-138001.4697299126</c:v>
                </c:pt>
                <c:pt idx="65">
                  <c:v>-134638.8406538413</c:v>
                </c:pt>
                <c:pt idx="66">
                  <c:v>-130080.2539105669</c:v>
                </c:pt>
                <c:pt idx="67">
                  <c:v>-127166.1089596966</c:v>
                </c:pt>
                <c:pt idx="68">
                  <c:v>-126195.3952180313</c:v>
                </c:pt>
                <c:pt idx="69">
                  <c:v>-130098.2089702184</c:v>
                </c:pt>
                <c:pt idx="70">
                  <c:v>-139083.8428080183</c:v>
                </c:pt>
                <c:pt idx="71">
                  <c:v>-149026.2427795806</c:v>
                </c:pt>
                <c:pt idx="72">
                  <c:v>-158653.1385901436</c:v>
                </c:pt>
                <c:pt idx="73">
                  <c:v>-165381.6070750867</c:v>
                </c:pt>
                <c:pt idx="74">
                  <c:v>-165482.9422478052</c:v>
                </c:pt>
                <c:pt idx="75">
                  <c:v>-163365.1689993459</c:v>
                </c:pt>
                <c:pt idx="76">
                  <c:v>-160643.5567247159</c:v>
                </c:pt>
                <c:pt idx="77">
                  <c:v>-157167.1456673723</c:v>
                </c:pt>
                <c:pt idx="78">
                  <c:v>-152483.0565576871</c:v>
                </c:pt>
                <c:pt idx="79">
                  <c:v>-149459.5247699717</c:v>
                </c:pt>
                <c:pt idx="80">
                  <c:v>-148398.4698173114</c:v>
                </c:pt>
                <c:pt idx="81">
                  <c:v>-152258.7029279432</c:v>
                </c:pt>
                <c:pt idx="82">
                  <c:v>-161251.5677610268</c:v>
                </c:pt>
                <c:pt idx="83">
                  <c:v>-171210.5750359838</c:v>
                </c:pt>
                <c:pt idx="84">
                  <c:v>-180852.3278717563</c:v>
                </c:pt>
                <c:pt idx="85">
                  <c:v>-187567.248794118</c:v>
                </c:pt>
                <c:pt idx="86">
                  <c:v>-187590.0904977951</c:v>
                </c:pt>
                <c:pt idx="87">
                  <c:v>-185372.076517767</c:v>
                </c:pt>
                <c:pt idx="88">
                  <c:v>-182544.3058891116</c:v>
                </c:pt>
                <c:pt idx="89">
                  <c:v>-178954.3394496721</c:v>
                </c:pt>
                <c:pt idx="90">
                  <c:v>-174144.8597129781</c:v>
                </c:pt>
                <c:pt idx="91">
                  <c:v>-171012.210760009</c:v>
                </c:pt>
                <c:pt idx="92">
                  <c:v>-169861.2709150787</c:v>
                </c:pt>
                <c:pt idx="93">
                  <c:v>-173679.8477564607</c:v>
                </c:pt>
                <c:pt idx="94">
                  <c:v>-182681.3561111746</c:v>
                </c:pt>
                <c:pt idx="95">
                  <c:v>-192658.4751036922</c:v>
                </c:pt>
                <c:pt idx="96">
                  <c:v>-202316.6124759918</c:v>
                </c:pt>
                <c:pt idx="97">
                  <c:v>-209019.2349821291</c:v>
                </c:pt>
                <c:pt idx="98">
                  <c:v>-208964.1958932388</c:v>
                </c:pt>
                <c:pt idx="99">
                  <c:v>-206646.340734943</c:v>
                </c:pt>
                <c:pt idx="100">
                  <c:v>-203712.7533128633</c:v>
                </c:pt>
                <c:pt idx="101">
                  <c:v>-200009.5005610538</c:v>
                </c:pt>
                <c:pt idx="102">
                  <c:v>-195074.7832816767</c:v>
                </c:pt>
                <c:pt idx="103">
                  <c:v>-191833.3297277051</c:v>
                </c:pt>
                <c:pt idx="104">
                  <c:v>-190593.006031031</c:v>
                </c:pt>
                <c:pt idx="105">
                  <c:v>-194370.900284195</c:v>
                </c:pt>
                <c:pt idx="106">
                  <c:v>-203382.5187795217</c:v>
                </c:pt>
                <c:pt idx="107">
                  <c:v>-213379.3088969024</c:v>
                </c:pt>
                <c:pt idx="108">
                  <c:v>-223055.4147440318</c:v>
                </c:pt>
                <c:pt idx="109">
                  <c:v>-229747.0416793103</c:v>
                </c:pt>
                <c:pt idx="110">
                  <c:v>-229614.7819359301</c:v>
                </c:pt>
                <c:pt idx="111">
                  <c:v>-227197.5305256641</c:v>
                </c:pt>
                <c:pt idx="112">
                  <c:v>-224158.5126754292</c:v>
                </c:pt>
                <c:pt idx="113">
                  <c:v>-220342.2867752332</c:v>
                </c:pt>
                <c:pt idx="114">
                  <c:v>-215282.5279950993</c:v>
                </c:pt>
                <c:pt idx="115">
                  <c:v>-211932.62692488</c:v>
                </c:pt>
                <c:pt idx="116">
                  <c:v>-210603.4667845596</c:v>
                </c:pt>
                <c:pt idx="117">
                  <c:v>-214341.7031299858</c:v>
                </c:pt>
                <c:pt idx="118">
                  <c:v>-223364.9542151478</c:v>
                </c:pt>
                <c:pt idx="119">
                  <c:v>-233383.03160426</c:v>
                </c:pt>
                <c:pt idx="120">
                  <c:v>-240350.4832646401</c:v>
                </c:pt>
                <c:pt idx="121">
                  <c:v>-244304.2081198333</c:v>
                </c:pt>
                <c:pt idx="122">
                  <c:v>-241367.1722069169</c:v>
                </c:pt>
                <c:pt idx="123">
                  <c:v>-236122.7517087792</c:v>
                </c:pt>
                <c:pt idx="124">
                  <c:v>-230250.4714595609</c:v>
                </c:pt>
                <c:pt idx="125">
                  <c:v>-223593.3665214918</c:v>
                </c:pt>
                <c:pt idx="126">
                  <c:v>-215680.5420812615</c:v>
                </c:pt>
                <c:pt idx="127">
                  <c:v>-209494.3319565029</c:v>
                </c:pt>
                <c:pt idx="128">
                  <c:v>-205348.6660227562</c:v>
                </c:pt>
                <c:pt idx="129">
                  <c:v>-206320.0570603165</c:v>
                </c:pt>
                <c:pt idx="130">
                  <c:v>-212628.255982062</c:v>
                </c:pt>
                <c:pt idx="131">
                  <c:v>-219941.0305055364</c:v>
                </c:pt>
                <c:pt idx="132">
                  <c:v>-226929.7950400485</c:v>
                </c:pt>
                <c:pt idx="133">
                  <c:v>-230875.2982466829</c:v>
                </c:pt>
                <c:pt idx="134">
                  <c:v>-227862.5112296801</c:v>
                </c:pt>
                <c:pt idx="135">
                  <c:v>-222519.7272585209</c:v>
                </c:pt>
                <c:pt idx="136">
                  <c:v>-216542.9305107205</c:v>
                </c:pt>
                <c:pt idx="137">
                  <c:v>-209773.6177921186</c:v>
                </c:pt>
                <c:pt idx="138">
                  <c:v>-201736.2795202344</c:v>
                </c:pt>
                <c:pt idx="139">
                  <c:v>-195442.4763841134</c:v>
                </c:pt>
                <c:pt idx="140">
                  <c:v>-191209.2147720763</c:v>
                </c:pt>
                <c:pt idx="141">
                  <c:v>-192143.157289665</c:v>
                </c:pt>
                <c:pt idx="142">
                  <c:v>-198466.2084087038</c:v>
                </c:pt>
                <c:pt idx="143">
                  <c:v>-205803.6799703685</c:v>
                </c:pt>
                <c:pt idx="144">
                  <c:v>-211039.3232648561</c:v>
                </c:pt>
                <c:pt idx="145">
                  <c:v>-214132.2624193605</c:v>
                </c:pt>
                <c:pt idx="146">
                  <c:v>-212315.1553401347</c:v>
                </c:pt>
                <c:pt idx="147">
                  <c:v>-208859.5927859512</c:v>
                </c:pt>
                <c:pt idx="148">
                  <c:v>-204964.4336582452</c:v>
                </c:pt>
                <c:pt idx="149">
                  <c:v>-200517.6740629332</c:v>
                </c:pt>
                <c:pt idx="150">
                  <c:v>-195183.2311189243</c:v>
                </c:pt>
                <c:pt idx="151">
                  <c:v>-191089.8925865183</c:v>
                </c:pt>
                <c:pt idx="152">
                  <c:v>-188461.7737228868</c:v>
                </c:pt>
                <c:pt idx="153">
                  <c:v>-189494.8863294124</c:v>
                </c:pt>
                <c:pt idx="154">
                  <c:v>-194346.1222242119</c:v>
                </c:pt>
                <c:pt idx="155">
                  <c:v>-199923.2259102647</c:v>
                </c:pt>
                <c:pt idx="156">
                  <c:v>-205535.4246352397</c:v>
                </c:pt>
                <c:pt idx="157">
                  <c:v>-208984.2704577617</c:v>
                </c:pt>
                <c:pt idx="158">
                  <c:v>-207475.302788807</c:v>
                </c:pt>
                <c:pt idx="159">
                  <c:v>-204312.1754398979</c:v>
                </c:pt>
                <c:pt idx="160">
                  <c:v>-200705.4975991148</c:v>
                </c:pt>
                <c:pt idx="161">
                  <c:v>-196542.169209746</c:v>
                </c:pt>
                <c:pt idx="162">
                  <c:v>-191482.8152601471</c:v>
                </c:pt>
                <c:pt idx="163">
                  <c:v>-187677.0871185247</c:v>
                </c:pt>
                <c:pt idx="164">
                  <c:v>-185351.2978656251</c:v>
                </c:pt>
                <c:pt idx="165">
                  <c:v>-186722.9817187646</c:v>
                </c:pt>
                <c:pt idx="166">
                  <c:v>-191950.5695424085</c:v>
                </c:pt>
                <c:pt idx="167">
                  <c:v>-197911.5032484741</c:v>
                </c:pt>
                <c:pt idx="168">
                  <c:v>-203803.0470883965</c:v>
                </c:pt>
                <c:pt idx="169">
                  <c:v>-207510.4047987889</c:v>
                </c:pt>
                <c:pt idx="170">
                  <c:v>-206211.7316086525</c:v>
                </c:pt>
                <c:pt idx="171">
                  <c:v>-203243.0586750422</c:v>
                </c:pt>
                <c:pt idx="172">
                  <c:v>-199826.8607006708</c:v>
                </c:pt>
                <c:pt idx="173">
                  <c:v>-195848.9307992953</c:v>
                </c:pt>
                <c:pt idx="174">
                  <c:v>-190966.5696416447</c:v>
                </c:pt>
                <c:pt idx="175">
                  <c:v>-187350.4967433108</c:v>
                </c:pt>
                <c:pt idx="176">
                  <c:v>-185229.2446237247</c:v>
                </c:pt>
                <c:pt idx="177">
                  <c:v>-186842.0809125694</c:v>
                </c:pt>
                <c:pt idx="178">
                  <c:v>-192348.9906803903</c:v>
                </c:pt>
                <c:pt idx="179">
                  <c:v>-198596.8163600477</c:v>
                </c:pt>
                <c:pt idx="180">
                  <c:v>-204719.502036087</c:v>
                </c:pt>
                <c:pt idx="181">
                  <c:v>-208636.9829986122</c:v>
                </c:pt>
                <c:pt idx="182">
                  <c:v>-207499.7620080359</c:v>
                </c:pt>
                <c:pt idx="183">
                  <c:v>-204676.5649436282</c:v>
                </c:pt>
                <c:pt idx="184">
                  <c:v>-201401.8483838015</c:v>
                </c:pt>
                <c:pt idx="185">
                  <c:v>-197560.2878452056</c:v>
                </c:pt>
                <c:pt idx="186">
                  <c:v>-192805.8271823143</c:v>
                </c:pt>
                <c:pt idx="187">
                  <c:v>-189330.4606059647</c:v>
                </c:pt>
                <c:pt idx="188">
                  <c:v>-187364.9619051213</c:v>
                </c:pt>
                <c:pt idx="189">
                  <c:v>-189170.5451899594</c:v>
                </c:pt>
                <c:pt idx="190">
                  <c:v>-194908.7650493442</c:v>
                </c:pt>
                <c:pt idx="191">
                  <c:v>-201395.5646435427</c:v>
                </c:pt>
                <c:pt idx="192">
                  <c:v>-207457.3690239801</c:v>
                </c:pt>
                <c:pt idx="193">
                  <c:v>-211648.0357196963</c:v>
                </c:pt>
                <c:pt idx="194">
                  <c:v>-211542.3327392644</c:v>
                </c:pt>
                <c:pt idx="195">
                  <c:v>-210007.4644856519</c:v>
                </c:pt>
                <c:pt idx="196">
                  <c:v>-208094.1222726319</c:v>
                </c:pt>
                <c:pt idx="197">
                  <c:v>-205704.1757138652</c:v>
                </c:pt>
                <c:pt idx="198">
                  <c:v>-202543.1148510113</c:v>
                </c:pt>
                <c:pt idx="199">
                  <c:v>-200476.6079949632</c:v>
                </c:pt>
                <c:pt idx="200">
                  <c:v>-199701.0952365574</c:v>
                </c:pt>
                <c:pt idx="201">
                  <c:v>-202141.159333907</c:v>
                </c:pt>
                <c:pt idx="202">
                  <c:v>-207934.3269351466</c:v>
                </c:pt>
                <c:pt idx="203">
                  <c:v>-214370.6175513922</c:v>
                </c:pt>
                <c:pt idx="204">
                  <c:v>-220719.9924009262</c:v>
                </c:pt>
                <c:pt idx="205">
                  <c:v>-225180.4759743816</c:v>
                </c:pt>
                <c:pt idx="206">
                  <c:v>-225303.0714383071</c:v>
                </c:pt>
                <c:pt idx="207">
                  <c:v>-223983.084240442</c:v>
                </c:pt>
                <c:pt idx="208">
                  <c:v>-222281.5049212304</c:v>
                </c:pt>
                <c:pt idx="209">
                  <c:v>-220099.243878559</c:v>
                </c:pt>
                <c:pt idx="210">
                  <c:v>-217138.9074287658</c:v>
                </c:pt>
                <c:pt idx="211">
                  <c:v>-215284.449914762</c:v>
                </c:pt>
                <c:pt idx="212">
                  <c:v>-214734.2390331898</c:v>
                </c:pt>
                <c:pt idx="213">
                  <c:v>-217431.7209564944</c:v>
                </c:pt>
                <c:pt idx="214">
                  <c:v>-223515.7726076952</c:v>
                </c:pt>
                <c:pt idx="215">
                  <c:v>-230249.8582133242</c:v>
                </c:pt>
                <c:pt idx="216">
                  <c:v>-236882.7121148468</c:v>
                </c:pt>
                <c:pt idx="217">
                  <c:v>-241608.7770196707</c:v>
                </c:pt>
                <c:pt idx="218">
                  <c:v>-241955.0584812678</c:v>
                </c:pt>
                <c:pt idx="219">
                  <c:v>-240845.238507306</c:v>
                </c:pt>
                <c:pt idx="220">
                  <c:v>-239350.7079227604</c:v>
                </c:pt>
                <c:pt idx="221">
                  <c:v>-237371.4086353902</c:v>
                </c:pt>
                <c:pt idx="222">
                  <c:v>-234607.0351021898</c:v>
                </c:pt>
                <c:pt idx="223">
                  <c:v>-232960.0070282156</c:v>
                </c:pt>
                <c:pt idx="224">
                  <c:v>-232630.6387339945</c:v>
                </c:pt>
                <c:pt idx="225">
                  <c:v>-235581.4247958381</c:v>
                </c:pt>
                <c:pt idx="226">
                  <c:v>-241952.6057729517</c:v>
                </c:pt>
                <c:pt idx="227">
                  <c:v>-248980.8304946374</c:v>
                </c:pt>
                <c:pt idx="228">
                  <c:v>-255895.7102801279</c:v>
                </c:pt>
                <c:pt idx="229">
                  <c:v>-260885.7593340559</c:v>
                </c:pt>
                <c:pt idx="230">
                  <c:v>-261453.7505509728</c:v>
                </c:pt>
                <c:pt idx="231">
                  <c:v>-260552.0207200715</c:v>
                </c:pt>
                <c:pt idx="232">
                  <c:v>-259262.4630055028</c:v>
                </c:pt>
                <c:pt idx="233">
                  <c:v>-257484.0414661007</c:v>
                </c:pt>
                <c:pt idx="234">
                  <c:v>-254913.5102962516</c:v>
                </c:pt>
                <c:pt idx="235">
                  <c:v>-253472.9356572174</c:v>
                </c:pt>
                <c:pt idx="236">
                  <c:v>-253364.5977043916</c:v>
                </c:pt>
                <c:pt idx="237">
                  <c:v>-256570.226226936</c:v>
                </c:pt>
                <c:pt idx="238">
                  <c:v>-263231.4389190638</c:v>
                </c:pt>
                <c:pt idx="239">
                  <c:v>-270557.8065577051</c:v>
                </c:pt>
              </c:numCache>
            </c:numRef>
          </c:val>
          <c:smooth val="0"/>
        </c:ser>
        <c:ser>
          <c:idx val="2"/>
          <c:order val="1"/>
          <c:tx>
            <c:v>Cumulative CF Equity Financing</c:v>
          </c:tx>
          <c:spPr>
            <a:ln w="28575" cmpd="sng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France!$H$5:$H$244</c:f>
              <c:numCache>
                <c:formatCode>General</c:formatCode>
                <c:ptCount val="240"/>
                <c:pt idx="0">
                  <c:v>2015.0</c:v>
                </c:pt>
                <c:pt idx="12">
                  <c:v>2016.0</c:v>
                </c:pt>
                <c:pt idx="24">
                  <c:v>2017.0</c:v>
                </c:pt>
                <c:pt idx="36">
                  <c:v>2018.0</c:v>
                </c:pt>
                <c:pt idx="48">
                  <c:v>2019.0</c:v>
                </c:pt>
                <c:pt idx="60">
                  <c:v>2020.0</c:v>
                </c:pt>
                <c:pt idx="72">
                  <c:v>2021.0</c:v>
                </c:pt>
                <c:pt idx="84">
                  <c:v>2022.0</c:v>
                </c:pt>
                <c:pt idx="96">
                  <c:v>2023.0</c:v>
                </c:pt>
                <c:pt idx="108">
                  <c:v>2024.0</c:v>
                </c:pt>
                <c:pt idx="120">
                  <c:v>2025.0</c:v>
                </c:pt>
                <c:pt idx="132">
                  <c:v>2026.0</c:v>
                </c:pt>
                <c:pt idx="144">
                  <c:v>2027.0</c:v>
                </c:pt>
                <c:pt idx="156">
                  <c:v>2028.0</c:v>
                </c:pt>
                <c:pt idx="168">
                  <c:v>2029.0</c:v>
                </c:pt>
                <c:pt idx="180">
                  <c:v>2030.0</c:v>
                </c:pt>
                <c:pt idx="192">
                  <c:v>2031.0</c:v>
                </c:pt>
                <c:pt idx="204">
                  <c:v>2032.0</c:v>
                </c:pt>
                <c:pt idx="216">
                  <c:v>2033.0</c:v>
                </c:pt>
                <c:pt idx="228">
                  <c:v>2034.0</c:v>
                </c:pt>
              </c:numCache>
            </c:numRef>
          </c:cat>
          <c:val>
            <c:numRef>
              <c:f>France!$AK$5:$AK$244</c:f>
              <c:numCache>
                <c:formatCode>#,##0</c:formatCode>
                <c:ptCount val="240"/>
                <c:pt idx="0">
                  <c:v>-1.52731219540051E6</c:v>
                </c:pt>
                <c:pt idx="1">
                  <c:v>-1.52406239360058E6</c:v>
                </c:pt>
                <c:pt idx="2">
                  <c:v>-1.51456210980066E6</c:v>
                </c:pt>
                <c:pt idx="3">
                  <c:v>-1.50296884000073E6</c:v>
                </c:pt>
                <c:pt idx="4">
                  <c:v>-1.4908060502008E6</c:v>
                </c:pt>
                <c:pt idx="5">
                  <c:v>-1.47793136040087E6</c:v>
                </c:pt>
                <c:pt idx="6">
                  <c:v>-1.46391763060095E6</c:v>
                </c:pt>
                <c:pt idx="7">
                  <c:v>-1.45147008080102E6</c:v>
                </c:pt>
                <c:pt idx="8">
                  <c:v>-1.44087347100109E6</c:v>
                </c:pt>
                <c:pt idx="9">
                  <c:v>-1.43491844920116E6</c:v>
                </c:pt>
                <c:pt idx="10">
                  <c:v>-1.43380434740124E6</c:v>
                </c:pt>
                <c:pt idx="11">
                  <c:v>-1.43360147760131E6</c:v>
                </c:pt>
                <c:pt idx="12">
                  <c:v>-1.43309215463388E6</c:v>
                </c:pt>
                <c:pt idx="13">
                  <c:v>-1.42982234544565E6</c:v>
                </c:pt>
                <c:pt idx="14">
                  <c:v>-1.42024079953381E6</c:v>
                </c:pt>
                <c:pt idx="15">
                  <c:v>-1.40854575635918E6</c:v>
                </c:pt>
                <c:pt idx="16">
                  <c:v>-1.39627561188855E6</c:v>
                </c:pt>
                <c:pt idx="17">
                  <c:v>-1.38328659079792E6</c:v>
                </c:pt>
                <c:pt idx="18">
                  <c:v>-1.36914736711528E6</c:v>
                </c:pt>
                <c:pt idx="19">
                  <c:v>-1.35658967199665E6</c:v>
                </c:pt>
                <c:pt idx="20">
                  <c:v>-1.34590105609002E6</c:v>
                </c:pt>
                <c:pt idx="21">
                  <c:v>-1.33989951574579E6</c:v>
                </c:pt>
                <c:pt idx="22">
                  <c:v>-1.33878633641756E6</c:v>
                </c:pt>
                <c:pt idx="23">
                  <c:v>-1.33859331916292E6</c:v>
                </c:pt>
                <c:pt idx="24">
                  <c:v>-1.33809200282968E6</c:v>
                </c:pt>
                <c:pt idx="25">
                  <c:v>-1.33480314751068E6</c:v>
                </c:pt>
                <c:pt idx="26">
                  <c:v>-1.32514070044818E6</c:v>
                </c:pt>
                <c:pt idx="27">
                  <c:v>-1.31334404384971E6</c:v>
                </c:pt>
                <c:pt idx="28">
                  <c:v>-1.30096664996254E6</c:v>
                </c:pt>
                <c:pt idx="29">
                  <c:v>-1.28786333446449E6</c:v>
                </c:pt>
                <c:pt idx="30">
                  <c:v>-1.27359854438904E6</c:v>
                </c:pt>
                <c:pt idx="31">
                  <c:v>-1.26093078185752E6</c:v>
                </c:pt>
                <c:pt idx="32">
                  <c:v>-1.25015041551427E6</c:v>
                </c:pt>
                <c:pt idx="33">
                  <c:v>-1.24410305807394E6</c:v>
                </c:pt>
                <c:pt idx="34">
                  <c:v>-1.24299196758756E6</c:v>
                </c:pt>
                <c:pt idx="35">
                  <c:v>-1.24281005676311E6</c:v>
                </c:pt>
                <c:pt idx="36">
                  <c:v>-1.24231801757891E6</c:v>
                </c:pt>
                <c:pt idx="37">
                  <c:v>-1.23901112152689E6</c:v>
                </c:pt>
                <c:pt idx="38">
                  <c:v>-1.22926817253229E6</c:v>
                </c:pt>
                <c:pt idx="39">
                  <c:v>-1.21737009874826E6</c:v>
                </c:pt>
                <c:pt idx="40">
                  <c:v>-1.20488559645011E6</c:v>
                </c:pt>
                <c:pt idx="41">
                  <c:v>-1.19166805850929E6</c:v>
                </c:pt>
                <c:pt idx="42">
                  <c:v>-1.17727766354021E6</c:v>
                </c:pt>
                <c:pt idx="43">
                  <c:v>-1.16449994698498E6</c:v>
                </c:pt>
                <c:pt idx="44">
                  <c:v>-1.15362812310068E6</c:v>
                </c:pt>
                <c:pt idx="45">
                  <c:v>-1.14753569160654E6</c:v>
                </c:pt>
                <c:pt idx="46">
                  <c:v>-1.14642790248251E6</c:v>
                </c:pt>
                <c:pt idx="47">
                  <c:v>-1.14625839898108E6</c:v>
                </c:pt>
                <c:pt idx="48">
                  <c:v>-1.14577695567332E6</c:v>
                </c:pt>
                <c:pt idx="49">
                  <c:v>-1.14245306990043E6</c:v>
                </c:pt>
                <c:pt idx="50">
                  <c:v>-1.13263005786612E6</c:v>
                </c:pt>
                <c:pt idx="51">
                  <c:v>-1.12063080081945E6</c:v>
                </c:pt>
                <c:pt idx="52">
                  <c:v>-1.10803936825921E6</c:v>
                </c:pt>
                <c:pt idx="53">
                  <c:v>-1.09470771630701E6</c:v>
                </c:pt>
                <c:pt idx="54">
                  <c:v>-1.08019171332768E6</c:v>
                </c:pt>
                <c:pt idx="55">
                  <c:v>-1.06730419301065E6</c:v>
                </c:pt>
                <c:pt idx="56">
                  <c:v>-1.05634124311273E6</c:v>
                </c:pt>
                <c:pt idx="57">
                  <c:v>-1.05020452365038E6</c:v>
                </c:pt>
                <c:pt idx="58">
                  <c:v>-1.04910129605338E6</c:v>
                </c:pt>
                <c:pt idx="59">
                  <c:v>-1.04894554927808E6</c:v>
                </c:pt>
                <c:pt idx="60">
                  <c:v>-1.04847607033201E6</c:v>
                </c:pt>
                <c:pt idx="61">
                  <c:v>-1.04513629298465E6</c:v>
                </c:pt>
                <c:pt idx="62">
                  <c:v>-1.03523369793852E6</c:v>
                </c:pt>
                <c:pt idx="63">
                  <c:v>-1.02313353067891E6</c:v>
                </c:pt>
                <c:pt idx="64">
                  <c:v>-1.01043538458569E6</c:v>
                </c:pt>
                <c:pt idx="65">
                  <c:v>-996989.764950468</c:v>
                </c:pt>
                <c:pt idx="66">
                  <c:v>-982348.1876480449</c:v>
                </c:pt>
                <c:pt idx="67">
                  <c:v>-969351.052138026</c:v>
                </c:pt>
                <c:pt idx="68">
                  <c:v>-958297.347837212</c:v>
                </c:pt>
                <c:pt idx="69">
                  <c:v>-952117.1710302504</c:v>
                </c:pt>
                <c:pt idx="70">
                  <c:v>-951019.8143089017</c:v>
                </c:pt>
                <c:pt idx="71">
                  <c:v>-950879.2237213153</c:v>
                </c:pt>
                <c:pt idx="72">
                  <c:v>-950423.1289727298</c:v>
                </c:pt>
                <c:pt idx="73">
                  <c:v>-947068.6068985242</c:v>
                </c:pt>
                <c:pt idx="74">
                  <c:v>-937086.9515120941</c:v>
                </c:pt>
                <c:pt idx="75">
                  <c:v>-924886.1877044863</c:v>
                </c:pt>
                <c:pt idx="76">
                  <c:v>-912081.5848707076</c:v>
                </c:pt>
                <c:pt idx="77">
                  <c:v>-898522.1832542154</c:v>
                </c:pt>
                <c:pt idx="78">
                  <c:v>-883755.1035853816</c:v>
                </c:pt>
                <c:pt idx="79">
                  <c:v>-870648.5812385175</c:v>
                </c:pt>
                <c:pt idx="80">
                  <c:v>-859504.5357267085</c:v>
                </c:pt>
                <c:pt idx="81">
                  <c:v>-853281.7782781917</c:v>
                </c:pt>
                <c:pt idx="82">
                  <c:v>-852191.6525521266</c:v>
                </c:pt>
                <c:pt idx="83">
                  <c:v>-852067.669267935</c:v>
                </c:pt>
                <c:pt idx="84">
                  <c:v>-851626.4315445588</c:v>
                </c:pt>
                <c:pt idx="85">
                  <c:v>-848258.3619077717</c:v>
                </c:pt>
                <c:pt idx="86">
                  <c:v>-838198.2130523002</c:v>
                </c:pt>
                <c:pt idx="87">
                  <c:v>-825897.2085131236</c:v>
                </c:pt>
                <c:pt idx="88">
                  <c:v>-812986.4473253195</c:v>
                </c:pt>
                <c:pt idx="89">
                  <c:v>-799313.4903267313</c:v>
                </c:pt>
                <c:pt idx="90">
                  <c:v>-784421.0200308886</c:v>
                </c:pt>
                <c:pt idx="91">
                  <c:v>-771205.3805187709</c:v>
                </c:pt>
                <c:pt idx="92">
                  <c:v>-759971.4501146918</c:v>
                </c:pt>
                <c:pt idx="93">
                  <c:v>-753707.0363969252</c:v>
                </c:pt>
                <c:pt idx="94">
                  <c:v>-752625.5541924905</c:v>
                </c:pt>
                <c:pt idx="95">
                  <c:v>-752519.6826258594</c:v>
                </c:pt>
                <c:pt idx="96">
                  <c:v>-752094.8294390103</c:v>
                </c:pt>
                <c:pt idx="97">
                  <c:v>-748714.461385999</c:v>
                </c:pt>
                <c:pt idx="98">
                  <c:v>-738576.43173796</c:v>
                </c:pt>
                <c:pt idx="99">
                  <c:v>-726175.5860205156</c:v>
                </c:pt>
                <c:pt idx="100">
                  <c:v>-713159.0080392873</c:v>
                </c:pt>
                <c:pt idx="101">
                  <c:v>-699372.7647283291</c:v>
                </c:pt>
                <c:pt idx="102">
                  <c:v>-684355.0568898033</c:v>
                </c:pt>
                <c:pt idx="103">
                  <c:v>-671030.6127766832</c:v>
                </c:pt>
                <c:pt idx="104">
                  <c:v>-659707.2985208604</c:v>
                </c:pt>
                <c:pt idx="105">
                  <c:v>-653402.2022148758</c:v>
                </c:pt>
                <c:pt idx="106">
                  <c:v>-652330.8301510538</c:v>
                </c:pt>
                <c:pt idx="107">
                  <c:v>-652244.6297092859</c:v>
                </c:pt>
                <c:pt idx="108">
                  <c:v>-651837.7449972667</c:v>
                </c:pt>
                <c:pt idx="109">
                  <c:v>-648446.3813733966</c:v>
                </c:pt>
                <c:pt idx="110">
                  <c:v>-638231.1310708678</c:v>
                </c:pt>
                <c:pt idx="111">
                  <c:v>-625730.8891014531</c:v>
                </c:pt>
                <c:pt idx="112">
                  <c:v>-612608.8806920695</c:v>
                </c:pt>
                <c:pt idx="113">
                  <c:v>-598709.6642327248</c:v>
                </c:pt>
                <c:pt idx="114">
                  <c:v>-583566.9148934422</c:v>
                </c:pt>
                <c:pt idx="115">
                  <c:v>-570134.0232640743</c:v>
                </c:pt>
                <c:pt idx="116">
                  <c:v>-558721.8725646053</c:v>
                </c:pt>
                <c:pt idx="117">
                  <c:v>-552377.1183508829</c:v>
                </c:pt>
                <c:pt idx="118">
                  <c:v>-551317.3788768962</c:v>
                </c:pt>
                <c:pt idx="119">
                  <c:v>-551252.4657068598</c:v>
                </c:pt>
                <c:pt idx="120">
                  <c:v>-548136.9268080913</c:v>
                </c:pt>
                <c:pt idx="121">
                  <c:v>-542007.661104136</c:v>
                </c:pt>
                <c:pt idx="122">
                  <c:v>-528987.6346320708</c:v>
                </c:pt>
                <c:pt idx="123">
                  <c:v>-513660.2235747844</c:v>
                </c:pt>
                <c:pt idx="124">
                  <c:v>-497704.9527664175</c:v>
                </c:pt>
                <c:pt idx="125">
                  <c:v>-480964.8572691998</c:v>
                </c:pt>
                <c:pt idx="126">
                  <c:v>-462969.0422698209</c:v>
                </c:pt>
                <c:pt idx="127">
                  <c:v>-446699.8415859136</c:v>
                </c:pt>
                <c:pt idx="128">
                  <c:v>-432471.1850930183</c:v>
                </c:pt>
                <c:pt idx="129">
                  <c:v>-423359.58557143</c:v>
                </c:pt>
                <c:pt idx="130">
                  <c:v>-419584.7939340268</c:v>
                </c:pt>
                <c:pt idx="131">
                  <c:v>-416814.5778983526</c:v>
                </c:pt>
                <c:pt idx="132">
                  <c:v>-413720.3518737161</c:v>
                </c:pt>
                <c:pt idx="133">
                  <c:v>-407582.8645212018</c:v>
                </c:pt>
                <c:pt idx="134">
                  <c:v>-394487.0869450504</c:v>
                </c:pt>
                <c:pt idx="135">
                  <c:v>-379061.3124147425</c:v>
                </c:pt>
                <c:pt idx="136">
                  <c:v>-363001.5251077935</c:v>
                </c:pt>
                <c:pt idx="137">
                  <c:v>-346149.221830043</c:v>
                </c:pt>
                <c:pt idx="138">
                  <c:v>-328028.8929990101</c:v>
                </c:pt>
                <c:pt idx="139">
                  <c:v>-311652.0993037404</c:v>
                </c:pt>
                <c:pt idx="140">
                  <c:v>-297335.8471325547</c:v>
                </c:pt>
                <c:pt idx="141">
                  <c:v>-288186.7990909947</c:v>
                </c:pt>
                <c:pt idx="142">
                  <c:v>-284426.8596508849</c:v>
                </c:pt>
                <c:pt idx="143">
                  <c:v>-281681.340653401</c:v>
                </c:pt>
                <c:pt idx="144">
                  <c:v>-277829.5556187434</c:v>
                </c:pt>
                <c:pt idx="145">
                  <c:v>-271826.6108818621</c:v>
                </c:pt>
                <c:pt idx="146">
                  <c:v>-260905.1291175007</c:v>
                </c:pt>
                <c:pt idx="147">
                  <c:v>-248336.6657061242</c:v>
                </c:pt>
                <c:pt idx="148">
                  <c:v>-235320.0440234512</c:v>
                </c:pt>
                <c:pt idx="149">
                  <c:v>-221743.2245016574</c:v>
                </c:pt>
                <c:pt idx="150">
                  <c:v>-207270.0884372705</c:v>
                </c:pt>
                <c:pt idx="151">
                  <c:v>-194029.3876189492</c:v>
                </c:pt>
                <c:pt idx="152">
                  <c:v>-182245.2011823418</c:v>
                </c:pt>
                <c:pt idx="153">
                  <c:v>-174113.5046568017</c:v>
                </c:pt>
                <c:pt idx="154">
                  <c:v>-169791.1534372826</c:v>
                </c:pt>
                <c:pt idx="155">
                  <c:v>-166185.8554518381</c:v>
                </c:pt>
                <c:pt idx="156">
                  <c:v>-162606.8012208155</c:v>
                </c:pt>
                <c:pt idx="157">
                  <c:v>-156855.5059224874</c:v>
                </c:pt>
                <c:pt idx="158">
                  <c:v>-146137.4719338098</c:v>
                </c:pt>
                <c:pt idx="159">
                  <c:v>-133756.3158779765</c:v>
                </c:pt>
                <c:pt idx="160">
                  <c:v>-120922.6095997879</c:v>
                </c:pt>
                <c:pt idx="161">
                  <c:v>-107523.2155436551</c:v>
                </c:pt>
                <c:pt idx="162">
                  <c:v>-93218.72104281178</c:v>
                </c:pt>
                <c:pt idx="163">
                  <c:v>-80158.73965344551</c:v>
                </c:pt>
                <c:pt idx="164">
                  <c:v>-68569.546486734</c:v>
                </c:pt>
                <c:pt idx="165">
                  <c:v>-60668.63763221818</c:v>
                </c:pt>
                <c:pt idx="166">
                  <c:v>-56614.40566772245</c:v>
                </c:pt>
                <c:pt idx="167">
                  <c:v>-53284.25405899521</c:v>
                </c:pt>
                <c:pt idx="168">
                  <c:v>-49875.40845111079</c:v>
                </c:pt>
                <c:pt idx="169">
                  <c:v>-44273.03381346133</c:v>
                </c:pt>
                <c:pt idx="170">
                  <c:v>-33655.24644629698</c:v>
                </c:pt>
                <c:pt idx="171">
                  <c:v>-21358.03841571877</c:v>
                </c:pt>
                <c:pt idx="172">
                  <c:v>-8603.845170606177</c:v>
                </c:pt>
                <c:pt idx="173">
                  <c:v>4721.579592674398</c:v>
                </c:pt>
                <c:pt idx="174">
                  <c:v>18960.97478502374</c:v>
                </c:pt>
                <c:pt idx="175">
                  <c:v>31943.66063740353</c:v>
                </c:pt>
                <c:pt idx="176">
                  <c:v>43441.14454254656</c:v>
                </c:pt>
                <c:pt idx="177">
                  <c:v>51214.19894923436</c:v>
                </c:pt>
                <c:pt idx="178">
                  <c:v>55102.87903237987</c:v>
                </c:pt>
                <c:pt idx="179">
                  <c:v>58260.38277227037</c:v>
                </c:pt>
                <c:pt idx="180">
                  <c:v>61552.8066658963</c:v>
                </c:pt>
                <c:pt idx="181">
                  <c:v>67060.25617377897</c:v>
                </c:pt>
                <c:pt idx="182">
                  <c:v>77632.26945592576</c:v>
                </c:pt>
                <c:pt idx="183">
                  <c:v>89900.16172398788</c:v>
                </c:pt>
                <c:pt idx="184">
                  <c:v>102629.5176616868</c:v>
                </c:pt>
                <c:pt idx="185">
                  <c:v>115935.7031864318</c:v>
                </c:pt>
                <c:pt idx="186">
                  <c:v>130164.8160504504</c:v>
                </c:pt>
                <c:pt idx="187">
                  <c:v>143124.9038229678</c:v>
                </c:pt>
                <c:pt idx="188">
                  <c:v>154585.2346691654</c:v>
                </c:pt>
                <c:pt idx="189">
                  <c:v>162284.636607823</c:v>
                </c:pt>
                <c:pt idx="190">
                  <c:v>166061.5973545676</c:v>
                </c:pt>
                <c:pt idx="191">
                  <c:v>169100.2162298932</c:v>
                </c:pt>
                <c:pt idx="192">
                  <c:v>172373.4372650346</c:v>
                </c:pt>
                <c:pt idx="193">
                  <c:v>177531.9045723377</c:v>
                </c:pt>
                <c:pt idx="194">
                  <c:v>187000.9089290102</c:v>
                </c:pt>
                <c:pt idx="195">
                  <c:v>197913.3049628063</c:v>
                </c:pt>
                <c:pt idx="196">
                  <c:v>209218.4606366362</c:v>
                </c:pt>
                <c:pt idx="197">
                  <c:v>221014.5658605082</c:v>
                </c:pt>
                <c:pt idx="198">
                  <c:v>233596.1903644474</c:v>
                </c:pt>
                <c:pt idx="199">
                  <c:v>245097.7258582941</c:v>
                </c:pt>
                <c:pt idx="200">
                  <c:v>255322.7925220314</c:v>
                </c:pt>
                <c:pt idx="201">
                  <c:v>262346.8681194943</c:v>
                </c:pt>
                <c:pt idx="202">
                  <c:v>266032.4867766711</c:v>
                </c:pt>
                <c:pt idx="203">
                  <c:v>269089.690009794</c:v>
                </c:pt>
                <c:pt idx="204">
                  <c:v>272248.5778822096</c:v>
                </c:pt>
                <c:pt idx="205">
                  <c:v>277311.187440254</c:v>
                </c:pt>
                <c:pt idx="206">
                  <c:v>286726.5773107517</c:v>
                </c:pt>
                <c:pt idx="207">
                  <c:v>297599.5040968089</c:v>
                </c:pt>
                <c:pt idx="208">
                  <c:v>308869.0395673721</c:v>
                </c:pt>
                <c:pt idx="209">
                  <c:v>320634.3358935678</c:v>
                </c:pt>
                <c:pt idx="210">
                  <c:v>333192.8495887754</c:v>
                </c:pt>
                <c:pt idx="211">
                  <c:v>344660.6894015917</c:v>
                </c:pt>
                <c:pt idx="212">
                  <c:v>354839.5509897633</c:v>
                </c:pt>
                <c:pt idx="213">
                  <c:v>361786.0517992112</c:v>
                </c:pt>
                <c:pt idx="214">
                  <c:v>365361.3787903581</c:v>
                </c:pt>
                <c:pt idx="215">
                  <c:v>368302.1318862954</c:v>
                </c:pt>
                <c:pt idx="216">
                  <c:v>371359.641162471</c:v>
                </c:pt>
                <c:pt idx="217">
                  <c:v>376339.5285967945</c:v>
                </c:pt>
                <c:pt idx="218">
                  <c:v>385714.8535906333</c:v>
                </c:pt>
                <c:pt idx="219">
                  <c:v>396561.9993618041</c:v>
                </c:pt>
                <c:pt idx="220">
                  <c:v>407809.6405825891</c:v>
                </c:pt>
                <c:pt idx="221">
                  <c:v>419557.9011153918</c:v>
                </c:pt>
                <c:pt idx="222">
                  <c:v>432107.1525474228</c:v>
                </c:pt>
                <c:pt idx="223">
                  <c:v>443555.0414930148</c:v>
                </c:pt>
                <c:pt idx="224">
                  <c:v>453701.3202273609</c:v>
                </c:pt>
                <c:pt idx="225">
                  <c:v>460583.5610473516</c:v>
                </c:pt>
                <c:pt idx="226">
                  <c:v>464061.590545622</c:v>
                </c:pt>
                <c:pt idx="227">
                  <c:v>466898.8273245098</c:v>
                </c:pt>
                <c:pt idx="228">
                  <c:v>469865.7277773874</c:v>
                </c:pt>
                <c:pt idx="229">
                  <c:v>474773.8456943627</c:v>
                </c:pt>
                <c:pt idx="230">
                  <c:v>484120.4764589366</c:v>
                </c:pt>
                <c:pt idx="231">
                  <c:v>494953.3518444604</c:v>
                </c:pt>
                <c:pt idx="232">
                  <c:v>506190.6475350046</c:v>
                </c:pt>
                <c:pt idx="233">
                  <c:v>517933.4686068242</c:v>
                </c:pt>
                <c:pt idx="234">
                  <c:v>530485.1302886846</c:v>
                </c:pt>
                <c:pt idx="235">
                  <c:v>541923.636131739</c:v>
                </c:pt>
                <c:pt idx="236">
                  <c:v>552046.7759834771</c:v>
                </c:pt>
                <c:pt idx="237">
                  <c:v>558872.8903492992</c:v>
                </c:pt>
                <c:pt idx="238">
                  <c:v>562260.432122448</c:v>
                </c:pt>
                <c:pt idx="239">
                  <c:v>564999.9014075644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232984"/>
        <c:axId val="-2138577464"/>
      </c:lineChart>
      <c:dateAx>
        <c:axId val="2091232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8577464"/>
        <c:crosses val="autoZero"/>
        <c:auto val="0"/>
        <c:lblOffset val="100"/>
        <c:baseTimeUnit val="days"/>
      </c:dateAx>
      <c:valAx>
        <c:axId val="-21385774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050"/>
                </a:pPr>
                <a:r>
                  <a:rPr lang="en-US" sz="1050"/>
                  <a:t>EUR</a:t>
                </a:r>
              </a:p>
            </c:rich>
          </c:tx>
          <c:layout>
            <c:manualLayout>
              <c:xMode val="edge"/>
              <c:yMode val="edge"/>
              <c:x val="0.012681636989639"/>
              <c:y val="0.29893278278605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0912329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401957683408"/>
          <c:y val="0.0457516249308945"/>
          <c:w val="0.856570558172829"/>
          <c:h val="0.809662987046277"/>
        </c:manualLayout>
      </c:layout>
      <c:lineChart>
        <c:grouping val="standard"/>
        <c:varyColors val="0"/>
        <c:ser>
          <c:idx val="0"/>
          <c:order val="0"/>
          <c:tx>
            <c:v>NPV Debt Financing</c:v>
          </c:tx>
          <c:marker>
            <c:symbol val="none"/>
          </c:marker>
          <c:cat>
            <c:numRef>
              <c:f>Germany!$H$5:$H$244</c:f>
              <c:numCache>
                <c:formatCode>General</c:formatCode>
                <c:ptCount val="240"/>
                <c:pt idx="0">
                  <c:v>2015.0</c:v>
                </c:pt>
                <c:pt idx="12">
                  <c:v>2016.0</c:v>
                </c:pt>
                <c:pt idx="24">
                  <c:v>2017.0</c:v>
                </c:pt>
                <c:pt idx="36">
                  <c:v>2018.0</c:v>
                </c:pt>
                <c:pt idx="48">
                  <c:v>2019.0</c:v>
                </c:pt>
                <c:pt idx="60">
                  <c:v>2020.0</c:v>
                </c:pt>
                <c:pt idx="72">
                  <c:v>2021.0</c:v>
                </c:pt>
                <c:pt idx="84">
                  <c:v>2022.0</c:v>
                </c:pt>
                <c:pt idx="96">
                  <c:v>2023.0</c:v>
                </c:pt>
                <c:pt idx="108">
                  <c:v>2024.0</c:v>
                </c:pt>
                <c:pt idx="120">
                  <c:v>2025.0</c:v>
                </c:pt>
                <c:pt idx="132">
                  <c:v>2026.0</c:v>
                </c:pt>
                <c:pt idx="144">
                  <c:v>2027.0</c:v>
                </c:pt>
                <c:pt idx="156">
                  <c:v>2028.0</c:v>
                </c:pt>
                <c:pt idx="168">
                  <c:v>2029.0</c:v>
                </c:pt>
                <c:pt idx="180">
                  <c:v>2030.0</c:v>
                </c:pt>
                <c:pt idx="192">
                  <c:v>2031.0</c:v>
                </c:pt>
                <c:pt idx="204">
                  <c:v>2032.0</c:v>
                </c:pt>
                <c:pt idx="216">
                  <c:v>2033.0</c:v>
                </c:pt>
                <c:pt idx="228">
                  <c:v>2034.0</c:v>
                </c:pt>
              </c:numCache>
            </c:numRef>
          </c:cat>
          <c:val>
            <c:numRef>
              <c:f>Germany!$Y$5:$Y$239</c:f>
              <c:numCache>
                <c:formatCode>#,##0</c:formatCode>
                <c:ptCount val="235"/>
                <c:pt idx="0">
                  <c:v>-11509.46738973466</c:v>
                </c:pt>
                <c:pt idx="1">
                  <c:v>-21626.93477946932</c:v>
                </c:pt>
                <c:pt idx="2">
                  <c:v>-28363.83074063256</c:v>
                </c:pt>
                <c:pt idx="3">
                  <c:v>-33021.0124160815</c:v>
                </c:pt>
                <c:pt idx="4">
                  <c:v>-37429.62266295902</c:v>
                </c:pt>
                <c:pt idx="5">
                  <c:v>-41838.23290983654</c:v>
                </c:pt>
                <c:pt idx="6">
                  <c:v>-46246.84315671407</c:v>
                </c:pt>
                <c:pt idx="7">
                  <c:v>-51235.45340359159</c:v>
                </c:pt>
                <c:pt idx="8">
                  <c:v>-57806.63507904053</c:v>
                </c:pt>
                <c:pt idx="9">
                  <c:v>-66407.81675448948</c:v>
                </c:pt>
                <c:pt idx="10">
                  <c:v>-77585.85557279558</c:v>
                </c:pt>
                <c:pt idx="11">
                  <c:v>-89459.89439110167</c:v>
                </c:pt>
                <c:pt idx="12">
                  <c:v>-100497.1690582367</c:v>
                </c:pt>
                <c:pt idx="13">
                  <c:v>-110221.9865825147</c:v>
                </c:pt>
                <c:pt idx="14">
                  <c:v>-116759.4081884252</c:v>
                </c:pt>
                <c:pt idx="15">
                  <c:v>-121335.9563249481</c:v>
                </c:pt>
                <c:pt idx="16">
                  <c:v>-125678.1371145321</c:v>
                </c:pt>
                <c:pt idx="17">
                  <c:v>-130020.3179041161</c:v>
                </c:pt>
                <c:pt idx="18">
                  <c:v>-134362.4986937002</c:v>
                </c:pt>
                <c:pt idx="19">
                  <c:v>-139251.5366261414</c:v>
                </c:pt>
                <c:pt idx="20">
                  <c:v>-145632.7133340928</c:v>
                </c:pt>
                <c:pt idx="21">
                  <c:v>-153927.8900420441</c:v>
                </c:pt>
                <c:pt idx="22">
                  <c:v>-164652.6749132608</c:v>
                </c:pt>
                <c:pt idx="23">
                  <c:v>-176033.6883559061</c:v>
                </c:pt>
                <c:pt idx="24">
                  <c:v>-186618.8995241603</c:v>
                </c:pt>
                <c:pt idx="25">
                  <c:v>-195966.6511005778</c:v>
                </c:pt>
                <c:pt idx="26">
                  <c:v>-202309.143668249</c:v>
                </c:pt>
                <c:pt idx="27">
                  <c:v>-206802.8126790687</c:v>
                </c:pt>
                <c:pt idx="28">
                  <c:v>-211075.5067627748</c:v>
                </c:pt>
                <c:pt idx="29">
                  <c:v>-215348.200846481</c:v>
                </c:pt>
                <c:pt idx="30">
                  <c:v>-219620.894930187</c:v>
                </c:pt>
                <c:pt idx="31">
                  <c:v>-224409.1971771584</c:v>
                </c:pt>
                <c:pt idx="32">
                  <c:v>-230604.3731267537</c:v>
                </c:pt>
                <c:pt idx="33">
                  <c:v>-238604.1776477776</c:v>
                </c:pt>
                <c:pt idx="34">
                  <c:v>-248894.7555798802</c:v>
                </c:pt>
                <c:pt idx="35">
                  <c:v>-259804.0633079012</c:v>
                </c:pt>
                <c:pt idx="36">
                  <c:v>-269956.4785948881</c:v>
                </c:pt>
                <c:pt idx="37">
                  <c:v>-278942.1462667147</c:v>
                </c:pt>
                <c:pt idx="38">
                  <c:v>-285094.284016009</c:v>
                </c:pt>
                <c:pt idx="39">
                  <c:v>-289503.2452688435</c:v>
                </c:pt>
                <c:pt idx="40">
                  <c:v>-293703.8587332565</c:v>
                </c:pt>
                <c:pt idx="41">
                  <c:v>-297904.4721976694</c:v>
                </c:pt>
                <c:pt idx="42">
                  <c:v>-302105.0856620824</c:v>
                </c:pt>
                <c:pt idx="43">
                  <c:v>-306791.8439661456</c:v>
                </c:pt>
                <c:pt idx="44">
                  <c:v>-312805.0831898255</c:v>
                </c:pt>
                <c:pt idx="45">
                  <c:v>-320519.8293522811</c:v>
                </c:pt>
                <c:pt idx="46">
                  <c:v>-330394.4475880393</c:v>
                </c:pt>
                <c:pt idx="47">
                  <c:v>-340852.4396313777</c:v>
                </c:pt>
                <c:pt idx="48">
                  <c:v>-350590.5012569608</c:v>
                </c:pt>
                <c:pt idx="49">
                  <c:v>-359228.4865596783</c:v>
                </c:pt>
                <c:pt idx="50">
                  <c:v>-365194.8579354369</c:v>
                </c:pt>
                <c:pt idx="51">
                  <c:v>-369517.6629002476</c:v>
                </c:pt>
                <c:pt idx="52">
                  <c:v>-373644.0256645466</c:v>
                </c:pt>
                <c:pt idx="53">
                  <c:v>-377770.3884288457</c:v>
                </c:pt>
                <c:pt idx="54">
                  <c:v>-381896.7511931447</c:v>
                </c:pt>
                <c:pt idx="55">
                  <c:v>-386481.479091971</c:v>
                </c:pt>
                <c:pt idx="56">
                  <c:v>-392316.8890007217</c:v>
                </c:pt>
                <c:pt idx="57">
                  <c:v>-399756.5768803179</c:v>
                </c:pt>
                <c:pt idx="58">
                  <c:v>-409232.7155718853</c:v>
                </c:pt>
                <c:pt idx="59">
                  <c:v>-419258.8924248855</c:v>
                </c:pt>
                <c:pt idx="60">
                  <c:v>-428600.2519571018</c:v>
                </c:pt>
                <c:pt idx="61">
                  <c:v>-436904.3966706163</c:v>
                </c:pt>
                <c:pt idx="62">
                  <c:v>-442689.591110141</c:v>
                </c:pt>
                <c:pt idx="63">
                  <c:v>-446925.1372193433</c:v>
                </c:pt>
                <c:pt idx="64">
                  <c:v>-450975.4663966347</c:v>
                </c:pt>
                <c:pt idx="65">
                  <c:v>-455025.795573926</c:v>
                </c:pt>
                <c:pt idx="66">
                  <c:v>-459076.1247512174</c:v>
                </c:pt>
                <c:pt idx="67">
                  <c:v>-463558.6267696345</c:v>
                </c:pt>
                <c:pt idx="68">
                  <c:v>-469220.3432545518</c:v>
                </c:pt>
                <c:pt idx="69">
                  <c:v>-476394.664683409</c:v>
                </c:pt>
                <c:pt idx="70">
                  <c:v>-485489.0683064106</c:v>
                </c:pt>
                <c:pt idx="71">
                  <c:v>-495102.079338763</c:v>
                </c:pt>
                <c:pt idx="72">
                  <c:v>-504063.6310322582</c:v>
                </c:pt>
                <c:pt idx="73">
                  <c:v>-512047.2373252631</c:v>
                </c:pt>
                <c:pt idx="74">
                  <c:v>-517655.8333599347</c:v>
                </c:pt>
                <c:pt idx="75">
                  <c:v>-521803.3323974454</c:v>
                </c:pt>
                <c:pt idx="76">
                  <c:v>-525776.1983277256</c:v>
                </c:pt>
                <c:pt idx="77">
                  <c:v>-529749.0642580058</c:v>
                </c:pt>
                <c:pt idx="78">
                  <c:v>-533721.930188286</c:v>
                </c:pt>
                <c:pt idx="79">
                  <c:v>-538102.2733687705</c:v>
                </c:pt>
                <c:pt idx="80">
                  <c:v>-543594.4473319552</c:v>
                </c:pt>
                <c:pt idx="81">
                  <c:v>-550512.7916708548</c:v>
                </c:pt>
                <c:pt idx="82">
                  <c:v>-559241.499221376</c:v>
                </c:pt>
                <c:pt idx="83">
                  <c:v>-568459.1794721424</c:v>
                </c:pt>
                <c:pt idx="84">
                  <c:v>-577057.092252276</c:v>
                </c:pt>
                <c:pt idx="85">
                  <c:v>-584732.942226233</c:v>
                </c:pt>
                <c:pt idx="86">
                  <c:v>-590169.4968137614</c:v>
                </c:pt>
                <c:pt idx="87">
                  <c:v>-594228.4456611095</c:v>
                </c:pt>
                <c:pt idx="88">
                  <c:v>-598122.740435926</c:v>
                </c:pt>
                <c:pt idx="89">
                  <c:v>-602017.0352107427</c:v>
                </c:pt>
                <c:pt idx="90">
                  <c:v>-605911.3299855593</c:v>
                </c:pt>
                <c:pt idx="91">
                  <c:v>-610189.8175962828</c:v>
                </c:pt>
                <c:pt idx="92">
                  <c:v>-615516.6028021236</c:v>
                </c:pt>
                <c:pt idx="93">
                  <c:v>-622188.0629336384</c:v>
                </c:pt>
                <c:pt idx="94">
                  <c:v>-630566.4369503966</c:v>
                </c:pt>
                <c:pt idx="95">
                  <c:v>-639405.842370243</c:v>
                </c:pt>
                <c:pt idx="96">
                  <c:v>-647655.5905142806</c:v>
                </c:pt>
                <c:pt idx="97">
                  <c:v>-655035.9651553517</c:v>
                </c:pt>
                <c:pt idx="98">
                  <c:v>-660305.0041463617</c:v>
                </c:pt>
                <c:pt idx="99">
                  <c:v>-664275.1577252016</c:v>
                </c:pt>
                <c:pt idx="100">
                  <c:v>-668090.0660356547</c:v>
                </c:pt>
                <c:pt idx="101">
                  <c:v>-671904.9743461078</c:v>
                </c:pt>
                <c:pt idx="102">
                  <c:v>-675719.8826565608</c:v>
                </c:pt>
                <c:pt idx="103">
                  <c:v>-679897.0299265832</c:v>
                </c:pt>
                <c:pt idx="104">
                  <c:v>-685062.572072002</c:v>
                </c:pt>
                <c:pt idx="105">
                  <c:v>-691495.9505759133</c:v>
                </c:pt>
                <c:pt idx="106">
                  <c:v>-699538.7050287684</c:v>
                </c:pt>
                <c:pt idx="107">
                  <c:v>-708016.1462331067</c:v>
                </c:pt>
                <c:pt idx="108">
                  <c:v>-715932.5387982093</c:v>
                </c:pt>
                <c:pt idx="109">
                  <c:v>-723029.2363462292</c:v>
                </c:pt>
                <c:pt idx="110">
                  <c:v>-728135.24599562</c:v>
                </c:pt>
                <c:pt idx="111">
                  <c:v>-732016.5922563931</c:v>
                </c:pt>
                <c:pt idx="112">
                  <c:v>-735751.564406973</c:v>
                </c:pt>
                <c:pt idx="113">
                  <c:v>-739486.536557553</c:v>
                </c:pt>
                <c:pt idx="114">
                  <c:v>-743221.5087081329</c:v>
                </c:pt>
                <c:pt idx="115">
                  <c:v>-747298.020449164</c:v>
                </c:pt>
                <c:pt idx="116">
                  <c:v>-752306.4473584258</c:v>
                </c:pt>
                <c:pt idx="117">
                  <c:v>-758510.2628342665</c:v>
                </c:pt>
                <c:pt idx="118">
                  <c:v>-766231.4899191112</c:v>
                </c:pt>
                <c:pt idx="119">
                  <c:v>-774362.5645124973</c:v>
                </c:pt>
                <c:pt idx="120">
                  <c:v>-780364.6136210642</c:v>
                </c:pt>
                <c:pt idx="121">
                  <c:v>-785593.8074278103</c:v>
                </c:pt>
                <c:pt idx="122">
                  <c:v>-788946.0669301347</c:v>
                </c:pt>
                <c:pt idx="123">
                  <c:v>-791143.6438089055</c:v>
                </c:pt>
                <c:pt idx="124">
                  <c:v>-793203.2108123511</c:v>
                </c:pt>
                <c:pt idx="125">
                  <c:v>-795262.7778157967</c:v>
                </c:pt>
                <c:pt idx="126">
                  <c:v>-797322.3448192422</c:v>
                </c:pt>
                <c:pt idx="127">
                  <c:v>-799703.9348651132</c:v>
                </c:pt>
                <c:pt idx="128">
                  <c:v>-802964.1877838875</c:v>
                </c:pt>
                <c:pt idx="129">
                  <c:v>-807351.5213511503</c:v>
                </c:pt>
                <c:pt idx="130">
                  <c:v>-813169.557292617</c:v>
                </c:pt>
                <c:pt idx="131">
                  <c:v>-819374.0208849941</c:v>
                </c:pt>
                <c:pt idx="132">
                  <c:v>-825146.4085982281</c:v>
                </c:pt>
                <c:pt idx="133">
                  <c:v>-830190.1041697453</c:v>
                </c:pt>
                <c:pt idx="134">
                  <c:v>-833464.1188256648</c:v>
                </c:pt>
                <c:pt idx="135">
                  <c:v>-835649.4327222338</c:v>
                </c:pt>
                <c:pt idx="136">
                  <c:v>-837704.6230220677</c:v>
                </c:pt>
                <c:pt idx="137">
                  <c:v>-839759.8133219016</c:v>
                </c:pt>
                <c:pt idx="138">
                  <c:v>-841815.0036217354</c:v>
                </c:pt>
                <c:pt idx="139">
                  <c:v>-844173.8156472846</c:v>
                </c:pt>
                <c:pt idx="140">
                  <c:v>-847361.081238714</c:v>
                </c:pt>
                <c:pt idx="141">
                  <c:v>-851611.022870147</c:v>
                </c:pt>
                <c:pt idx="142">
                  <c:v>-857209.9124544007</c:v>
                </c:pt>
                <c:pt idx="143">
                  <c:v>-863173.1481095129</c:v>
                </c:pt>
                <c:pt idx="144">
                  <c:v>-868725.2354283681</c:v>
                </c:pt>
                <c:pt idx="145">
                  <c:v>-873590.2701564619</c:v>
                </c:pt>
                <c:pt idx="146">
                  <c:v>-876786.7485927063</c:v>
                </c:pt>
                <c:pt idx="147">
                  <c:v>-878956.7377415632</c:v>
                </c:pt>
                <c:pt idx="148">
                  <c:v>-881004.038927784</c:v>
                </c:pt>
                <c:pt idx="149">
                  <c:v>-883051.340114005</c:v>
                </c:pt>
                <c:pt idx="150">
                  <c:v>-885098.6413002257</c:v>
                </c:pt>
                <c:pt idx="151">
                  <c:v>-887432.2143992638</c:v>
                </c:pt>
                <c:pt idx="152">
                  <c:v>-890546.9008604177</c:v>
                </c:pt>
                <c:pt idx="153">
                  <c:v>-894663.539016432</c:v>
                </c:pt>
                <c:pt idx="154">
                  <c:v>-900052.042385106</c:v>
                </c:pt>
                <c:pt idx="155">
                  <c:v>-905784.0720491606</c:v>
                </c:pt>
                <c:pt idx="156">
                  <c:v>-911124.8331159888</c:v>
                </c:pt>
                <c:pt idx="157">
                  <c:v>-915817.8017400992</c:v>
                </c:pt>
                <c:pt idx="158">
                  <c:v>-918937.5601461802</c:v>
                </c:pt>
                <c:pt idx="159">
                  <c:v>-921089.4857955815</c:v>
                </c:pt>
                <c:pt idx="160">
                  <c:v>-923125.7342230688</c:v>
                </c:pt>
                <c:pt idx="161">
                  <c:v>-925161.9826505561</c:v>
                </c:pt>
                <c:pt idx="162">
                  <c:v>-927198.2310780435</c:v>
                </c:pt>
                <c:pt idx="163">
                  <c:v>-929504.39302333</c:v>
                </c:pt>
                <c:pt idx="164">
                  <c:v>-932547.0332814683</c:v>
                </c:pt>
                <c:pt idx="165">
                  <c:v>-936534.3708519036</c:v>
                </c:pt>
                <c:pt idx="166">
                  <c:v>-941720.8956228466</c:v>
                </c:pt>
                <c:pt idx="167">
                  <c:v>-947231.3166151486</c:v>
                </c:pt>
                <c:pt idx="168">
                  <c:v>-952369.3543622276</c:v>
                </c:pt>
                <c:pt idx="169">
                  <c:v>-956896.616377601</c:v>
                </c:pt>
                <c:pt idx="170">
                  <c:v>-959940.5659016897</c:v>
                </c:pt>
                <c:pt idx="171">
                  <c:v>-962071.9873980517</c:v>
                </c:pt>
                <c:pt idx="172">
                  <c:v>-964094.3417994662</c:v>
                </c:pt>
                <c:pt idx="173">
                  <c:v>-966116.696200881</c:v>
                </c:pt>
                <c:pt idx="174">
                  <c:v>-968139.0506022955</c:v>
                </c:pt>
                <c:pt idx="175">
                  <c:v>-970415.8948919207</c:v>
                </c:pt>
                <c:pt idx="176">
                  <c:v>-973387.1330193778</c:v>
                </c:pt>
                <c:pt idx="177">
                  <c:v>-977249.0857555721</c:v>
                </c:pt>
                <c:pt idx="178">
                  <c:v>-982241.7007093878</c:v>
                </c:pt>
                <c:pt idx="179">
                  <c:v>-987539.7035290562</c:v>
                </c:pt>
                <c:pt idx="180">
                  <c:v>-992483.264729137</c:v>
                </c:pt>
                <c:pt idx="181">
                  <c:v>-996850.9516678954</c:v>
                </c:pt>
                <c:pt idx="182">
                  <c:v>-999820.0868291568</c:v>
                </c:pt>
                <c:pt idx="183">
                  <c:v>-1.00192883842142E6</c:v>
                </c:pt>
                <c:pt idx="184">
                  <c:v>-1.00393475532416E6</c:v>
                </c:pt>
                <c:pt idx="185">
                  <c:v>-1.0059406722269E6</c:v>
                </c:pt>
                <c:pt idx="186">
                  <c:v>-1.00794658912964E6</c:v>
                </c:pt>
                <c:pt idx="187">
                  <c:v>-1.01019245364126E6</c:v>
                </c:pt>
                <c:pt idx="188">
                  <c:v>-1.01309303234284E6</c:v>
                </c:pt>
                <c:pt idx="189">
                  <c:v>-1.01683342767552E6</c:v>
                </c:pt>
                <c:pt idx="190">
                  <c:v>-1.02163987595624E6</c:v>
                </c:pt>
                <c:pt idx="191">
                  <c:v>-1.02673426136762E6</c:v>
                </c:pt>
                <c:pt idx="192">
                  <c:v>-1.03149125110677E6</c:v>
                </c:pt>
                <c:pt idx="193">
                  <c:v>-1.03570527368525E6</c:v>
                </c:pt>
                <c:pt idx="194">
                  <c:v>-1.03860066173066E6</c:v>
                </c:pt>
                <c:pt idx="195">
                  <c:v>-1.04068483098244E6</c:v>
                </c:pt>
                <c:pt idx="196">
                  <c:v>-1.04267204181267E6</c:v>
                </c:pt>
                <c:pt idx="197">
                  <c:v>-1.04465925264291E6</c:v>
                </c:pt>
                <c:pt idx="198">
                  <c:v>-1.04664646347314E6</c:v>
                </c:pt>
                <c:pt idx="199">
                  <c:v>-1.04885991062032E6</c:v>
                </c:pt>
                <c:pt idx="200">
                  <c:v>-1.05169065971803E6</c:v>
                </c:pt>
                <c:pt idx="201">
                  <c:v>-1.05531323592506E6</c:v>
                </c:pt>
                <c:pt idx="202">
                  <c:v>-1.05994094776882E6</c:v>
                </c:pt>
                <c:pt idx="203">
                  <c:v>-1.06484014319291E6</c:v>
                </c:pt>
                <c:pt idx="204">
                  <c:v>-1.06941813878545E6</c:v>
                </c:pt>
                <c:pt idx="205">
                  <c:v>-1.07348419391221E6</c:v>
                </c:pt>
                <c:pt idx="206">
                  <c:v>-1.07630696505065E6</c:v>
                </c:pt>
                <c:pt idx="207">
                  <c:v>-1.0783648727551E6</c:v>
                </c:pt>
                <c:pt idx="208">
                  <c:v>-1.08033136251923E6</c:v>
                </c:pt>
                <c:pt idx="209">
                  <c:v>-1.08229785228336E6</c:v>
                </c:pt>
                <c:pt idx="210">
                  <c:v>-1.0842643420475E6</c:v>
                </c:pt>
                <c:pt idx="211">
                  <c:v>-1.08644414033903E6</c:v>
                </c:pt>
                <c:pt idx="212">
                  <c:v>-1.08920596618393E6</c:v>
                </c:pt>
                <c:pt idx="213">
                  <c:v>-1.09271437187475E6</c:v>
                </c:pt>
                <c:pt idx="214">
                  <c:v>-1.09717047688021E6</c:v>
                </c:pt>
                <c:pt idx="215">
                  <c:v>-1.10188255211855E6</c:v>
                </c:pt>
                <c:pt idx="216">
                  <c:v>-1.10628881648331E6</c:v>
                </c:pt>
                <c:pt idx="217">
                  <c:v>-1.1102123941232E6</c:v>
                </c:pt>
                <c:pt idx="218">
                  <c:v>-1.1129637325741E6</c:v>
                </c:pt>
                <c:pt idx="219">
                  <c:v>-1.11499391407294E6</c:v>
                </c:pt>
                <c:pt idx="220">
                  <c:v>-1.11693790151378E6</c:v>
                </c:pt>
                <c:pt idx="221">
                  <c:v>-1.11888188895461E6</c:v>
                </c:pt>
                <c:pt idx="222">
                  <c:v>-1.12082587639544E6</c:v>
                </c:pt>
                <c:pt idx="223">
                  <c:v>-1.12297098330497E6</c:v>
                </c:pt>
                <c:pt idx="224">
                  <c:v>-1.12566485905053E6</c:v>
                </c:pt>
                <c:pt idx="225">
                  <c:v>-1.12906265293653E6</c:v>
                </c:pt>
                <c:pt idx="226">
                  <c:v>-1.13335399189061E6</c:v>
                </c:pt>
                <c:pt idx="227">
                  <c:v>-1.13788667420713E6</c:v>
                </c:pt>
                <c:pt idx="228">
                  <c:v>-1.14212816872386E6</c:v>
                </c:pt>
                <c:pt idx="229">
                  <c:v>-1.14591455861428E6</c:v>
                </c:pt>
                <c:pt idx="230">
                  <c:v>-1.14859569441222E6</c:v>
                </c:pt>
                <c:pt idx="231">
                  <c:v>-1.1505968822268E6</c:v>
                </c:pt>
                <c:pt idx="232">
                  <c:v>-1.15251680135811E6</c:v>
                </c:pt>
                <c:pt idx="233">
                  <c:v>-1.15443672048942E6</c:v>
                </c:pt>
                <c:pt idx="234">
                  <c:v>-1.15635663962074E6</c:v>
                </c:pt>
              </c:numCache>
            </c:numRef>
          </c:val>
          <c:smooth val="0"/>
        </c:ser>
        <c:ser>
          <c:idx val="1"/>
          <c:order val="1"/>
          <c:tx>
            <c:v>NPV Equity Financing</c:v>
          </c:tx>
          <c:marker>
            <c:symbol val="none"/>
          </c:marker>
          <c:cat>
            <c:numRef>
              <c:f>Germany!$H$5:$H$244</c:f>
              <c:numCache>
                <c:formatCode>General</c:formatCode>
                <c:ptCount val="240"/>
                <c:pt idx="0">
                  <c:v>2015.0</c:v>
                </c:pt>
                <c:pt idx="12">
                  <c:v>2016.0</c:v>
                </c:pt>
                <c:pt idx="24">
                  <c:v>2017.0</c:v>
                </c:pt>
                <c:pt idx="36">
                  <c:v>2018.0</c:v>
                </c:pt>
                <c:pt idx="48">
                  <c:v>2019.0</c:v>
                </c:pt>
                <c:pt idx="60">
                  <c:v>2020.0</c:v>
                </c:pt>
                <c:pt idx="72">
                  <c:v>2021.0</c:v>
                </c:pt>
                <c:pt idx="84">
                  <c:v>2022.0</c:v>
                </c:pt>
                <c:pt idx="96">
                  <c:v>2023.0</c:v>
                </c:pt>
                <c:pt idx="108">
                  <c:v>2024.0</c:v>
                </c:pt>
                <c:pt idx="120">
                  <c:v>2025.0</c:v>
                </c:pt>
                <c:pt idx="132">
                  <c:v>2026.0</c:v>
                </c:pt>
                <c:pt idx="144">
                  <c:v>2027.0</c:v>
                </c:pt>
                <c:pt idx="156">
                  <c:v>2028.0</c:v>
                </c:pt>
                <c:pt idx="168">
                  <c:v>2029.0</c:v>
                </c:pt>
                <c:pt idx="180">
                  <c:v>2030.0</c:v>
                </c:pt>
                <c:pt idx="192">
                  <c:v>2031.0</c:v>
                </c:pt>
                <c:pt idx="204">
                  <c:v>2032.0</c:v>
                </c:pt>
                <c:pt idx="216">
                  <c:v>2033.0</c:v>
                </c:pt>
                <c:pt idx="228">
                  <c:v>2034.0</c:v>
                </c:pt>
              </c:numCache>
            </c:numRef>
          </c:cat>
          <c:val>
            <c:numRef>
              <c:f>Germany!$AI$5:$AI$239</c:f>
              <c:numCache>
                <c:formatCode>#,##0</c:formatCode>
                <c:ptCount val="235"/>
                <c:pt idx="0">
                  <c:v>-1.5297349204386E6</c:v>
                </c:pt>
                <c:pt idx="1">
                  <c:v>-1.53024953967677E6</c:v>
                </c:pt>
                <c:pt idx="2">
                  <c:v>-1.52738358748636E6</c:v>
                </c:pt>
                <c:pt idx="3">
                  <c:v>-1.52243792101024E6</c:v>
                </c:pt>
                <c:pt idx="4">
                  <c:v>-1.51724368310555E6</c:v>
                </c:pt>
                <c:pt idx="5">
                  <c:v>-1.51204944520085E6</c:v>
                </c:pt>
                <c:pt idx="6">
                  <c:v>-1.50685520729616E6</c:v>
                </c:pt>
                <c:pt idx="7">
                  <c:v>-1.50224096939147E6</c:v>
                </c:pt>
                <c:pt idx="8">
                  <c:v>-1.49920930291535E6</c:v>
                </c:pt>
                <c:pt idx="9">
                  <c:v>-1.49820763643923E6</c:v>
                </c:pt>
                <c:pt idx="10">
                  <c:v>-1.49978282710596E6</c:v>
                </c:pt>
                <c:pt idx="11">
                  <c:v>-1.5020540177727E6</c:v>
                </c:pt>
                <c:pt idx="12">
                  <c:v>-1.50394572277167E6</c:v>
                </c:pt>
                <c:pt idx="13">
                  <c:v>-1.50452497062779E6</c:v>
                </c:pt>
                <c:pt idx="14">
                  <c:v>-1.50191682256553E6</c:v>
                </c:pt>
                <c:pt idx="15">
                  <c:v>-1.4973478010339E6</c:v>
                </c:pt>
                <c:pt idx="16">
                  <c:v>-1.49254441215532E6</c:v>
                </c:pt>
                <c:pt idx="17">
                  <c:v>-1.48774102327674E6</c:v>
                </c:pt>
                <c:pt idx="18">
                  <c:v>-1.48293763439816E6</c:v>
                </c:pt>
                <c:pt idx="19">
                  <c:v>-1.47868110266244E6</c:v>
                </c:pt>
                <c:pt idx="20">
                  <c:v>-1.47591670970223E6</c:v>
                </c:pt>
                <c:pt idx="21">
                  <c:v>-1.47506631674202E6</c:v>
                </c:pt>
                <c:pt idx="22">
                  <c:v>-1.47664553194507E6</c:v>
                </c:pt>
                <c:pt idx="23">
                  <c:v>-1.47888097571956E6</c:v>
                </c:pt>
                <c:pt idx="24">
                  <c:v>-1.48075612053718E6</c:v>
                </c:pt>
                <c:pt idx="25">
                  <c:v>-1.48139380576297E6</c:v>
                </c:pt>
                <c:pt idx="26">
                  <c:v>-1.47902623198001E6</c:v>
                </c:pt>
                <c:pt idx="27">
                  <c:v>-1.4748098346402E6</c:v>
                </c:pt>
                <c:pt idx="28">
                  <c:v>-1.47037246237327E6</c:v>
                </c:pt>
                <c:pt idx="29">
                  <c:v>-1.46593509010635E6</c:v>
                </c:pt>
                <c:pt idx="30">
                  <c:v>-1.46149771783942E6</c:v>
                </c:pt>
                <c:pt idx="31">
                  <c:v>-1.45757595373576E6</c:v>
                </c:pt>
                <c:pt idx="32">
                  <c:v>-1.45506106333473E6</c:v>
                </c:pt>
                <c:pt idx="33">
                  <c:v>-1.45435080150512E6</c:v>
                </c:pt>
                <c:pt idx="34">
                  <c:v>-1.4559313130866E6</c:v>
                </c:pt>
                <c:pt idx="35">
                  <c:v>-1.45813055446399E6</c:v>
                </c:pt>
                <c:pt idx="36">
                  <c:v>-1.45998766846466E6</c:v>
                </c:pt>
                <c:pt idx="37">
                  <c:v>-1.46067803485017E6</c:v>
                </c:pt>
                <c:pt idx="38">
                  <c:v>-1.45853487131315E6</c:v>
                </c:pt>
                <c:pt idx="39">
                  <c:v>-1.45464853127967E6</c:v>
                </c:pt>
                <c:pt idx="40">
                  <c:v>-1.45055384345777E6</c:v>
                </c:pt>
                <c:pt idx="41">
                  <c:v>-1.44645915563587E6</c:v>
                </c:pt>
                <c:pt idx="42">
                  <c:v>-1.44236446781396E6</c:v>
                </c:pt>
                <c:pt idx="43">
                  <c:v>-1.43875592483171E6</c:v>
                </c:pt>
                <c:pt idx="44">
                  <c:v>-1.43647386276908E6</c:v>
                </c:pt>
                <c:pt idx="45">
                  <c:v>-1.43589330764522E6</c:v>
                </c:pt>
                <c:pt idx="46">
                  <c:v>-1.43747262459466E6</c:v>
                </c:pt>
                <c:pt idx="47">
                  <c:v>-1.43963531535168E6</c:v>
                </c:pt>
                <c:pt idx="48">
                  <c:v>-1.44147309003792E6</c:v>
                </c:pt>
                <c:pt idx="49">
                  <c:v>-1.44221078840129E6</c:v>
                </c:pt>
                <c:pt idx="50">
                  <c:v>-1.4402768728377E6</c:v>
                </c:pt>
                <c:pt idx="51">
                  <c:v>-1.43669939086316E6</c:v>
                </c:pt>
                <c:pt idx="52">
                  <c:v>-1.43292546668812E6</c:v>
                </c:pt>
                <c:pt idx="53">
                  <c:v>-1.42915154251307E6</c:v>
                </c:pt>
                <c:pt idx="54">
                  <c:v>-1.42537761833802E6</c:v>
                </c:pt>
                <c:pt idx="55">
                  <c:v>-1.4220620592975E6</c:v>
                </c:pt>
                <c:pt idx="56">
                  <c:v>-1.4199971822669E6</c:v>
                </c:pt>
                <c:pt idx="57">
                  <c:v>-1.41953658320715E6</c:v>
                </c:pt>
                <c:pt idx="58">
                  <c:v>-1.42111243495937E6</c:v>
                </c:pt>
                <c:pt idx="59">
                  <c:v>-1.42323832487302E6</c:v>
                </c:pt>
                <c:pt idx="60">
                  <c:v>-1.42505560160586E6</c:v>
                </c:pt>
                <c:pt idx="61">
                  <c:v>-1.42583566352E6</c:v>
                </c:pt>
                <c:pt idx="62">
                  <c:v>-1.42409677516014E6</c:v>
                </c:pt>
                <c:pt idx="63">
                  <c:v>-1.42080823846997E6</c:v>
                </c:pt>
                <c:pt idx="64">
                  <c:v>-1.41733448484788E6</c:v>
                </c:pt>
                <c:pt idx="65">
                  <c:v>-1.41386073122579E6</c:v>
                </c:pt>
                <c:pt idx="66">
                  <c:v>-1.41038697760371E6</c:v>
                </c:pt>
                <c:pt idx="67">
                  <c:v>-1.40734539682274E6</c:v>
                </c:pt>
                <c:pt idx="68">
                  <c:v>-1.40548303050828E6</c:v>
                </c:pt>
                <c:pt idx="69">
                  <c:v>-1.40513326913776E6</c:v>
                </c:pt>
                <c:pt idx="70">
                  <c:v>-1.40670358996138E6</c:v>
                </c:pt>
                <c:pt idx="71">
                  <c:v>-1.40879251819436E6</c:v>
                </c:pt>
                <c:pt idx="72">
                  <c:v>-1.41058827674559E6</c:v>
                </c:pt>
                <c:pt idx="73">
                  <c:v>-1.41140608989633E6</c:v>
                </c:pt>
                <c:pt idx="74">
                  <c:v>-1.40984889278873E6</c:v>
                </c:pt>
                <c:pt idx="75">
                  <c:v>-1.40683059868398E6</c:v>
                </c:pt>
                <c:pt idx="76">
                  <c:v>-1.403637671472E6</c:v>
                </c:pt>
                <c:pt idx="77">
                  <c:v>-1.40044474426001E6</c:v>
                </c:pt>
                <c:pt idx="78">
                  <c:v>-1.39725181704803E6</c:v>
                </c:pt>
                <c:pt idx="79">
                  <c:v>-1.39446636708624E6</c:v>
                </c:pt>
                <c:pt idx="80">
                  <c:v>-1.39279274790716E6</c:v>
                </c:pt>
                <c:pt idx="81">
                  <c:v>-1.3925452991038E6</c:v>
                </c:pt>
                <c:pt idx="82">
                  <c:v>-1.39410821351205E6</c:v>
                </c:pt>
                <c:pt idx="83">
                  <c:v>-1.39616010062056E6</c:v>
                </c:pt>
                <c:pt idx="84">
                  <c:v>-1.39793344850329E6</c:v>
                </c:pt>
                <c:pt idx="85">
                  <c:v>-1.39878473357986E6</c:v>
                </c:pt>
                <c:pt idx="86">
                  <c:v>-1.39739672326999E6</c:v>
                </c:pt>
                <c:pt idx="87">
                  <c:v>-1.39463110721994E6</c:v>
                </c:pt>
                <c:pt idx="88">
                  <c:v>-1.39170083709736E6</c:v>
                </c:pt>
                <c:pt idx="89">
                  <c:v>-1.38877056697478E6</c:v>
                </c:pt>
                <c:pt idx="90">
                  <c:v>-1.3858402968522E6</c:v>
                </c:pt>
                <c:pt idx="91">
                  <c:v>-1.38329421956553E6</c:v>
                </c:pt>
                <c:pt idx="92">
                  <c:v>-1.38179643987398E6</c:v>
                </c:pt>
                <c:pt idx="93">
                  <c:v>-1.3816433351081E6</c:v>
                </c:pt>
                <c:pt idx="94">
                  <c:v>-1.38319714422746E6</c:v>
                </c:pt>
                <c:pt idx="95">
                  <c:v>-1.38521198474991E6</c:v>
                </c:pt>
                <c:pt idx="96">
                  <c:v>-1.38696214727738E6</c:v>
                </c:pt>
                <c:pt idx="97">
                  <c:v>-1.38784293630189E6</c:v>
                </c:pt>
                <c:pt idx="98">
                  <c:v>-1.38661238967633E6</c:v>
                </c:pt>
                <c:pt idx="99">
                  <c:v>-1.3840829576386E6</c:v>
                </c:pt>
                <c:pt idx="100">
                  <c:v>-1.38139828033249E6</c:v>
                </c:pt>
                <c:pt idx="101">
                  <c:v>-1.37871360302637E6</c:v>
                </c:pt>
                <c:pt idx="102">
                  <c:v>-1.37602892572026E6</c:v>
                </c:pt>
                <c:pt idx="103">
                  <c:v>-1.37370648737371E6</c:v>
                </c:pt>
                <c:pt idx="104">
                  <c:v>-1.37237244390257E6</c:v>
                </c:pt>
                <c:pt idx="105">
                  <c:v>-1.37230623678991E6</c:v>
                </c:pt>
                <c:pt idx="106">
                  <c:v>-1.3738494056262E6</c:v>
                </c:pt>
                <c:pt idx="107">
                  <c:v>-1.37582726121397E6</c:v>
                </c:pt>
                <c:pt idx="108">
                  <c:v>-1.37755357223948E6</c:v>
                </c:pt>
                <c:pt idx="109">
                  <c:v>-1.37846018824792E6</c:v>
                </c:pt>
                <c:pt idx="110">
                  <c:v>-1.37737611635772E6</c:v>
                </c:pt>
                <c:pt idx="111">
                  <c:v>-1.37506738107891E6</c:v>
                </c:pt>
                <c:pt idx="112">
                  <c:v>-1.3726122716899E6</c:v>
                </c:pt>
                <c:pt idx="113">
                  <c:v>-1.37015716230089E6</c:v>
                </c:pt>
                <c:pt idx="114">
                  <c:v>-1.36770205291188E6</c:v>
                </c:pt>
                <c:pt idx="115">
                  <c:v>-1.36558848311333E6</c:v>
                </c:pt>
                <c:pt idx="116">
                  <c:v>-1.364406828483E6</c:v>
                </c:pt>
                <c:pt idx="117">
                  <c:v>-1.36442056241925E6</c:v>
                </c:pt>
                <c:pt idx="118">
                  <c:v>-1.36595170796451E6</c:v>
                </c:pt>
                <c:pt idx="119">
                  <c:v>-1.36789270101831E6</c:v>
                </c:pt>
                <c:pt idx="120">
                  <c:v>-1.36799943437489E6</c:v>
                </c:pt>
                <c:pt idx="121">
                  <c:v>-1.36733331242964E6</c:v>
                </c:pt>
                <c:pt idx="122">
                  <c:v>-1.36479025617998E6</c:v>
                </c:pt>
                <c:pt idx="123">
                  <c:v>-1.36109251730676E6</c:v>
                </c:pt>
                <c:pt idx="124">
                  <c:v>-1.35725676855822E6</c:v>
                </c:pt>
                <c:pt idx="125">
                  <c:v>-1.35342101980968E6</c:v>
                </c:pt>
                <c:pt idx="126">
                  <c:v>-1.34958527106113E6</c:v>
                </c:pt>
                <c:pt idx="127">
                  <c:v>-1.34607154535502E6</c:v>
                </c:pt>
                <c:pt idx="128">
                  <c:v>-1.3434364825218E6</c:v>
                </c:pt>
                <c:pt idx="129">
                  <c:v>-1.34192850033708E6</c:v>
                </c:pt>
                <c:pt idx="130">
                  <c:v>-1.34185122052656E6</c:v>
                </c:pt>
                <c:pt idx="131">
                  <c:v>-1.34216036836695E6</c:v>
                </c:pt>
                <c:pt idx="132">
                  <c:v>-1.34231816964971E6</c:v>
                </c:pt>
                <c:pt idx="133">
                  <c:v>-1.34174727879077E6</c:v>
                </c:pt>
                <c:pt idx="134">
                  <c:v>-1.33940670701622E6</c:v>
                </c:pt>
                <c:pt idx="135">
                  <c:v>-1.33597743448232E6</c:v>
                </c:pt>
                <c:pt idx="136">
                  <c:v>-1.33241803835169E6</c:v>
                </c:pt>
                <c:pt idx="137">
                  <c:v>-1.32885864222106E6</c:v>
                </c:pt>
                <c:pt idx="138">
                  <c:v>-1.32529924609043E6</c:v>
                </c:pt>
                <c:pt idx="139">
                  <c:v>-1.32204347168552E6</c:v>
                </c:pt>
                <c:pt idx="140">
                  <c:v>-1.31961615084648E6</c:v>
                </c:pt>
                <c:pt idx="141">
                  <c:v>-1.31825150604745E6</c:v>
                </c:pt>
                <c:pt idx="142">
                  <c:v>-1.31823580920124E6</c:v>
                </c:pt>
                <c:pt idx="143">
                  <c:v>-1.31858445842588E6</c:v>
                </c:pt>
                <c:pt idx="144">
                  <c:v>-1.31878932057287E6</c:v>
                </c:pt>
                <c:pt idx="145">
                  <c:v>-1.31830713012909E6</c:v>
                </c:pt>
                <c:pt idx="146">
                  <c:v>-1.31615638339346E6</c:v>
                </c:pt>
                <c:pt idx="147">
                  <c:v>-1.31297914737045E6</c:v>
                </c:pt>
                <c:pt idx="148">
                  <c:v>-1.3096792233848E6</c:v>
                </c:pt>
                <c:pt idx="149">
                  <c:v>-1.30637929939915E6</c:v>
                </c:pt>
                <c:pt idx="150">
                  <c:v>-1.3030793754135E6</c:v>
                </c:pt>
                <c:pt idx="151">
                  <c:v>-1.30006572334066E6</c:v>
                </c:pt>
                <c:pt idx="152">
                  <c:v>-1.29783318462995E6</c:v>
                </c:pt>
                <c:pt idx="153">
                  <c:v>-1.29660259761409E6</c:v>
                </c:pt>
                <c:pt idx="154">
                  <c:v>-1.29664387581089E6</c:v>
                </c:pt>
                <c:pt idx="155">
                  <c:v>-1.29702868030307E6</c:v>
                </c:pt>
                <c:pt idx="156">
                  <c:v>-1.29727684596812E6</c:v>
                </c:pt>
                <c:pt idx="157">
                  <c:v>-1.29687721919045E6</c:v>
                </c:pt>
                <c:pt idx="158">
                  <c:v>-1.29490438219475E6</c:v>
                </c:pt>
                <c:pt idx="159">
                  <c:v>-1.29196371244237E6</c:v>
                </c:pt>
                <c:pt idx="160">
                  <c:v>-1.28890736546807E6</c:v>
                </c:pt>
                <c:pt idx="161">
                  <c:v>-1.28585101849378E6</c:v>
                </c:pt>
                <c:pt idx="162">
                  <c:v>-1.28279467151948E6</c:v>
                </c:pt>
                <c:pt idx="163">
                  <c:v>-1.28000823806298E6</c:v>
                </c:pt>
                <c:pt idx="164">
                  <c:v>-1.27795828291934E6</c:v>
                </c:pt>
                <c:pt idx="165">
                  <c:v>-1.27685302508799E6</c:v>
                </c:pt>
                <c:pt idx="166">
                  <c:v>-1.27694695445715E6</c:v>
                </c:pt>
                <c:pt idx="167">
                  <c:v>-1.27736478004767E6</c:v>
                </c:pt>
                <c:pt idx="168">
                  <c:v>-1.27765272693591E6</c:v>
                </c:pt>
                <c:pt idx="169">
                  <c:v>-1.27732989809245E6</c:v>
                </c:pt>
                <c:pt idx="170">
                  <c:v>-1.27552375675769E6</c:v>
                </c:pt>
                <c:pt idx="171">
                  <c:v>-1.27280508739522E6</c:v>
                </c:pt>
                <c:pt idx="172">
                  <c:v>-1.26997735093779E6</c:v>
                </c:pt>
                <c:pt idx="173">
                  <c:v>-1.26714961448036E6</c:v>
                </c:pt>
                <c:pt idx="174">
                  <c:v>-1.26432187802294E6</c:v>
                </c:pt>
                <c:pt idx="175">
                  <c:v>-1.26174863145372E6</c:v>
                </c:pt>
                <c:pt idx="176">
                  <c:v>-1.25986977872234E6</c:v>
                </c:pt>
                <c:pt idx="177">
                  <c:v>-1.25888164059969E6</c:v>
                </c:pt>
                <c:pt idx="178">
                  <c:v>-1.25902416469467E6</c:v>
                </c:pt>
                <c:pt idx="179">
                  <c:v>-1.2594720766555E6</c:v>
                </c:pt>
                <c:pt idx="180">
                  <c:v>-1.2597965037043E6</c:v>
                </c:pt>
                <c:pt idx="181">
                  <c:v>-1.25954505649178E6</c:v>
                </c:pt>
                <c:pt idx="182">
                  <c:v>-1.25789505750177E6</c:v>
                </c:pt>
                <c:pt idx="183">
                  <c:v>-1.25538467494275E6</c:v>
                </c:pt>
                <c:pt idx="184">
                  <c:v>-1.25277145769422E6</c:v>
                </c:pt>
                <c:pt idx="185">
                  <c:v>-1.25015824044568E6</c:v>
                </c:pt>
                <c:pt idx="186">
                  <c:v>-1.24754502319714E6</c:v>
                </c:pt>
                <c:pt idx="187">
                  <c:v>-1.24517175355749E6</c:v>
                </c:pt>
                <c:pt idx="188">
                  <c:v>-1.2434531981078E6</c:v>
                </c:pt>
                <c:pt idx="189">
                  <c:v>-1.2425744592892E6</c:v>
                </c:pt>
                <c:pt idx="190">
                  <c:v>-1.24276177341864E6</c:v>
                </c:pt>
                <c:pt idx="191">
                  <c:v>-1.24323702467874E6</c:v>
                </c:pt>
                <c:pt idx="192">
                  <c:v>-1.24359483903573E6</c:v>
                </c:pt>
                <c:pt idx="193">
                  <c:v>-1.24340968623204E6</c:v>
                </c:pt>
                <c:pt idx="194">
                  <c:v>-1.24190589889528E6</c:v>
                </c:pt>
                <c:pt idx="195">
                  <c:v>-1.23959089276489E6</c:v>
                </c:pt>
                <c:pt idx="196">
                  <c:v>-1.23717892821296E6</c:v>
                </c:pt>
                <c:pt idx="197">
                  <c:v>-1.23476696366102E6</c:v>
                </c:pt>
                <c:pt idx="198">
                  <c:v>-1.23235499910909E6</c:v>
                </c:pt>
                <c:pt idx="199">
                  <c:v>-1.2301692708741E6</c:v>
                </c:pt>
                <c:pt idx="200">
                  <c:v>-1.22860084458964E6</c:v>
                </c:pt>
                <c:pt idx="201">
                  <c:v>-1.2278242454145E6</c:v>
                </c:pt>
                <c:pt idx="202">
                  <c:v>-1.22805278187609E6</c:v>
                </c:pt>
                <c:pt idx="203">
                  <c:v>-1.22855280191801E6</c:v>
                </c:pt>
                <c:pt idx="204">
                  <c:v>-1.2289411066704E6</c:v>
                </c:pt>
                <c:pt idx="205">
                  <c:v>-1.228817470957E6</c:v>
                </c:pt>
                <c:pt idx="206">
                  <c:v>-1.22745055125528E6</c:v>
                </c:pt>
                <c:pt idx="207">
                  <c:v>-1.22531876811957E6</c:v>
                </c:pt>
                <c:pt idx="208">
                  <c:v>-1.22309556704354E6</c:v>
                </c:pt>
                <c:pt idx="209">
                  <c:v>-1.22087236596751E6</c:v>
                </c:pt>
                <c:pt idx="210">
                  <c:v>-1.21864916489148E6</c:v>
                </c:pt>
                <c:pt idx="211">
                  <c:v>-1.21663927234286E6</c:v>
                </c:pt>
                <c:pt idx="212">
                  <c:v>-1.2152114073476E6</c:v>
                </c:pt>
                <c:pt idx="213">
                  <c:v>-1.21453012219826E6</c:v>
                </c:pt>
                <c:pt idx="214">
                  <c:v>-1.21479653636355E6</c:v>
                </c:pt>
                <c:pt idx="215">
                  <c:v>-1.21531892076173E6</c:v>
                </c:pt>
                <c:pt idx="216">
                  <c:v>-1.21573500337396E6</c:v>
                </c:pt>
                <c:pt idx="217">
                  <c:v>-1.21566839926132E6</c:v>
                </c:pt>
                <c:pt idx="218">
                  <c:v>-1.21442955595968E6</c:v>
                </c:pt>
                <c:pt idx="219">
                  <c:v>-1.21246955570599E6</c:v>
                </c:pt>
                <c:pt idx="220">
                  <c:v>-1.21042336139429E6</c:v>
                </c:pt>
                <c:pt idx="221">
                  <c:v>-1.20837716708259E6</c:v>
                </c:pt>
                <c:pt idx="222">
                  <c:v>-1.20633097277089E6</c:v>
                </c:pt>
                <c:pt idx="223">
                  <c:v>-1.20448589792789E6</c:v>
                </c:pt>
                <c:pt idx="224">
                  <c:v>-1.20318959192091E6</c:v>
                </c:pt>
                <c:pt idx="225">
                  <c:v>-1.20259720405438E6</c:v>
                </c:pt>
                <c:pt idx="226">
                  <c:v>-1.20289836125593E6</c:v>
                </c:pt>
                <c:pt idx="227">
                  <c:v>-1.20344086181991E6</c:v>
                </c:pt>
                <c:pt idx="228">
                  <c:v>-1.20388218323899E6</c:v>
                </c:pt>
                <c:pt idx="229">
                  <c:v>-1.20386840003176E6</c:v>
                </c:pt>
                <c:pt idx="230">
                  <c:v>-1.20274936273205E6</c:v>
                </c:pt>
                <c:pt idx="231">
                  <c:v>-1.20095037744898E6</c:v>
                </c:pt>
                <c:pt idx="232">
                  <c:v>-1.19907012348264E6</c:v>
                </c:pt>
                <c:pt idx="233">
                  <c:v>-1.1971898695163E6</c:v>
                </c:pt>
                <c:pt idx="234">
                  <c:v>-1.19530961554996E6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7524424"/>
        <c:axId val="-2146709304"/>
      </c:lineChart>
      <c:dateAx>
        <c:axId val="-2137524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46709304"/>
        <c:crosses val="autoZero"/>
        <c:auto val="0"/>
        <c:lblOffset val="100"/>
        <c:baseTimeUnit val="days"/>
      </c:dateAx>
      <c:valAx>
        <c:axId val="-21467093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EUR</a:t>
                </a:r>
              </a:p>
            </c:rich>
          </c:tx>
          <c:layout>
            <c:manualLayout>
              <c:xMode val="edge"/>
              <c:yMode val="edge"/>
              <c:x val="0.0190274841437632"/>
              <c:y val="0.030020104666194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-21375244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482686403421"/>
          <c:y val="0.0446499320920778"/>
          <c:w val="0.86083567660694"/>
          <c:h val="0.814246276152393"/>
        </c:manualLayout>
      </c:layout>
      <c:lineChart>
        <c:grouping val="standard"/>
        <c:varyColors val="0"/>
        <c:ser>
          <c:idx val="0"/>
          <c:order val="0"/>
          <c:tx>
            <c:v>Cumulative CF Debt Financing</c:v>
          </c:tx>
          <c:spPr>
            <a:ln w="28575" cmpd="sng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Germany!$H$5:$H$244</c:f>
              <c:numCache>
                <c:formatCode>General</c:formatCode>
                <c:ptCount val="240"/>
                <c:pt idx="0">
                  <c:v>2015.0</c:v>
                </c:pt>
                <c:pt idx="12">
                  <c:v>2016.0</c:v>
                </c:pt>
                <c:pt idx="24">
                  <c:v>2017.0</c:v>
                </c:pt>
                <c:pt idx="36">
                  <c:v>2018.0</c:v>
                </c:pt>
                <c:pt idx="48">
                  <c:v>2019.0</c:v>
                </c:pt>
                <c:pt idx="60">
                  <c:v>2020.0</c:v>
                </c:pt>
                <c:pt idx="72">
                  <c:v>2021.0</c:v>
                </c:pt>
                <c:pt idx="84">
                  <c:v>2022.0</c:v>
                </c:pt>
                <c:pt idx="96">
                  <c:v>2023.0</c:v>
                </c:pt>
                <c:pt idx="108">
                  <c:v>2024.0</c:v>
                </c:pt>
                <c:pt idx="120">
                  <c:v>2025.0</c:v>
                </c:pt>
                <c:pt idx="132">
                  <c:v>2026.0</c:v>
                </c:pt>
                <c:pt idx="144">
                  <c:v>2027.0</c:v>
                </c:pt>
                <c:pt idx="156">
                  <c:v>2028.0</c:v>
                </c:pt>
                <c:pt idx="168">
                  <c:v>2029.0</c:v>
                </c:pt>
                <c:pt idx="180">
                  <c:v>2030.0</c:v>
                </c:pt>
                <c:pt idx="192">
                  <c:v>2031.0</c:v>
                </c:pt>
                <c:pt idx="204">
                  <c:v>2032.0</c:v>
                </c:pt>
                <c:pt idx="216">
                  <c:v>2033.0</c:v>
                </c:pt>
                <c:pt idx="228">
                  <c:v>2034.0</c:v>
                </c:pt>
              </c:numCache>
            </c:numRef>
          </c:cat>
          <c:val>
            <c:numRef>
              <c:f>Germany!$AA$5:$AA$244</c:f>
              <c:numCache>
                <c:formatCode>#,##0</c:formatCode>
                <c:ptCount val="240"/>
                <c:pt idx="0">
                  <c:v>-12084.94075922132</c:v>
                </c:pt>
                <c:pt idx="1">
                  <c:v>-22708.28151844272</c:v>
                </c:pt>
                <c:pt idx="2">
                  <c:v>-29782.02227766412</c:v>
                </c:pt>
                <c:pt idx="3">
                  <c:v>-34672.06303688551</c:v>
                </c:pt>
                <c:pt idx="4">
                  <c:v>-39301.10379610691</c:v>
                </c:pt>
                <c:pt idx="5">
                  <c:v>-43930.1445553283</c:v>
                </c:pt>
                <c:pt idx="6">
                  <c:v>-48559.1853145497</c:v>
                </c:pt>
                <c:pt idx="7">
                  <c:v>-53797.2260737711</c:v>
                </c:pt>
                <c:pt idx="8">
                  <c:v>-60696.96683299248</c:v>
                </c:pt>
                <c:pt idx="9">
                  <c:v>-69728.20759221389</c:v>
                </c:pt>
                <c:pt idx="10">
                  <c:v>-81465.14835143528</c:v>
                </c:pt>
                <c:pt idx="11">
                  <c:v>-93932.88911065668</c:v>
                </c:pt>
                <c:pt idx="12">
                  <c:v>-106101.4844311731</c:v>
                </c:pt>
                <c:pt idx="13">
                  <c:v>-116823.0957516895</c:v>
                </c:pt>
                <c:pt idx="14">
                  <c:v>-124030.6030722059</c:v>
                </c:pt>
                <c:pt idx="15">
                  <c:v>-129076.2473927223</c:v>
                </c:pt>
                <c:pt idx="16">
                  <c:v>-133863.5017132387</c:v>
                </c:pt>
                <c:pt idx="17">
                  <c:v>-138650.7560337551</c:v>
                </c:pt>
                <c:pt idx="18">
                  <c:v>-143438.0103542715</c:v>
                </c:pt>
                <c:pt idx="19">
                  <c:v>-148828.174674788</c:v>
                </c:pt>
                <c:pt idx="20">
                  <c:v>-155863.4219953044</c:v>
                </c:pt>
                <c:pt idx="21">
                  <c:v>-165008.8543158208</c:v>
                </c:pt>
                <c:pt idx="22">
                  <c:v>-176832.9296363372</c:v>
                </c:pt>
                <c:pt idx="23">
                  <c:v>-189380.4969568536</c:v>
                </c:pt>
                <c:pt idx="24">
                  <c:v>-201634.2020355039</c:v>
                </c:pt>
                <c:pt idx="25">
                  <c:v>-212455.3929541541</c:v>
                </c:pt>
                <c:pt idx="26">
                  <c:v>-219797.6209128044</c:v>
                </c:pt>
                <c:pt idx="27">
                  <c:v>-224999.6045014547</c:v>
                </c:pt>
                <c:pt idx="28">
                  <c:v>-229945.781990105</c:v>
                </c:pt>
                <c:pt idx="29">
                  <c:v>-234891.9594787552</c:v>
                </c:pt>
                <c:pt idx="30">
                  <c:v>-239838.1369674055</c:v>
                </c:pt>
                <c:pt idx="31">
                  <c:v>-245381.1953560558</c:v>
                </c:pt>
                <c:pt idx="32">
                  <c:v>-252552.8859147061</c:v>
                </c:pt>
                <c:pt idx="33">
                  <c:v>-261813.6596233564</c:v>
                </c:pt>
                <c:pt idx="34">
                  <c:v>-273726.2899020066</c:v>
                </c:pt>
                <c:pt idx="35">
                  <c:v>-286355.1772606569</c:v>
                </c:pt>
                <c:pt idx="36">
                  <c:v>-298695.5014945851</c:v>
                </c:pt>
                <c:pt idx="37">
                  <c:v>-309617.6367101133</c:v>
                </c:pt>
                <c:pt idx="38">
                  <c:v>-317095.5985952414</c:v>
                </c:pt>
                <c:pt idx="39">
                  <c:v>-322454.7185540696</c:v>
                </c:pt>
                <c:pt idx="40">
                  <c:v>-327560.5904738977</c:v>
                </c:pt>
                <c:pt idx="41">
                  <c:v>-332666.462393726</c:v>
                </c:pt>
                <c:pt idx="42">
                  <c:v>-337772.334313554</c:v>
                </c:pt>
                <c:pt idx="43">
                  <c:v>-343469.1183243823</c:v>
                </c:pt>
                <c:pt idx="44">
                  <c:v>-350778.2481835104</c:v>
                </c:pt>
                <c:pt idx="45">
                  <c:v>-360155.5703611386</c:v>
                </c:pt>
                <c:pt idx="46">
                  <c:v>-372158.2305430667</c:v>
                </c:pt>
                <c:pt idx="47">
                  <c:v>-384869.985234195</c:v>
                </c:pt>
                <c:pt idx="48">
                  <c:v>-397298.4937414152</c:v>
                </c:pt>
                <c:pt idx="49">
                  <c:v>-408322.9951204196</c:v>
                </c:pt>
                <c:pt idx="50">
                  <c:v>-415937.764902328</c:v>
                </c:pt>
                <c:pt idx="51">
                  <c:v>-421454.8811771994</c:v>
                </c:pt>
                <c:pt idx="52">
                  <c:v>-426721.2818934608</c:v>
                </c:pt>
                <c:pt idx="53">
                  <c:v>-431987.6826097221</c:v>
                </c:pt>
                <c:pt idx="54">
                  <c:v>-437254.0833259835</c:v>
                </c:pt>
                <c:pt idx="55">
                  <c:v>-443105.4870123348</c:v>
                </c:pt>
                <c:pt idx="56">
                  <c:v>-450553.1130885032</c:v>
                </c:pt>
                <c:pt idx="57">
                  <c:v>-460048.2495599866</c:v>
                </c:pt>
                <c:pt idx="58">
                  <c:v>-472142.470655727</c:v>
                </c:pt>
                <c:pt idx="59">
                  <c:v>-484938.6953155754</c:v>
                </c:pt>
                <c:pt idx="60">
                  <c:v>-497457.0105022091</c:v>
                </c:pt>
                <c:pt idx="61">
                  <c:v>-508585.3586319091</c:v>
                </c:pt>
                <c:pt idx="62">
                  <c:v>-516338.072480484</c:v>
                </c:pt>
                <c:pt idx="63">
                  <c:v>-522014.1093570923</c:v>
                </c:pt>
                <c:pt idx="64">
                  <c:v>-527441.9378306766</c:v>
                </c:pt>
                <c:pt idx="65">
                  <c:v>-532869.766304261</c:v>
                </c:pt>
                <c:pt idx="66">
                  <c:v>-538297.5947778454</c:v>
                </c:pt>
                <c:pt idx="67">
                  <c:v>-544304.576191819</c:v>
                </c:pt>
                <c:pt idx="68">
                  <c:v>-551891.8177717112</c:v>
                </c:pt>
                <c:pt idx="69">
                  <c:v>-561506.0946429655</c:v>
                </c:pt>
                <c:pt idx="70">
                  <c:v>-573693.465292234</c:v>
                </c:pt>
                <c:pt idx="71">
                  <c:v>-586575.8194699696</c:v>
                </c:pt>
                <c:pt idx="72">
                  <c:v>-599185.6226455425</c:v>
                </c:pt>
                <c:pt idx="73">
                  <c:v>-610419.3584347508</c:v>
                </c:pt>
                <c:pt idx="74">
                  <c:v>-618311.2162856453</c:v>
                </c:pt>
                <c:pt idx="75">
                  <c:v>-624147.163934293</c:v>
                </c:pt>
                <c:pt idx="76">
                  <c:v>-629737.385263947</c:v>
                </c:pt>
                <c:pt idx="77">
                  <c:v>-635327.606593601</c:v>
                </c:pt>
                <c:pt idx="78">
                  <c:v>-640917.827923255</c:v>
                </c:pt>
                <c:pt idx="79">
                  <c:v>-647081.410663894</c:v>
                </c:pt>
                <c:pt idx="80">
                  <c:v>-654809.4509687928</c:v>
                </c:pt>
                <c:pt idx="81">
                  <c:v>-664544.2562121398</c:v>
                </c:pt>
                <c:pt idx="82">
                  <c:v>-676826.424295721</c:v>
                </c:pt>
                <c:pt idx="83">
                  <c:v>-689796.6260724847</c:v>
                </c:pt>
                <c:pt idx="84">
                  <c:v>-702499.6591147165</c:v>
                </c:pt>
                <c:pt idx="85">
                  <c:v>-713840.3854444473</c:v>
                </c:pt>
                <c:pt idx="86">
                  <c:v>-721872.6526152477</c:v>
                </c:pt>
                <c:pt idx="87">
                  <c:v>-727869.5686858235</c:v>
                </c:pt>
                <c:pt idx="88">
                  <c:v>-733623.2157005958</c:v>
                </c:pt>
                <c:pt idx="89">
                  <c:v>-739376.862715368</c:v>
                </c:pt>
                <c:pt idx="90">
                  <c:v>-745130.5097301401</c:v>
                </c:pt>
                <c:pt idx="91">
                  <c:v>-751451.7845417876</c:v>
                </c:pt>
                <c:pt idx="92">
                  <c:v>-759321.8723420521</c:v>
                </c:pt>
                <c:pt idx="93">
                  <c:v>-769178.6574313803</c:v>
                </c:pt>
                <c:pt idx="94">
                  <c:v>-781557.3317325406</c:v>
                </c:pt>
                <c:pt idx="95">
                  <c:v>-794617.1593899513</c:v>
                </c:pt>
                <c:pt idx="96">
                  <c:v>-807415.2264605131</c:v>
                </c:pt>
                <c:pt idx="97">
                  <c:v>-818864.6098856992</c:v>
                </c:pt>
                <c:pt idx="98">
                  <c:v>-827038.618743544</c:v>
                </c:pt>
                <c:pt idx="99">
                  <c:v>-833197.6300121665</c:v>
                </c:pt>
                <c:pt idx="100">
                  <c:v>-839115.8049155431</c:v>
                </c:pt>
                <c:pt idx="101">
                  <c:v>-845033.9798189199</c:v>
                </c:pt>
                <c:pt idx="102">
                  <c:v>-850952.1547222966</c:v>
                </c:pt>
                <c:pt idx="103">
                  <c:v>-857432.28114458</c:v>
                </c:pt>
                <c:pt idx="104">
                  <c:v>-865445.7324255942</c:v>
                </c:pt>
                <c:pt idx="105">
                  <c:v>-875426.0140227816</c:v>
                </c:pt>
                <c:pt idx="106">
                  <c:v>-887902.9659396826</c:v>
                </c:pt>
                <c:pt idx="107">
                  <c:v>-901054.2596792715</c:v>
                </c:pt>
                <c:pt idx="108">
                  <c:v>-913949.2289920278</c:v>
                </c:pt>
                <c:pt idx="109">
                  <c:v>-925509.0014958621</c:v>
                </c:pt>
                <c:pt idx="110">
                  <c:v>-933826.1531780285</c:v>
                </c:pt>
                <c:pt idx="111">
                  <c:v>-940148.4572468648</c:v>
                </c:pt>
                <c:pt idx="112">
                  <c:v>-946232.3333141078</c:v>
                </c:pt>
                <c:pt idx="113">
                  <c:v>-952316.2093813509</c:v>
                </c:pt>
                <c:pt idx="114">
                  <c:v>-958400.0854485939</c:v>
                </c:pt>
                <c:pt idx="115">
                  <c:v>-965040.2935195545</c:v>
                </c:pt>
                <c:pt idx="116">
                  <c:v>-973198.4932006587</c:v>
                </c:pt>
                <c:pt idx="117">
                  <c:v>-983303.8548947742</c:v>
                </c:pt>
                <c:pt idx="118">
                  <c:v>-995880.9202054063</c:v>
                </c:pt>
                <c:pt idx="119">
                  <c:v>-1.0091255839205E6</c:v>
                </c:pt>
                <c:pt idx="120">
                  <c:v>-1.01939112474023E6</c:v>
                </c:pt>
                <c:pt idx="121">
                  <c:v>-1.02833482071912E6</c:v>
                </c:pt>
                <c:pt idx="122">
                  <c:v>-1.03406832208457E6</c:v>
                </c:pt>
                <c:pt idx="123">
                  <c:v>-1.03782692431282E6</c:v>
                </c:pt>
                <c:pt idx="124">
                  <c:v>-1.04134948281949E6</c:v>
                </c:pt>
                <c:pt idx="125">
                  <c:v>-1.04487204132616E6</c:v>
                </c:pt>
                <c:pt idx="126">
                  <c:v>-1.04839459983283E6</c:v>
                </c:pt>
                <c:pt idx="127">
                  <c:v>-1.05246792702318E6</c:v>
                </c:pt>
                <c:pt idx="128">
                  <c:v>-1.05804406590757E6</c:v>
                </c:pt>
                <c:pt idx="129">
                  <c:v>-1.06554789518485E6</c:v>
                </c:pt>
                <c:pt idx="130">
                  <c:v>-1.07549871104247E6</c:v>
                </c:pt>
                <c:pt idx="131">
                  <c:v>-1.08611044932052E6</c:v>
                </c:pt>
                <c:pt idx="132">
                  <c:v>-1.09647682831158E6</c:v>
                </c:pt>
                <c:pt idx="133">
                  <c:v>-1.10553458091022E6</c:v>
                </c:pt>
                <c:pt idx="134">
                  <c:v>-1.11141424084154E6</c:v>
                </c:pt>
                <c:pt idx="135">
                  <c:v>-1.11533875062704E6</c:v>
                </c:pt>
                <c:pt idx="136">
                  <c:v>-1.11902957712817E6</c:v>
                </c:pt>
                <c:pt idx="137">
                  <c:v>-1.12272040362931E6</c:v>
                </c:pt>
                <c:pt idx="138">
                  <c:v>-1.12641123013045E6</c:v>
                </c:pt>
                <c:pt idx="139">
                  <c:v>-1.13064731762843E6</c:v>
                </c:pt>
                <c:pt idx="140">
                  <c:v>-1.13637118870351E6</c:v>
                </c:pt>
                <c:pt idx="141">
                  <c:v>-1.14400347326754E6</c:v>
                </c:pt>
                <c:pt idx="142">
                  <c:v>-1.15405827454612E6</c:v>
                </c:pt>
                <c:pt idx="143">
                  <c:v>-1.16476738902092E6</c:v>
                </c:pt>
                <c:pt idx="144">
                  <c:v>-1.17523667771182E6</c:v>
                </c:pt>
                <c:pt idx="145">
                  <c:v>-1.18441042627422E6</c:v>
                </c:pt>
                <c:pt idx="146">
                  <c:v>-1.19043786309598E6</c:v>
                </c:pt>
                <c:pt idx="147">
                  <c:v>-1.19452970127337E6</c:v>
                </c:pt>
                <c:pt idx="148">
                  <c:v>-1.19839019299925E6</c:v>
                </c:pt>
                <c:pt idx="149">
                  <c:v>-1.20225068472512E6</c:v>
                </c:pt>
                <c:pt idx="150">
                  <c:v>-1.206111176451E6</c:v>
                </c:pt>
                <c:pt idx="151">
                  <c:v>-1.21051147656375E6</c:v>
                </c:pt>
                <c:pt idx="152">
                  <c:v>-1.21638468241783E6</c:v>
                </c:pt>
                <c:pt idx="153">
                  <c:v>-1.22414721762597E6</c:v>
                </c:pt>
                <c:pt idx="154">
                  <c:v>-1.23430804438152E6</c:v>
                </c:pt>
                <c:pt idx="155">
                  <c:v>-1.24511664120131E6</c:v>
                </c:pt>
                <c:pt idx="156">
                  <c:v>-1.25569098280258E6</c:v>
                </c:pt>
                <c:pt idx="157">
                  <c:v>-1.26498273967664E6</c:v>
                </c:pt>
                <c:pt idx="158">
                  <c:v>-1.27115964792745E6</c:v>
                </c:pt>
                <c:pt idx="159">
                  <c:v>-1.27542031352035E6</c:v>
                </c:pt>
                <c:pt idx="160">
                  <c:v>-1.27945194612624E6</c:v>
                </c:pt>
                <c:pt idx="161">
                  <c:v>-1.28348357873213E6</c:v>
                </c:pt>
                <c:pt idx="162">
                  <c:v>-1.28751521133802E6</c:v>
                </c:pt>
                <c:pt idx="163">
                  <c:v>-1.29208125424692E6</c:v>
                </c:pt>
                <c:pt idx="164">
                  <c:v>-1.29810547383973E6</c:v>
                </c:pt>
                <c:pt idx="165">
                  <c:v>-1.30600012949307E6</c:v>
                </c:pt>
                <c:pt idx="166">
                  <c:v>-1.31626909377833E6</c:v>
                </c:pt>
                <c:pt idx="167">
                  <c:v>-1.32717935042721E6</c:v>
                </c:pt>
                <c:pt idx="168">
                  <c:v>-1.33786096188649E6</c:v>
                </c:pt>
                <c:pt idx="169">
                  <c:v>-1.34727281446583E6</c:v>
                </c:pt>
                <c:pt idx="170">
                  <c:v>-1.35360096690816E6</c:v>
                </c:pt>
                <c:pt idx="171">
                  <c:v>-1.35803203911915E6</c:v>
                </c:pt>
                <c:pt idx="172">
                  <c:v>-1.36223636867301E6</c:v>
                </c:pt>
                <c:pt idx="173">
                  <c:v>-1.36644069822687E6</c:v>
                </c:pt>
                <c:pt idx="174">
                  <c:v>-1.37064502778072E6</c:v>
                </c:pt>
                <c:pt idx="175">
                  <c:v>-1.37537842353456E6</c:v>
                </c:pt>
                <c:pt idx="176">
                  <c:v>-1.38155541420547E6</c:v>
                </c:pt>
                <c:pt idx="177">
                  <c:v>-1.3895841365763E6</c:v>
                </c:pt>
                <c:pt idx="178">
                  <c:v>-1.39996342449274E6</c:v>
                </c:pt>
                <c:pt idx="179">
                  <c:v>-1.41097759184914E6</c:v>
                </c:pt>
                <c:pt idx="180">
                  <c:v>-1.42176876596891E6</c:v>
                </c:pt>
                <c:pt idx="181">
                  <c:v>-1.43130287879754E6</c:v>
                </c:pt>
                <c:pt idx="182">
                  <c:v>-1.43778412849052E6</c:v>
                </c:pt>
                <c:pt idx="183">
                  <c:v>-1.44238726875448E6</c:v>
                </c:pt>
                <c:pt idx="184">
                  <c:v>-1.44676593378788E6</c:v>
                </c:pt>
                <c:pt idx="185">
                  <c:v>-1.45114459882128E6</c:v>
                </c:pt>
                <c:pt idx="186">
                  <c:v>-1.45552326385467E6</c:v>
                </c:pt>
                <c:pt idx="187">
                  <c:v>-1.46042570442605E6</c:v>
                </c:pt>
                <c:pt idx="188">
                  <c:v>-1.46675730396533E6</c:v>
                </c:pt>
                <c:pt idx="189">
                  <c:v>-1.47492211788753E6</c:v>
                </c:pt>
                <c:pt idx="190">
                  <c:v>-1.48541399169988E6</c:v>
                </c:pt>
                <c:pt idx="191">
                  <c:v>-1.4965343961578E6</c:v>
                </c:pt>
                <c:pt idx="192">
                  <c:v>-1.50743750377754E6</c:v>
                </c:pt>
                <c:pt idx="193">
                  <c:v>-1.51709612071904E6</c:v>
                </c:pt>
                <c:pt idx="194">
                  <c:v>-1.52373240315626E6</c:v>
                </c:pt>
                <c:pt idx="195">
                  <c:v>-1.52850935725874E6</c:v>
                </c:pt>
                <c:pt idx="196">
                  <c:v>-1.53306408088297E6</c:v>
                </c:pt>
                <c:pt idx="197">
                  <c:v>-1.53761880450719E6</c:v>
                </c:pt>
                <c:pt idx="198">
                  <c:v>-1.54217352813142E6</c:v>
                </c:pt>
                <c:pt idx="199">
                  <c:v>-1.54724678953824E6</c:v>
                </c:pt>
                <c:pt idx="200">
                  <c:v>-1.55373491832329E6</c:v>
                </c:pt>
                <c:pt idx="201">
                  <c:v>-1.56203792934743E6</c:v>
                </c:pt>
                <c:pt idx="202">
                  <c:v>-1.57264472966283E6</c:v>
                </c:pt>
                <c:pt idx="203">
                  <c:v>-1.58387377531733E6</c:v>
                </c:pt>
                <c:pt idx="204">
                  <c:v>-1.5948912675621E6</c:v>
                </c:pt>
                <c:pt idx="205">
                  <c:v>-1.60467671403541E6</c:v>
                </c:pt>
                <c:pt idx="206">
                  <c:v>-1.61147004934949E6</c:v>
                </c:pt>
                <c:pt idx="207">
                  <c:v>-1.61642264961218E6</c:v>
                </c:pt>
                <c:pt idx="208">
                  <c:v>-1.6211552417014E6</c:v>
                </c:pt>
                <c:pt idx="209">
                  <c:v>-1.62588783379061E6</c:v>
                </c:pt>
                <c:pt idx="210">
                  <c:v>-1.63062042587982E6</c:v>
                </c:pt>
                <c:pt idx="211">
                  <c:v>-1.63586637037381E6</c:v>
                </c:pt>
                <c:pt idx="212">
                  <c:v>-1.64251303357224E6</c:v>
                </c:pt>
                <c:pt idx="213">
                  <c:v>-1.65095643018737E6</c:v>
                </c:pt>
                <c:pt idx="214">
                  <c:v>-1.66168057820084E6</c:v>
                </c:pt>
                <c:pt idx="215">
                  <c:v>-1.67302074910003E6</c:v>
                </c:pt>
                <c:pt idx="216">
                  <c:v>-1.68415515969745E6</c:v>
                </c:pt>
                <c:pt idx="217">
                  <c:v>-1.69406984498113E6</c:v>
                </c:pt>
                <c:pt idx="218">
                  <c:v>-1.70102234021717E6</c:v>
                </c:pt>
                <c:pt idx="219">
                  <c:v>-1.70615250775233E6</c:v>
                </c:pt>
                <c:pt idx="220">
                  <c:v>-1.71106486719575E6</c:v>
                </c:pt>
                <c:pt idx="221">
                  <c:v>-1.71597722663917E6</c:v>
                </c:pt>
                <c:pt idx="222">
                  <c:v>-1.72088958608259E6</c:v>
                </c:pt>
                <c:pt idx="223">
                  <c:v>-1.72631016440674E6</c:v>
                </c:pt>
                <c:pt idx="224">
                  <c:v>-1.73311745424828E6</c:v>
                </c:pt>
                <c:pt idx="225">
                  <c:v>-1.74170351017236E6</c:v>
                </c:pt>
                <c:pt idx="226">
                  <c:v>-1.75254750998079E6</c:v>
                </c:pt>
                <c:pt idx="227">
                  <c:v>-1.76400137244609E6</c:v>
                </c:pt>
                <c:pt idx="228">
                  <c:v>-1.77525532011372E6</c:v>
                </c:pt>
                <c:pt idx="229">
                  <c:v>-1.78530173972075E6</c:v>
                </c:pt>
                <c:pt idx="230">
                  <c:v>-1.79241559118061E6</c:v>
                </c:pt>
                <c:pt idx="231">
                  <c:v>-1.7977253382166E6</c:v>
                </c:pt>
                <c:pt idx="232">
                  <c:v>-1.80281945524178E6</c:v>
                </c:pt>
                <c:pt idx="233">
                  <c:v>-1.80791357226695E6</c:v>
                </c:pt>
                <c:pt idx="234">
                  <c:v>-1.81300768929212E6</c:v>
                </c:pt>
                <c:pt idx="235">
                  <c:v>-1.81860594300921E6</c:v>
                </c:pt>
                <c:pt idx="236">
                  <c:v>-1.82557804112852E6</c:v>
                </c:pt>
                <c:pt idx="237">
                  <c:v>-1.83431211766954E6</c:v>
                </c:pt>
                <c:pt idx="238">
                  <c:v>-1.84528255865608E6</c:v>
                </c:pt>
                <c:pt idx="239">
                  <c:v>-1.85685776367291E6</c:v>
                </c:pt>
              </c:numCache>
            </c:numRef>
          </c:val>
          <c:smooth val="0"/>
        </c:ser>
        <c:ser>
          <c:idx val="2"/>
          <c:order val="1"/>
          <c:tx>
            <c:v>Cumulative CF Equity Financing</c:v>
          </c:tx>
          <c:spPr>
            <a:ln w="28575" cmpd="sng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Germany!$H$5:$H$244</c:f>
              <c:numCache>
                <c:formatCode>General</c:formatCode>
                <c:ptCount val="240"/>
                <c:pt idx="0">
                  <c:v>2015.0</c:v>
                </c:pt>
                <c:pt idx="12">
                  <c:v>2016.0</c:v>
                </c:pt>
                <c:pt idx="24">
                  <c:v>2017.0</c:v>
                </c:pt>
                <c:pt idx="36">
                  <c:v>2018.0</c:v>
                </c:pt>
                <c:pt idx="48">
                  <c:v>2019.0</c:v>
                </c:pt>
                <c:pt idx="60">
                  <c:v>2020.0</c:v>
                </c:pt>
                <c:pt idx="72">
                  <c:v>2021.0</c:v>
                </c:pt>
                <c:pt idx="84">
                  <c:v>2022.0</c:v>
                </c:pt>
                <c:pt idx="96">
                  <c:v>2023.0</c:v>
                </c:pt>
                <c:pt idx="108">
                  <c:v>2024.0</c:v>
                </c:pt>
                <c:pt idx="120">
                  <c:v>2025.0</c:v>
                </c:pt>
                <c:pt idx="132">
                  <c:v>2026.0</c:v>
                </c:pt>
                <c:pt idx="144">
                  <c:v>2027.0</c:v>
                </c:pt>
                <c:pt idx="156">
                  <c:v>2028.0</c:v>
                </c:pt>
                <c:pt idx="168">
                  <c:v>2029.0</c:v>
                </c:pt>
                <c:pt idx="180">
                  <c:v>2030.0</c:v>
                </c:pt>
                <c:pt idx="192">
                  <c:v>2031.0</c:v>
                </c:pt>
                <c:pt idx="204">
                  <c:v>2032.0</c:v>
                </c:pt>
                <c:pt idx="216">
                  <c:v>2033.0</c:v>
                </c:pt>
                <c:pt idx="228">
                  <c:v>2034.0</c:v>
                </c:pt>
              </c:numCache>
            </c:numRef>
          </c:cat>
          <c:val>
            <c:numRef>
              <c:f>Germany!$AK$5:$AK$244</c:f>
              <c:numCache>
                <c:formatCode>#,##0</c:formatCode>
                <c:ptCount val="240"/>
                <c:pt idx="0">
                  <c:v>-1.52983025140051E6</c:v>
                </c:pt>
                <c:pt idx="1">
                  <c:v>-1.53037060160058E6</c:v>
                </c:pt>
                <c:pt idx="2">
                  <c:v>-1.52736135180066E6</c:v>
                </c:pt>
                <c:pt idx="3">
                  <c:v>-1.52216840200073E6</c:v>
                </c:pt>
                <c:pt idx="4">
                  <c:v>-1.5167144522008E6</c:v>
                </c:pt>
                <c:pt idx="5">
                  <c:v>-1.51126050240087E6</c:v>
                </c:pt>
                <c:pt idx="6">
                  <c:v>-1.50580655260095E6</c:v>
                </c:pt>
                <c:pt idx="7">
                  <c:v>-1.50096160280102E6</c:v>
                </c:pt>
                <c:pt idx="8">
                  <c:v>-1.49777835300109E6</c:v>
                </c:pt>
                <c:pt idx="9">
                  <c:v>-1.49672660320116E6</c:v>
                </c:pt>
                <c:pt idx="10">
                  <c:v>-1.49838055340124E6</c:v>
                </c:pt>
                <c:pt idx="11">
                  <c:v>-1.50076530360131E6</c:v>
                </c:pt>
                <c:pt idx="12">
                  <c:v>-1.50285090836268E6</c:v>
                </c:pt>
                <c:pt idx="13">
                  <c:v>-1.50348952912405E6</c:v>
                </c:pt>
                <c:pt idx="14">
                  <c:v>-1.50061404588541E6</c:v>
                </c:pt>
                <c:pt idx="15">
                  <c:v>-1.49557669964678E6</c:v>
                </c:pt>
                <c:pt idx="16">
                  <c:v>-1.49028096340815E6</c:v>
                </c:pt>
                <c:pt idx="17">
                  <c:v>-1.48498522716952E6</c:v>
                </c:pt>
                <c:pt idx="18">
                  <c:v>-1.47968949093088E6</c:v>
                </c:pt>
                <c:pt idx="19">
                  <c:v>-1.47499666469225E6</c:v>
                </c:pt>
                <c:pt idx="20">
                  <c:v>-1.47194892145362E6</c:v>
                </c:pt>
                <c:pt idx="21">
                  <c:v>-1.47101136321499E6</c:v>
                </c:pt>
                <c:pt idx="22">
                  <c:v>-1.47275244797636E6</c:v>
                </c:pt>
                <c:pt idx="23">
                  <c:v>-1.47521702473772E6</c:v>
                </c:pt>
                <c:pt idx="24">
                  <c:v>-1.47738773925722E6</c:v>
                </c:pt>
                <c:pt idx="25">
                  <c:v>-1.47812593961673E6</c:v>
                </c:pt>
                <c:pt idx="26">
                  <c:v>-1.47538517701623E6</c:v>
                </c:pt>
                <c:pt idx="27">
                  <c:v>-1.47050417004573E6</c:v>
                </c:pt>
                <c:pt idx="28">
                  <c:v>-1.46536735697523E6</c:v>
                </c:pt>
                <c:pt idx="29">
                  <c:v>-1.46023054390473E6</c:v>
                </c:pt>
                <c:pt idx="30">
                  <c:v>-1.45509373083423E6</c:v>
                </c:pt>
                <c:pt idx="31">
                  <c:v>-1.45055379866374E6</c:v>
                </c:pt>
                <c:pt idx="32">
                  <c:v>-1.44764249866324E6</c:v>
                </c:pt>
                <c:pt idx="33">
                  <c:v>-1.44682028181274E6</c:v>
                </c:pt>
                <c:pt idx="34">
                  <c:v>-1.44864992153224E6</c:v>
                </c:pt>
                <c:pt idx="35">
                  <c:v>-1.45119581833174E6</c:v>
                </c:pt>
                <c:pt idx="36">
                  <c:v>-1.45345315200652E6</c:v>
                </c:pt>
                <c:pt idx="37">
                  <c:v>-1.4542922966629E6</c:v>
                </c:pt>
                <c:pt idx="38">
                  <c:v>-1.45168726798888E6</c:v>
                </c:pt>
                <c:pt idx="39">
                  <c:v>-1.44696339738856E6</c:v>
                </c:pt>
                <c:pt idx="40">
                  <c:v>-1.44198627874924E6</c:v>
                </c:pt>
                <c:pt idx="41">
                  <c:v>-1.43700916010992E6</c:v>
                </c:pt>
                <c:pt idx="42">
                  <c:v>-1.4320320414706E6</c:v>
                </c:pt>
                <c:pt idx="43">
                  <c:v>-1.42764583492228E6</c:v>
                </c:pt>
                <c:pt idx="44">
                  <c:v>-1.42487197422226E6</c:v>
                </c:pt>
                <c:pt idx="45">
                  <c:v>-1.42416630584074E6</c:v>
                </c:pt>
                <c:pt idx="46">
                  <c:v>-1.42608597546352E6</c:v>
                </c:pt>
                <c:pt idx="47">
                  <c:v>-1.4287147395955E6</c:v>
                </c:pt>
                <c:pt idx="48">
                  <c:v>-1.43106025754357E6</c:v>
                </c:pt>
                <c:pt idx="49">
                  <c:v>-1.43200176836343E6</c:v>
                </c:pt>
                <c:pt idx="50">
                  <c:v>-1.42953354758618E6</c:v>
                </c:pt>
                <c:pt idx="51">
                  <c:v>-1.42496767330191E6</c:v>
                </c:pt>
                <c:pt idx="52">
                  <c:v>-1.42015108345902E6</c:v>
                </c:pt>
                <c:pt idx="53">
                  <c:v>-1.41533449361613E6</c:v>
                </c:pt>
                <c:pt idx="54">
                  <c:v>-1.41051790377325E6</c:v>
                </c:pt>
                <c:pt idx="55">
                  <c:v>-1.40628631690045E6</c:v>
                </c:pt>
                <c:pt idx="56">
                  <c:v>-1.40365095241747E6</c:v>
                </c:pt>
                <c:pt idx="57">
                  <c:v>-1.4030630983298E6</c:v>
                </c:pt>
                <c:pt idx="58">
                  <c:v>-1.40507432886639E6</c:v>
                </c:pt>
                <c:pt idx="59">
                  <c:v>-1.40778756296709E6</c:v>
                </c:pt>
                <c:pt idx="60">
                  <c:v>-1.41022288759458E6</c:v>
                </c:pt>
                <c:pt idx="61">
                  <c:v>-1.41126824516513E6</c:v>
                </c:pt>
                <c:pt idx="62">
                  <c:v>-1.40893796845456E6</c:v>
                </c:pt>
                <c:pt idx="63">
                  <c:v>-1.40453101477202E6</c:v>
                </c:pt>
                <c:pt idx="64">
                  <c:v>-1.39987585268645E6</c:v>
                </c:pt>
                <c:pt idx="65">
                  <c:v>-1.39522069060089E6</c:v>
                </c:pt>
                <c:pt idx="66">
                  <c:v>-1.39056552851532E6</c:v>
                </c:pt>
                <c:pt idx="67">
                  <c:v>-1.38648951937015E6</c:v>
                </c:pt>
                <c:pt idx="68">
                  <c:v>-1.38399377039089E6</c:v>
                </c:pt>
                <c:pt idx="69">
                  <c:v>-1.383525056703E6</c:v>
                </c:pt>
                <c:pt idx="70">
                  <c:v>-1.38562943679312E6</c:v>
                </c:pt>
                <c:pt idx="71">
                  <c:v>-1.3884288004117E6</c:v>
                </c:pt>
                <c:pt idx="72">
                  <c:v>-1.39095561302813E6</c:v>
                </c:pt>
                <c:pt idx="73">
                  <c:v>-1.39210635825819E6</c:v>
                </c:pt>
                <c:pt idx="74">
                  <c:v>-1.38991522554993E6</c:v>
                </c:pt>
                <c:pt idx="75">
                  <c:v>-1.38566818263943E6</c:v>
                </c:pt>
                <c:pt idx="76">
                  <c:v>-1.38117541340994E6</c:v>
                </c:pt>
                <c:pt idx="77">
                  <c:v>-1.37668264418044E6</c:v>
                </c:pt>
                <c:pt idx="78">
                  <c:v>-1.37218987495095E6</c:v>
                </c:pt>
                <c:pt idx="79">
                  <c:v>-1.36827046713244E6</c:v>
                </c:pt>
                <c:pt idx="80">
                  <c:v>-1.36591551687819E6</c:v>
                </c:pt>
                <c:pt idx="81">
                  <c:v>-1.36556733156239E6</c:v>
                </c:pt>
                <c:pt idx="82">
                  <c:v>-1.36776650908682E6</c:v>
                </c:pt>
                <c:pt idx="83">
                  <c:v>-1.37065372030444E6</c:v>
                </c:pt>
                <c:pt idx="84">
                  <c:v>-1.37327376278752E6</c:v>
                </c:pt>
                <c:pt idx="85">
                  <c:v>-1.3745314985581E6</c:v>
                </c:pt>
                <c:pt idx="86">
                  <c:v>-1.37248077516975E6</c:v>
                </c:pt>
                <c:pt idx="87">
                  <c:v>-1.36839470068118E6</c:v>
                </c:pt>
                <c:pt idx="88">
                  <c:v>-1.3640653571368E6</c:v>
                </c:pt>
                <c:pt idx="89">
                  <c:v>-1.35973601359243E6</c:v>
                </c:pt>
                <c:pt idx="90">
                  <c:v>-1.35540667004805E6</c:v>
                </c:pt>
                <c:pt idx="91">
                  <c:v>-1.35164495430055E6</c:v>
                </c:pt>
                <c:pt idx="92">
                  <c:v>-1.34943205154167E6</c:v>
                </c:pt>
                <c:pt idx="93">
                  <c:v>-1.34920584607185E6</c:v>
                </c:pt>
                <c:pt idx="94">
                  <c:v>-1.35150152981386E6</c:v>
                </c:pt>
                <c:pt idx="95">
                  <c:v>-1.35447836691212E6</c:v>
                </c:pt>
                <c:pt idx="96">
                  <c:v>-1.35719344342353E6</c:v>
                </c:pt>
                <c:pt idx="97">
                  <c:v>-1.35855983628957E6</c:v>
                </c:pt>
                <c:pt idx="98">
                  <c:v>-1.35665085458827E6</c:v>
                </c:pt>
                <c:pt idx="99">
                  <c:v>-1.35272687529774E6</c:v>
                </c:pt>
                <c:pt idx="100">
                  <c:v>-1.34856205964197E6</c:v>
                </c:pt>
                <c:pt idx="101">
                  <c:v>-1.3443972439862E6</c:v>
                </c:pt>
                <c:pt idx="102">
                  <c:v>-1.34023242833042E6</c:v>
                </c:pt>
                <c:pt idx="103">
                  <c:v>-1.33662956419356E6</c:v>
                </c:pt>
                <c:pt idx="104">
                  <c:v>-1.33456002491542E6</c:v>
                </c:pt>
                <c:pt idx="105">
                  <c:v>-1.33445731595346E6</c:v>
                </c:pt>
                <c:pt idx="106">
                  <c:v>-1.33685127731121E6</c:v>
                </c:pt>
                <c:pt idx="107">
                  <c:v>-1.33991958049166E6</c:v>
                </c:pt>
                <c:pt idx="108">
                  <c:v>-1.34273155924526E6</c:v>
                </c:pt>
                <c:pt idx="109">
                  <c:v>-1.34420834118995E6</c:v>
                </c:pt>
                <c:pt idx="110">
                  <c:v>-1.34244250231297E6</c:v>
                </c:pt>
                <c:pt idx="111">
                  <c:v>-1.33868181582265E6</c:v>
                </c:pt>
                <c:pt idx="112">
                  <c:v>-1.33468270133075E6</c:v>
                </c:pt>
                <c:pt idx="113">
                  <c:v>-1.33068358683884E6</c:v>
                </c:pt>
                <c:pt idx="114">
                  <c:v>-1.32668447234694E6</c:v>
                </c:pt>
                <c:pt idx="115">
                  <c:v>-1.32324168985875E6</c:v>
                </c:pt>
                <c:pt idx="116">
                  <c:v>-1.32131689898071E6</c:v>
                </c:pt>
                <c:pt idx="117">
                  <c:v>-1.32133927011567E6</c:v>
                </c:pt>
                <c:pt idx="118">
                  <c:v>-1.32383334486716E6</c:v>
                </c:pt>
                <c:pt idx="119">
                  <c:v>-1.3269950180231E6</c:v>
                </c:pt>
                <c:pt idx="120">
                  <c:v>-1.32717756828368E6</c:v>
                </c:pt>
                <c:pt idx="121">
                  <c:v>-1.32603827370343E6</c:v>
                </c:pt>
                <c:pt idx="122">
                  <c:v>-1.32168878450972E6</c:v>
                </c:pt>
                <c:pt idx="123">
                  <c:v>-1.31536439617882E6</c:v>
                </c:pt>
                <c:pt idx="124">
                  <c:v>-1.30880396412634E6</c:v>
                </c:pt>
                <c:pt idx="125">
                  <c:v>-1.30224353207387E6</c:v>
                </c:pt>
                <c:pt idx="126">
                  <c:v>-1.29568310002139E6</c:v>
                </c:pt>
                <c:pt idx="127">
                  <c:v>-1.28967343665259E6</c:v>
                </c:pt>
                <c:pt idx="128">
                  <c:v>-1.28516658497784E6</c:v>
                </c:pt>
                <c:pt idx="129">
                  <c:v>-1.28258742369596E6</c:v>
                </c:pt>
                <c:pt idx="130">
                  <c:v>-1.28245524899444E6</c:v>
                </c:pt>
                <c:pt idx="131">
                  <c:v>-1.28298399671333E6</c:v>
                </c:pt>
                <c:pt idx="132">
                  <c:v>-1.28326738514525E6</c:v>
                </c:pt>
                <c:pt idx="133">
                  <c:v>-1.28224214718474E6</c:v>
                </c:pt>
                <c:pt idx="134">
                  <c:v>-1.27803881655691E6</c:v>
                </c:pt>
                <c:pt idx="135">
                  <c:v>-1.27188033578326E6</c:v>
                </c:pt>
                <c:pt idx="136">
                  <c:v>-1.26548817172525E6</c:v>
                </c:pt>
                <c:pt idx="137">
                  <c:v>-1.25909600766724E6</c:v>
                </c:pt>
                <c:pt idx="138">
                  <c:v>-1.25270384360922E6</c:v>
                </c:pt>
                <c:pt idx="139">
                  <c:v>-1.24685694054805E6</c:v>
                </c:pt>
                <c:pt idx="140">
                  <c:v>-1.24249782106399E6</c:v>
                </c:pt>
                <c:pt idx="141">
                  <c:v>-1.24004711506887E6</c:v>
                </c:pt>
                <c:pt idx="142">
                  <c:v>-1.2400189257883E6</c:v>
                </c:pt>
                <c:pt idx="143">
                  <c:v>-1.24064504970395E6</c:v>
                </c:pt>
                <c:pt idx="144">
                  <c:v>-1.2410313478357E6</c:v>
                </c:pt>
                <c:pt idx="145">
                  <c:v>-1.24012210583896E6</c:v>
                </c:pt>
                <c:pt idx="146">
                  <c:v>-1.23606655210157E6</c:v>
                </c:pt>
                <c:pt idx="147">
                  <c:v>-1.23007539971981E6</c:v>
                </c:pt>
                <c:pt idx="148">
                  <c:v>-1.22385290088654E6</c:v>
                </c:pt>
                <c:pt idx="149">
                  <c:v>-1.21763040205326E6</c:v>
                </c:pt>
                <c:pt idx="150">
                  <c:v>-1.21140790321999E6</c:v>
                </c:pt>
                <c:pt idx="151">
                  <c:v>-1.20572521277359E6</c:v>
                </c:pt>
                <c:pt idx="152">
                  <c:v>-1.20151542806852E6</c:v>
                </c:pt>
                <c:pt idx="153">
                  <c:v>-1.19919497271752E6</c:v>
                </c:pt>
                <c:pt idx="154">
                  <c:v>-1.19927280891392E6</c:v>
                </c:pt>
                <c:pt idx="155">
                  <c:v>-1.19999841517456E6</c:v>
                </c:pt>
                <c:pt idx="156">
                  <c:v>-1.20048976621668E6</c:v>
                </c:pt>
                <c:pt idx="157">
                  <c:v>-1.19969853253159E6</c:v>
                </c:pt>
                <c:pt idx="158">
                  <c:v>-1.19579245022326E6</c:v>
                </c:pt>
                <c:pt idx="159">
                  <c:v>-1.189970125257E6</c:v>
                </c:pt>
                <c:pt idx="160">
                  <c:v>-1.18391876730374E6</c:v>
                </c:pt>
                <c:pt idx="161">
                  <c:v>-1.17786740935049E6</c:v>
                </c:pt>
                <c:pt idx="162">
                  <c:v>-1.17181605139723E6</c:v>
                </c:pt>
                <c:pt idx="163">
                  <c:v>-1.16629910374698E6</c:v>
                </c:pt>
                <c:pt idx="164">
                  <c:v>-1.16224033278064E6</c:v>
                </c:pt>
                <c:pt idx="165">
                  <c:v>-1.16005199787483E6</c:v>
                </c:pt>
                <c:pt idx="166">
                  <c:v>-1.16023797160095E6</c:v>
                </c:pt>
                <c:pt idx="167">
                  <c:v>-1.16106523769067E6</c:v>
                </c:pt>
                <c:pt idx="168">
                  <c:v>-1.1616638585908E6</c:v>
                </c:pt>
                <c:pt idx="169">
                  <c:v>-1.16099272061099E6</c:v>
                </c:pt>
                <c:pt idx="170">
                  <c:v>-1.15723788249418E6</c:v>
                </c:pt>
                <c:pt idx="171">
                  <c:v>-1.15158596414602E6</c:v>
                </c:pt>
                <c:pt idx="172">
                  <c:v>-1.14570730314073E6</c:v>
                </c:pt>
                <c:pt idx="173">
                  <c:v>-1.13982864213544E6</c:v>
                </c:pt>
                <c:pt idx="174">
                  <c:v>-1.13394998113015E6</c:v>
                </c:pt>
                <c:pt idx="175">
                  <c:v>-1.12860038632483E6</c:v>
                </c:pt>
                <c:pt idx="176">
                  <c:v>-1.1246943864366E6</c:v>
                </c:pt>
                <c:pt idx="177">
                  <c:v>-1.12264011824828E6</c:v>
                </c:pt>
                <c:pt idx="178">
                  <c:v>-1.12293641560557E6</c:v>
                </c:pt>
                <c:pt idx="179">
                  <c:v>-1.12386759240283E6</c:v>
                </c:pt>
                <c:pt idx="180">
                  <c:v>-1.12457577596344E6</c:v>
                </c:pt>
                <c:pt idx="181">
                  <c:v>-1.12402689823292E6</c:v>
                </c:pt>
                <c:pt idx="182">
                  <c:v>-1.12042515736676E6</c:v>
                </c:pt>
                <c:pt idx="183">
                  <c:v>-1.11494530707157E6</c:v>
                </c:pt>
                <c:pt idx="184">
                  <c:v>-1.10924098154582E6</c:v>
                </c:pt>
                <c:pt idx="185">
                  <c:v>-1.10353665602007E6</c:v>
                </c:pt>
                <c:pt idx="186">
                  <c:v>-1.09783233049432E6</c:v>
                </c:pt>
                <c:pt idx="187">
                  <c:v>-1.09265178050654E6</c:v>
                </c:pt>
                <c:pt idx="188">
                  <c:v>-1.08890038948667E6</c:v>
                </c:pt>
                <c:pt idx="189">
                  <c:v>-1.08698221284972E6</c:v>
                </c:pt>
                <c:pt idx="190">
                  <c:v>-1.08739109610293E6</c:v>
                </c:pt>
                <c:pt idx="191">
                  <c:v>-1.0884285100017E6</c:v>
                </c:pt>
                <c:pt idx="192">
                  <c:v>-1.08924862706229E6</c:v>
                </c:pt>
                <c:pt idx="193">
                  <c:v>-1.08882425344464E6</c:v>
                </c:pt>
                <c:pt idx="194">
                  <c:v>-1.08537754532271E6</c:v>
                </c:pt>
                <c:pt idx="195">
                  <c:v>-1.08007150886605E6</c:v>
                </c:pt>
                <c:pt idx="196">
                  <c:v>-1.07454324193112E6</c:v>
                </c:pt>
                <c:pt idx="197">
                  <c:v>-1.0690149749962E6</c:v>
                </c:pt>
                <c:pt idx="198">
                  <c:v>-1.06348670806128E6</c:v>
                </c:pt>
                <c:pt idx="199">
                  <c:v>-1.05847697890895E6</c:v>
                </c:pt>
                <c:pt idx="200">
                  <c:v>-1.05488211713486E6</c:v>
                </c:pt>
                <c:pt idx="201">
                  <c:v>-1.05310213759985E6</c:v>
                </c:pt>
                <c:pt idx="202">
                  <c:v>-1.05362594735609E6</c:v>
                </c:pt>
                <c:pt idx="203">
                  <c:v>-1.05477200245145E6</c:v>
                </c:pt>
                <c:pt idx="204">
                  <c:v>-1.05570650413707E6</c:v>
                </c:pt>
                <c:pt idx="205">
                  <c:v>-1.05540896005123E6</c:v>
                </c:pt>
                <c:pt idx="206">
                  <c:v>-1.05211930480616E6</c:v>
                </c:pt>
                <c:pt idx="207">
                  <c:v>-1.0469889145097E6</c:v>
                </c:pt>
                <c:pt idx="208">
                  <c:v>-1.04163851603977E6</c:v>
                </c:pt>
                <c:pt idx="209">
                  <c:v>-1.03628811756983E6</c:v>
                </c:pt>
                <c:pt idx="210">
                  <c:v>-1.0309377190999E6</c:v>
                </c:pt>
                <c:pt idx="211">
                  <c:v>-1.02610067303474E6</c:v>
                </c:pt>
                <c:pt idx="212">
                  <c:v>-1.02266434567402E6</c:v>
                </c:pt>
                <c:pt idx="213">
                  <c:v>-1.02102475173E6</c:v>
                </c:pt>
                <c:pt idx="214">
                  <c:v>-1.02166590918432E6</c:v>
                </c:pt>
                <c:pt idx="215">
                  <c:v>-1.02292308952436E6</c:v>
                </c:pt>
                <c:pt idx="216">
                  <c:v>-1.02397450956263E6</c:v>
                </c:pt>
                <c:pt idx="217">
                  <c:v>-1.02380620428716E6</c:v>
                </c:pt>
                <c:pt idx="218">
                  <c:v>-1.02067570896405E6</c:v>
                </c:pt>
                <c:pt idx="219">
                  <c:v>-1.01572288594006E6</c:v>
                </c:pt>
                <c:pt idx="220">
                  <c:v>-1.01055225482434E6</c:v>
                </c:pt>
                <c:pt idx="221">
                  <c:v>-1.00538162370861E6</c:v>
                </c:pt>
                <c:pt idx="222">
                  <c:v>-1.00021099259288E6</c:v>
                </c:pt>
                <c:pt idx="223">
                  <c:v>-995548.5803578777</c:v>
                </c:pt>
                <c:pt idx="224">
                  <c:v>-992272.8796402751</c:v>
                </c:pt>
                <c:pt idx="225">
                  <c:v>-990775.9450052034</c:v>
                </c:pt>
                <c:pt idx="226">
                  <c:v>-991536.9542544872</c:v>
                </c:pt>
                <c:pt idx="227">
                  <c:v>-992907.8261606388</c:v>
                </c:pt>
                <c:pt idx="228">
                  <c:v>-994078.7832691177</c:v>
                </c:pt>
                <c:pt idx="229">
                  <c:v>-994042.2123169985</c:v>
                </c:pt>
                <c:pt idx="230">
                  <c:v>-991073.0732177125</c:v>
                </c:pt>
                <c:pt idx="231">
                  <c:v>-986299.8296945566</c:v>
                </c:pt>
                <c:pt idx="232">
                  <c:v>-981310.9561605798</c:v>
                </c:pt>
                <c:pt idx="233">
                  <c:v>-976322.082626603</c:v>
                </c:pt>
                <c:pt idx="234">
                  <c:v>-971333.2090926261</c:v>
                </c:pt>
                <c:pt idx="235">
                  <c:v>-966848.4722505651</c:v>
                </c:pt>
                <c:pt idx="236">
                  <c:v>-963737.5798107316</c:v>
                </c:pt>
                <c:pt idx="237">
                  <c:v>-962388.6657926037</c:v>
                </c:pt>
                <c:pt idx="238">
                  <c:v>-963276.1162199879</c:v>
                </c:pt>
                <c:pt idx="239">
                  <c:v>-964768.330677671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5541976"/>
        <c:axId val="-2138964808"/>
      </c:lineChart>
      <c:dateAx>
        <c:axId val="-2135541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8964808"/>
        <c:crosses val="autoZero"/>
        <c:auto val="0"/>
        <c:lblOffset val="100"/>
        <c:baseTimeUnit val="days"/>
      </c:dateAx>
      <c:valAx>
        <c:axId val="-21389648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EUR</a:t>
                </a:r>
              </a:p>
            </c:rich>
          </c:tx>
          <c:layout>
            <c:manualLayout>
              <c:xMode val="edge"/>
              <c:yMode val="edge"/>
              <c:x val="0.0274768801442178"/>
              <c:y val="0.034467800394520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-21355419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2010</a:t>
            </a:r>
            <a:endParaRPr lang="en-US"/>
          </a:p>
        </c:rich>
      </c:tx>
      <c:layout>
        <c:manualLayout>
          <c:xMode val="edge"/>
          <c:yMode val="edge"/>
          <c:x val="0.659699605612126"/>
          <c:y val="0.183266932270916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'Country Energy Mixes'!$A$3:$A$8</c:f>
              <c:strCache>
                <c:ptCount val="6"/>
                <c:pt idx="0">
                  <c:v>Hydropower</c:v>
                </c:pt>
                <c:pt idx="1">
                  <c:v>Geothermal</c:v>
                </c:pt>
                <c:pt idx="2">
                  <c:v>Solar</c:v>
                </c:pt>
                <c:pt idx="3">
                  <c:v>Ocean</c:v>
                </c:pt>
                <c:pt idx="4">
                  <c:v>Wind</c:v>
                </c:pt>
                <c:pt idx="5">
                  <c:v>Biomass</c:v>
                </c:pt>
              </c:strCache>
            </c:strRef>
          </c:cat>
          <c:val>
            <c:numRef>
              <c:f>'Country Energy Mixes'!$B$3:$B$8</c:f>
              <c:numCache>
                <c:formatCode>General</c:formatCode>
                <c:ptCount val="6"/>
                <c:pt idx="0">
                  <c:v>79.0</c:v>
                </c:pt>
                <c:pt idx="1">
                  <c:v>0.2</c:v>
                </c:pt>
                <c:pt idx="2">
                  <c:v>0.7</c:v>
                </c:pt>
                <c:pt idx="3">
                  <c:v>0.6</c:v>
                </c:pt>
                <c:pt idx="4">
                  <c:v>13.3</c:v>
                </c:pt>
                <c:pt idx="5">
                  <c:v>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2020 </a:t>
            </a:r>
          </a:p>
        </c:rich>
      </c:tx>
      <c:layout>
        <c:manualLayout>
          <c:xMode val="edge"/>
          <c:yMode val="edge"/>
          <c:x val="0.691113218177571"/>
          <c:y val="0.201581027667984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'Country Energy Mixes'!$A$3:$A$8</c:f>
              <c:strCache>
                <c:ptCount val="6"/>
                <c:pt idx="0">
                  <c:v>Hydropower</c:v>
                </c:pt>
                <c:pt idx="1">
                  <c:v>Geothermal</c:v>
                </c:pt>
                <c:pt idx="2">
                  <c:v>Solar</c:v>
                </c:pt>
                <c:pt idx="3">
                  <c:v>Ocean</c:v>
                </c:pt>
                <c:pt idx="4">
                  <c:v>Wind</c:v>
                </c:pt>
                <c:pt idx="5">
                  <c:v>Biomass</c:v>
                </c:pt>
              </c:strCache>
            </c:strRef>
          </c:cat>
          <c:val>
            <c:numRef>
              <c:f>'Country Energy Mixes'!$C$3:$C$8</c:f>
              <c:numCache>
                <c:formatCode>General</c:formatCode>
                <c:ptCount val="6"/>
                <c:pt idx="0">
                  <c:v>46.2</c:v>
                </c:pt>
                <c:pt idx="1">
                  <c:v>0.3</c:v>
                </c:pt>
                <c:pt idx="2">
                  <c:v>4.4</c:v>
                </c:pt>
                <c:pt idx="3">
                  <c:v>0.7</c:v>
                </c:pt>
                <c:pt idx="4">
                  <c:v>37.3</c:v>
                </c:pt>
                <c:pt idx="5">
                  <c:v>11.1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2010</a:t>
            </a:r>
            <a:endParaRPr lang="en-US"/>
          </a:p>
        </c:rich>
      </c:tx>
      <c:layout>
        <c:manualLayout>
          <c:xMode val="edge"/>
          <c:yMode val="edge"/>
          <c:x val="0.18849541713045"/>
          <c:y val="0.175298804780876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'Country Energy Mixes'!$A$3:$A$8</c:f>
              <c:strCache>
                <c:ptCount val="6"/>
                <c:pt idx="0">
                  <c:v>Hydropower</c:v>
                </c:pt>
                <c:pt idx="1">
                  <c:v>Geothermal</c:v>
                </c:pt>
                <c:pt idx="2">
                  <c:v>Solar</c:v>
                </c:pt>
                <c:pt idx="3">
                  <c:v>Ocean</c:v>
                </c:pt>
                <c:pt idx="4">
                  <c:v>Wind</c:v>
                </c:pt>
                <c:pt idx="5">
                  <c:v>Biomass</c:v>
                </c:pt>
              </c:strCache>
            </c:strRef>
          </c:cat>
          <c:val>
            <c:numRef>
              <c:f>'Country Energy Mixes'!$D$3:$D$8</c:f>
              <c:numCache>
                <c:formatCode>General</c:formatCode>
                <c:ptCount val="6"/>
                <c:pt idx="0">
                  <c:v>17.1</c:v>
                </c:pt>
                <c:pt idx="1">
                  <c:v>0.0</c:v>
                </c:pt>
                <c:pt idx="2">
                  <c:v>9.0</c:v>
                </c:pt>
                <c:pt idx="3">
                  <c:v>0.0</c:v>
                </c:pt>
                <c:pt idx="4">
                  <c:v>42.7</c:v>
                </c:pt>
                <c:pt idx="5">
                  <c:v>31.2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2020 </a:t>
            </a:r>
          </a:p>
        </c:rich>
      </c:tx>
      <c:layout>
        <c:manualLayout>
          <c:xMode val="edge"/>
          <c:yMode val="edge"/>
          <c:x val="0.691113218177571"/>
          <c:y val="0.201581027667984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'Country Energy Mixes'!$A$3:$A$8</c:f>
              <c:strCache>
                <c:ptCount val="6"/>
                <c:pt idx="0">
                  <c:v>Hydropower</c:v>
                </c:pt>
                <c:pt idx="1">
                  <c:v>Geothermal</c:v>
                </c:pt>
                <c:pt idx="2">
                  <c:v>Solar</c:v>
                </c:pt>
                <c:pt idx="3">
                  <c:v>Ocean</c:v>
                </c:pt>
                <c:pt idx="4">
                  <c:v>Wind</c:v>
                </c:pt>
                <c:pt idx="5">
                  <c:v>Biomass</c:v>
                </c:pt>
              </c:strCache>
            </c:strRef>
          </c:cat>
          <c:val>
            <c:numRef>
              <c:f>'Country Energy Mixes'!$E$3:$E$8</c:f>
              <c:numCache>
                <c:formatCode>General</c:formatCode>
                <c:ptCount val="6"/>
                <c:pt idx="0">
                  <c:v>9.2</c:v>
                </c:pt>
                <c:pt idx="1">
                  <c:v>0.8</c:v>
                </c:pt>
                <c:pt idx="2">
                  <c:v>19.1</c:v>
                </c:pt>
                <c:pt idx="3">
                  <c:v>0.0</c:v>
                </c:pt>
                <c:pt idx="4">
                  <c:v>48.1</c:v>
                </c:pt>
                <c:pt idx="5">
                  <c:v>22.8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75</xdr:row>
      <xdr:rowOff>63500</xdr:rowOff>
    </xdr:from>
    <xdr:to>
      <xdr:col>5</xdr:col>
      <xdr:colOff>25400</xdr:colOff>
      <xdr:row>95</xdr:row>
      <xdr:rowOff>116115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96</xdr:row>
      <xdr:rowOff>76200</xdr:rowOff>
    </xdr:from>
    <xdr:to>
      <xdr:col>5</xdr:col>
      <xdr:colOff>14288</xdr:colOff>
      <xdr:row>117</xdr:row>
      <xdr:rowOff>40054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72</xdr:row>
      <xdr:rowOff>63500</xdr:rowOff>
    </xdr:from>
    <xdr:to>
      <xdr:col>5</xdr:col>
      <xdr:colOff>25400</xdr:colOff>
      <xdr:row>92</xdr:row>
      <xdr:rowOff>116115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93</xdr:row>
      <xdr:rowOff>76200</xdr:rowOff>
    </xdr:from>
    <xdr:to>
      <xdr:col>5</xdr:col>
      <xdr:colOff>14288</xdr:colOff>
      <xdr:row>114</xdr:row>
      <xdr:rowOff>40054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11</xdr:row>
      <xdr:rowOff>76200</xdr:rowOff>
    </xdr:from>
    <xdr:to>
      <xdr:col>9</xdr:col>
      <xdr:colOff>317500</xdr:colOff>
      <xdr:row>29</xdr:row>
      <xdr:rowOff>88900</xdr:rowOff>
    </xdr:to>
    <xdr:grpSp>
      <xdr:nvGrpSpPr>
        <xdr:cNvPr id="9" name="Group 8"/>
        <xdr:cNvGrpSpPr/>
      </xdr:nvGrpSpPr>
      <xdr:grpSpPr>
        <a:xfrm>
          <a:off x="850900" y="2057400"/>
          <a:ext cx="6896100" cy="3213100"/>
          <a:chOff x="850900" y="1854200"/>
          <a:chExt cx="6896100" cy="3213100"/>
        </a:xfrm>
      </xdr:grpSpPr>
      <xdr:grpSp>
        <xdr:nvGrpSpPr>
          <xdr:cNvPr id="7" name="Group 6"/>
          <xdr:cNvGrpSpPr/>
        </xdr:nvGrpSpPr>
        <xdr:grpSpPr>
          <a:xfrm>
            <a:off x="857250" y="1854200"/>
            <a:ext cx="6889750" cy="3213100"/>
            <a:chOff x="857250" y="1854200"/>
            <a:chExt cx="6889750" cy="3213100"/>
          </a:xfrm>
        </xdr:grpSpPr>
        <xdr:graphicFrame macro="">
          <xdr:nvGraphicFramePr>
            <xdr:cNvPr id="4" name="Chart 3"/>
            <xdr:cNvGraphicFramePr/>
          </xdr:nvGraphicFramePr>
          <xdr:xfrm>
            <a:off x="857250" y="1854200"/>
            <a:ext cx="3638550" cy="31877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" name="Chart 4"/>
            <xdr:cNvGraphicFramePr/>
          </xdr:nvGraphicFramePr>
          <xdr:xfrm>
            <a:off x="4108450" y="1854200"/>
            <a:ext cx="3638550" cy="32131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xdr:grpSp>
      <xdr:sp macro="" textlink="">
        <xdr:nvSpPr>
          <xdr:cNvPr id="8" name="TextBox 7"/>
          <xdr:cNvSpPr txBox="1"/>
        </xdr:nvSpPr>
        <xdr:spPr>
          <a:xfrm>
            <a:off x="850900" y="2006600"/>
            <a:ext cx="6896100" cy="317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800" b="1"/>
              <a:t>French RE Electricity</a:t>
            </a:r>
            <a:r>
              <a:rPr lang="en-US" sz="1800" b="1" baseline="0"/>
              <a:t> Mix</a:t>
            </a:r>
            <a:endParaRPr lang="en-US" sz="1800" b="1"/>
          </a:p>
        </xdr:txBody>
      </xdr:sp>
    </xdr:grpSp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292100</xdr:colOff>
      <xdr:row>28</xdr:row>
      <xdr:rowOff>12700</xdr:rowOff>
    </xdr:to>
    <xdr:grpSp>
      <xdr:nvGrpSpPr>
        <xdr:cNvPr id="10" name="Group 9"/>
        <xdr:cNvGrpSpPr/>
      </xdr:nvGrpSpPr>
      <xdr:grpSpPr>
        <a:xfrm>
          <a:off x="8255000" y="1803400"/>
          <a:ext cx="6896100" cy="3213100"/>
          <a:chOff x="850900" y="1854200"/>
          <a:chExt cx="6896100" cy="3213100"/>
        </a:xfrm>
      </xdr:grpSpPr>
      <xdr:grpSp>
        <xdr:nvGrpSpPr>
          <xdr:cNvPr id="11" name="Group 10"/>
          <xdr:cNvGrpSpPr/>
        </xdr:nvGrpSpPr>
        <xdr:grpSpPr>
          <a:xfrm>
            <a:off x="857250" y="1854200"/>
            <a:ext cx="6889750" cy="3213100"/>
            <a:chOff x="857250" y="1854200"/>
            <a:chExt cx="6889750" cy="3213100"/>
          </a:xfrm>
        </xdr:grpSpPr>
        <xdr:graphicFrame macro="">
          <xdr:nvGraphicFramePr>
            <xdr:cNvPr id="13" name="Chart 12"/>
            <xdr:cNvGraphicFramePr/>
          </xdr:nvGraphicFramePr>
          <xdr:xfrm>
            <a:off x="857250" y="1854200"/>
            <a:ext cx="3638550" cy="31877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14" name="Chart 13"/>
            <xdr:cNvGraphicFramePr/>
          </xdr:nvGraphicFramePr>
          <xdr:xfrm>
            <a:off x="4108450" y="1854200"/>
            <a:ext cx="3638550" cy="32131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</xdr:grpSp>
      <xdr:sp macro="" textlink="">
        <xdr:nvSpPr>
          <xdr:cNvPr id="12" name="TextBox 11"/>
          <xdr:cNvSpPr txBox="1"/>
        </xdr:nvSpPr>
        <xdr:spPr>
          <a:xfrm>
            <a:off x="850900" y="2006600"/>
            <a:ext cx="6896100" cy="317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800" b="1"/>
              <a:t>German RE Electricity</a:t>
            </a:r>
            <a:r>
              <a:rPr lang="en-US" sz="1800" b="1" baseline="0"/>
              <a:t> Mix</a:t>
            </a:r>
            <a:endParaRPr lang="en-US" sz="18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O252"/>
  <sheetViews>
    <sheetView tabSelected="1" workbookViewId="0">
      <selection activeCell="D17" sqref="D17"/>
    </sheetView>
  </sheetViews>
  <sheetFormatPr baseColWidth="10" defaultColWidth="8.83203125" defaultRowHeight="14" x14ac:dyDescent="0"/>
  <cols>
    <col min="1" max="1" width="3.1640625" customWidth="1"/>
    <col min="2" max="2" width="28.5" bestFit="1" customWidth="1"/>
    <col min="3" max="3" width="14.6640625" customWidth="1"/>
    <col min="4" max="4" width="19.1640625" customWidth="1"/>
    <col min="5" max="5" width="16.33203125" customWidth="1"/>
    <col min="6" max="6" width="19.33203125" style="12" customWidth="1"/>
    <col min="7" max="7" width="13.33203125" customWidth="1"/>
    <col min="8" max="8" width="5.1640625" bestFit="1" customWidth="1"/>
    <col min="9" max="9" width="6" bestFit="1" customWidth="1"/>
    <col min="10" max="10" width="8.33203125" customWidth="1"/>
    <col min="11" max="11" width="15.33203125" customWidth="1"/>
    <col min="12" max="12" width="13.5" customWidth="1"/>
    <col min="13" max="13" width="19.5" customWidth="1"/>
    <col min="14" max="14" width="3.6640625" style="21" customWidth="1"/>
    <col min="15" max="15" width="8" customWidth="1"/>
    <col min="16" max="16" width="14.1640625" customWidth="1"/>
    <col min="17" max="18" width="16.1640625" customWidth="1"/>
    <col min="19" max="19" width="8.5" customWidth="1"/>
    <col min="20" max="20" width="9.1640625" customWidth="1"/>
    <col min="21" max="21" width="10" customWidth="1"/>
    <col min="22" max="22" width="18.5" customWidth="1"/>
    <col min="23" max="23" width="7.6640625" customWidth="1"/>
    <col min="24" max="24" width="7.5" customWidth="1"/>
    <col min="25" max="25" width="14.33203125" customWidth="1"/>
    <col min="27" max="27" width="25.6640625" customWidth="1"/>
    <col min="28" max="28" width="3.5" customWidth="1"/>
    <col min="29" max="29" width="10" bestFit="1" customWidth="1"/>
    <col min="31" max="31" width="9.6640625" customWidth="1"/>
    <col min="32" max="32" width="18.6640625" customWidth="1"/>
    <col min="33" max="34" width="7.33203125" customWidth="1"/>
    <col min="35" max="35" width="19.33203125" customWidth="1"/>
    <col min="36" max="36" width="9.83203125" customWidth="1"/>
    <col min="37" max="37" width="18.5" customWidth="1"/>
    <col min="38" max="38" width="16.33203125" customWidth="1"/>
    <col min="39" max="39" width="13.6640625" customWidth="1"/>
    <col min="40" max="40" width="11.5" customWidth="1"/>
    <col min="41" max="41" width="4.83203125" customWidth="1"/>
  </cols>
  <sheetData>
    <row r="1" spans="2:41" ht="18">
      <c r="B1" s="150" t="s">
        <v>84</v>
      </c>
      <c r="C1" s="150"/>
      <c r="D1" s="150"/>
      <c r="E1" s="150"/>
      <c r="F1" s="130"/>
      <c r="G1" s="53"/>
      <c r="J1" s="53" t="s">
        <v>85</v>
      </c>
      <c r="K1" s="53"/>
      <c r="L1" s="53"/>
      <c r="M1" s="53"/>
    </row>
    <row r="2" spans="2:41" ht="15" thickBot="1">
      <c r="B2" s="151" t="s">
        <v>91</v>
      </c>
      <c r="C2" s="151"/>
      <c r="D2" s="151"/>
      <c r="E2" s="151"/>
      <c r="F2" s="131"/>
      <c r="G2" s="54"/>
      <c r="J2" s="1"/>
      <c r="AJ2" s="11"/>
    </row>
    <row r="3" spans="2:41" ht="15.75" customHeight="1" thickBot="1">
      <c r="B3" s="152" t="s">
        <v>60</v>
      </c>
      <c r="C3" s="152"/>
      <c r="D3" s="152"/>
      <c r="E3" s="152"/>
      <c r="G3" s="22"/>
      <c r="H3" s="22"/>
      <c r="I3" s="22"/>
      <c r="J3" s="159" t="s">
        <v>83</v>
      </c>
      <c r="K3" s="160"/>
      <c r="L3" s="160"/>
      <c r="M3" s="160"/>
      <c r="N3" s="47"/>
      <c r="O3" s="156" t="s">
        <v>61</v>
      </c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8"/>
      <c r="AC3" s="153" t="s">
        <v>62</v>
      </c>
      <c r="AD3" s="154"/>
      <c r="AE3" s="154"/>
      <c r="AF3" s="154"/>
      <c r="AG3" s="154"/>
      <c r="AH3" s="154"/>
      <c r="AI3" s="154"/>
      <c r="AJ3" s="154"/>
      <c r="AK3" s="155"/>
      <c r="AM3" s="147" t="s">
        <v>78</v>
      </c>
      <c r="AN3" s="148"/>
      <c r="AO3" s="149"/>
    </row>
    <row r="4" spans="2:41" ht="15" thickBot="1">
      <c r="E4" s="5"/>
      <c r="F4" s="18"/>
      <c r="G4" t="s">
        <v>28</v>
      </c>
      <c r="H4" t="s">
        <v>18</v>
      </c>
      <c r="I4" t="s">
        <v>5</v>
      </c>
      <c r="J4" s="25" t="s">
        <v>23</v>
      </c>
      <c r="K4" s="23" t="s">
        <v>22</v>
      </c>
      <c r="L4" s="23" t="s">
        <v>73</v>
      </c>
      <c r="M4" s="23" t="s">
        <v>74</v>
      </c>
      <c r="O4" s="43" t="s">
        <v>43</v>
      </c>
      <c r="P4" s="43" t="s">
        <v>21</v>
      </c>
      <c r="Q4" s="43" t="s">
        <v>44</v>
      </c>
      <c r="R4" s="44" t="s">
        <v>71</v>
      </c>
      <c r="S4" s="29" t="s">
        <v>68</v>
      </c>
      <c r="T4" s="30" t="s">
        <v>27</v>
      </c>
      <c r="U4" s="30" t="s">
        <v>29</v>
      </c>
      <c r="V4" s="30" t="s">
        <v>26</v>
      </c>
      <c r="W4" s="30" t="s">
        <v>69</v>
      </c>
      <c r="X4" s="30" t="s">
        <v>70</v>
      </c>
      <c r="Y4" s="101" t="s">
        <v>100</v>
      </c>
      <c r="Z4" s="30" t="s">
        <v>76</v>
      </c>
      <c r="AA4" s="103" t="s">
        <v>81</v>
      </c>
      <c r="AB4" s="48"/>
      <c r="AC4" s="39" t="s">
        <v>68</v>
      </c>
      <c r="AD4" s="39" t="s">
        <v>27</v>
      </c>
      <c r="AE4" s="39" t="s">
        <v>29</v>
      </c>
      <c r="AF4" s="39" t="s">
        <v>26</v>
      </c>
      <c r="AG4" s="39" t="s">
        <v>69</v>
      </c>
      <c r="AH4" s="39" t="s">
        <v>70</v>
      </c>
      <c r="AI4" s="105" t="s">
        <v>72</v>
      </c>
      <c r="AJ4" s="39" t="s">
        <v>76</v>
      </c>
      <c r="AK4" s="107" t="s">
        <v>89</v>
      </c>
      <c r="AM4" s="125" t="s">
        <v>79</v>
      </c>
      <c r="AN4" s="126" t="s">
        <v>80</v>
      </c>
      <c r="AO4" s="127" t="s">
        <v>18</v>
      </c>
    </row>
    <row r="5" spans="2:41" ht="15" thickBot="1">
      <c r="B5" s="55" t="s">
        <v>1</v>
      </c>
      <c r="C5" s="56">
        <f>42000000/$C$19</f>
        <v>1527828.3012004367</v>
      </c>
      <c r="D5" s="5"/>
      <c r="E5" s="4"/>
      <c r="F5" s="132" t="s">
        <v>88</v>
      </c>
      <c r="G5" s="1">
        <f>SUM(S5:S16)</f>
        <v>-177563.14193558009</v>
      </c>
      <c r="H5">
        <v>2015</v>
      </c>
      <c r="I5">
        <v>1</v>
      </c>
      <c r="J5" s="26">
        <f>C23*$C$38*$D$38</f>
        <v>5154.1559999999999</v>
      </c>
      <c r="K5" s="24">
        <f t="shared" ref="K5:K16" si="0">$C$5*$C$7/12</f>
        <v>1909.7853765005457</v>
      </c>
      <c r="L5" s="24">
        <f t="shared" ref="L5:L16" si="1">($C$5*0.15)/12</f>
        <v>19097.853765005457</v>
      </c>
      <c r="M5" s="24">
        <v>0</v>
      </c>
      <c r="N5" s="48"/>
      <c r="O5" s="32">
        <f t="shared" ref="O5:O68" si="2">-PMT($C$13/12,$C$14,$C$12,0,0)</f>
        <v>10082.99055914864</v>
      </c>
      <c r="P5" s="32">
        <f>($C$13/12)*$C$12*C11</f>
        <v>6365.9512550018189</v>
      </c>
      <c r="Q5" s="32">
        <f>O5-P5</f>
        <v>3717.0393041468215</v>
      </c>
      <c r="R5" s="45">
        <f>$C$12*C11-Q5</f>
        <v>1524111.2618962899</v>
      </c>
      <c r="S5" s="31">
        <f t="shared" ref="S5:S68" si="3">J5-K5-L5-M5-P5</f>
        <v>-22219.434396507822</v>
      </c>
      <c r="T5" s="32">
        <f t="shared" ref="T5:T36" si="4">S5*$C$60</f>
        <v>0</v>
      </c>
      <c r="U5" s="32">
        <f t="shared" ref="U5:U68" si="5">J5-K5-L5-M5-T5-O5</f>
        <v>-25936.473700654642</v>
      </c>
      <c r="V5" s="32">
        <f t="shared" ref="V5:V36" si="6">$C$9/120</f>
        <v>2728.2648235722081</v>
      </c>
      <c r="W5" s="32">
        <f t="shared" ref="W5:W68" si="7">U5-V5+L5+M5</f>
        <v>-9566.8847592213933</v>
      </c>
      <c r="X5" s="32">
        <f t="shared" ref="X5:X16" si="8">W5/(1+$C$18)</f>
        <v>-9111.3188183060884</v>
      </c>
      <c r="Y5" s="102">
        <f>-C5+C5*C11+X5</f>
        <v>-9111.3188183060884</v>
      </c>
      <c r="Z5" s="32">
        <f>W5</f>
        <v>-9566.8847592213933</v>
      </c>
      <c r="AA5" s="45">
        <f>W5-C5+C5*C11</f>
        <v>-9566.8847592214588</v>
      </c>
      <c r="AB5" s="1"/>
      <c r="AC5" s="40">
        <f t="shared" ref="AC5:AC68" si="9">J5-K5-L5-M5</f>
        <v>-15853.483141506003</v>
      </c>
      <c r="AD5" s="40">
        <f t="shared" ref="AD5:AD36" si="10">AC5*$C$60</f>
        <v>0</v>
      </c>
      <c r="AE5" s="40">
        <f t="shared" ref="AE5:AE68" si="11">J5-K5-L5-M5-AD5</f>
        <v>-15853.483141506003</v>
      </c>
      <c r="AF5" s="40">
        <f t="shared" ref="AF5:AF68" si="12">V5</f>
        <v>2728.2648235722081</v>
      </c>
      <c r="AG5" s="40">
        <f t="shared" ref="AG5:AG68" si="13">AE5-AF5+L5+M5</f>
        <v>516.10579992724524</v>
      </c>
      <c r="AH5" s="40">
        <f t="shared" ref="AH5:AH16" si="14">AG5/(1+$C$18)</f>
        <v>491.52933326404309</v>
      </c>
      <c r="AI5" s="106">
        <f>-C5+AH5</f>
        <v>-1527336.7718671726</v>
      </c>
      <c r="AJ5" s="40">
        <f>AG5</f>
        <v>516.10579992724524</v>
      </c>
      <c r="AK5" s="108">
        <f>AG5-C5</f>
        <v>-1527312.1954005095</v>
      </c>
      <c r="AL5" s="49" t="s">
        <v>1</v>
      </c>
      <c r="AM5" s="122">
        <f>-C5</f>
        <v>-1527828.3012004367</v>
      </c>
      <c r="AN5" s="123">
        <f>-C5+C5*C11</f>
        <v>0</v>
      </c>
      <c r="AO5" s="124" t="s">
        <v>75</v>
      </c>
    </row>
    <row r="6" spans="2:41">
      <c r="B6" s="57" t="s">
        <v>2</v>
      </c>
      <c r="C6" s="58">
        <f>12*20</f>
        <v>240</v>
      </c>
      <c r="D6" s="4"/>
      <c r="E6" s="6"/>
      <c r="F6" s="17" t="s">
        <v>31</v>
      </c>
      <c r="G6">
        <v>1</v>
      </c>
      <c r="I6">
        <v>2</v>
      </c>
      <c r="J6" s="26">
        <f t="shared" ref="J6:J16" si="15">C24*$C$38*$D$38</f>
        <v>7887.8520000000008</v>
      </c>
      <c r="K6" s="24">
        <f t="shared" si="0"/>
        <v>1909.7853765005457</v>
      </c>
      <c r="L6" s="24">
        <f t="shared" si="1"/>
        <v>19097.853765005457</v>
      </c>
      <c r="M6" s="24">
        <v>0</v>
      </c>
      <c r="N6" s="48"/>
      <c r="O6" s="32">
        <f t="shared" si="2"/>
        <v>10082.99055914864</v>
      </c>
      <c r="P6" s="32">
        <f t="shared" ref="P6:P69" si="16">($C$13/12)*R5</f>
        <v>6350.4635912345411</v>
      </c>
      <c r="Q6" s="32">
        <f t="shared" ref="Q6:Q69" si="17">O6-P6</f>
        <v>3732.5269679140993</v>
      </c>
      <c r="R6" s="45">
        <f>R5-Q6</f>
        <v>1520378.7349283758</v>
      </c>
      <c r="S6" s="31">
        <f t="shared" si="3"/>
        <v>-19470.250732740544</v>
      </c>
      <c r="T6" s="32">
        <f t="shared" si="4"/>
        <v>0</v>
      </c>
      <c r="U6" s="32">
        <f t="shared" si="5"/>
        <v>-23202.777700654642</v>
      </c>
      <c r="V6" s="32">
        <f t="shared" si="6"/>
        <v>2728.2648235722081</v>
      </c>
      <c r="W6" s="32">
        <f t="shared" si="7"/>
        <v>-6833.1887592213934</v>
      </c>
      <c r="X6" s="32">
        <f t="shared" si="8"/>
        <v>-6507.7988183060888</v>
      </c>
      <c r="Y6" s="102">
        <f>Y5+X6</f>
        <v>-15619.117636612176</v>
      </c>
      <c r="Z6" s="32">
        <f>Z5+W6</f>
        <v>-16400.073518442787</v>
      </c>
      <c r="AA6" s="45">
        <f>AA5+W6</f>
        <v>-16400.073518442852</v>
      </c>
      <c r="AB6" s="1"/>
      <c r="AC6" s="40">
        <f t="shared" si="9"/>
        <v>-13119.787141506002</v>
      </c>
      <c r="AD6" s="40">
        <f t="shared" si="10"/>
        <v>0</v>
      </c>
      <c r="AE6" s="40">
        <f t="shared" si="11"/>
        <v>-13119.787141506002</v>
      </c>
      <c r="AF6" s="40">
        <f t="shared" si="12"/>
        <v>2728.2648235722081</v>
      </c>
      <c r="AG6" s="40">
        <f t="shared" si="13"/>
        <v>3249.801799927247</v>
      </c>
      <c r="AH6" s="40">
        <f t="shared" si="14"/>
        <v>3095.0493332640444</v>
      </c>
      <c r="AI6" s="106">
        <f>AI5+AH6</f>
        <v>-1524241.7225339084</v>
      </c>
      <c r="AJ6" s="40">
        <f t="shared" ref="AJ6:AJ69" si="18">AJ5+AG6</f>
        <v>3765.9075998544922</v>
      </c>
      <c r="AK6" s="108">
        <f t="shared" ref="AK6:AK69" si="19">AK5+AG6</f>
        <v>-1524062.3936005824</v>
      </c>
      <c r="AM6" s="119">
        <f>SUM(AG5:AG16)</f>
        <v>94226.823599126947</v>
      </c>
      <c r="AN6" s="120">
        <f>SUM(W5:W16)</f>
        <v>-26769.063110656716</v>
      </c>
      <c r="AO6" s="121">
        <v>1</v>
      </c>
    </row>
    <row r="7" spans="2:41">
      <c r="B7" s="57" t="s">
        <v>3</v>
      </c>
      <c r="C7" s="59">
        <v>1.4999999999999999E-2</v>
      </c>
      <c r="D7" s="6"/>
      <c r="F7" s="12" t="s">
        <v>30</v>
      </c>
      <c r="G7" s="128" t="s">
        <v>75</v>
      </c>
      <c r="I7">
        <v>3</v>
      </c>
      <c r="J7" s="26">
        <f t="shared" si="15"/>
        <v>14138.334000000001</v>
      </c>
      <c r="K7" s="24">
        <f t="shared" si="0"/>
        <v>1909.7853765005457</v>
      </c>
      <c r="L7" s="24">
        <f t="shared" si="1"/>
        <v>19097.853765005457</v>
      </c>
      <c r="M7" s="24">
        <v>0</v>
      </c>
      <c r="N7" s="48"/>
      <c r="O7" s="32">
        <f t="shared" si="2"/>
        <v>10082.99055914864</v>
      </c>
      <c r="P7" s="32">
        <f t="shared" si="16"/>
        <v>6334.9113955348994</v>
      </c>
      <c r="Q7" s="32">
        <f t="shared" si="17"/>
        <v>3748.079163613741</v>
      </c>
      <c r="R7" s="45">
        <f t="shared" ref="R7:R70" si="20">R6-Q7</f>
        <v>1516630.6557647621</v>
      </c>
      <c r="S7" s="31">
        <f t="shared" si="3"/>
        <v>-13204.216537040902</v>
      </c>
      <c r="T7" s="32">
        <f t="shared" si="4"/>
        <v>0</v>
      </c>
      <c r="U7" s="32">
        <f t="shared" si="5"/>
        <v>-16952.295700654642</v>
      </c>
      <c r="V7" s="32">
        <f t="shared" si="6"/>
        <v>2728.2648235722081</v>
      </c>
      <c r="W7" s="32">
        <f t="shared" si="7"/>
        <v>-582.70675922139344</v>
      </c>
      <c r="X7" s="32">
        <f t="shared" si="8"/>
        <v>-554.95881830608892</v>
      </c>
      <c r="Y7" s="102">
        <f t="shared" ref="Y7:Y69" si="21">Y6+X7</f>
        <v>-16174.076454918266</v>
      </c>
      <c r="Z7" s="32">
        <f t="shared" ref="Z7:Z70" si="22">Z6+W7</f>
        <v>-16982.78027766418</v>
      </c>
      <c r="AA7" s="45">
        <f t="shared" ref="AA7:AA70" si="23">AA6+W7</f>
        <v>-16982.780277664246</v>
      </c>
      <c r="AB7" s="1"/>
      <c r="AC7" s="40">
        <f t="shared" si="9"/>
        <v>-6869.3051415060017</v>
      </c>
      <c r="AD7" s="40">
        <f t="shared" si="10"/>
        <v>0</v>
      </c>
      <c r="AE7" s="40">
        <f t="shared" si="11"/>
        <v>-6869.3051415060017</v>
      </c>
      <c r="AF7" s="40">
        <f t="shared" si="12"/>
        <v>2728.2648235722081</v>
      </c>
      <c r="AG7" s="40">
        <f t="shared" si="13"/>
        <v>9500.2837999272469</v>
      </c>
      <c r="AH7" s="40">
        <f t="shared" si="14"/>
        <v>9047.8893332640437</v>
      </c>
      <c r="AI7" s="106">
        <f t="shared" ref="AI7:AI70" si="24">AI6+AH7</f>
        <v>-1515193.8332006445</v>
      </c>
      <c r="AJ7" s="40">
        <f t="shared" si="18"/>
        <v>13266.191399781739</v>
      </c>
      <c r="AK7" s="108">
        <f t="shared" si="19"/>
        <v>-1514562.1098006552</v>
      </c>
      <c r="AM7" s="36">
        <f>SUM(AG17:AG28)</f>
        <v>95008.158438386759</v>
      </c>
      <c r="AN7" s="35">
        <f>SUM(W17:W28)</f>
        <v>-25987.728271396918</v>
      </c>
      <c r="AO7" s="95">
        <v>2</v>
      </c>
    </row>
    <row r="8" spans="2:41">
      <c r="B8" s="57" t="s">
        <v>4</v>
      </c>
      <c r="C8" s="58">
        <v>1.03</v>
      </c>
      <c r="E8" s="5"/>
      <c r="F8" s="18" t="s">
        <v>39</v>
      </c>
      <c r="G8" s="1">
        <v>0</v>
      </c>
      <c r="I8">
        <v>4</v>
      </c>
      <c r="J8" s="26">
        <f t="shared" si="15"/>
        <v>16231.320000000002</v>
      </c>
      <c r="K8" s="24">
        <f t="shared" si="0"/>
        <v>1909.7853765005457</v>
      </c>
      <c r="L8" s="24">
        <f t="shared" si="1"/>
        <v>19097.853765005457</v>
      </c>
      <c r="M8" s="24">
        <v>0</v>
      </c>
      <c r="N8" s="48"/>
      <c r="O8" s="32">
        <f t="shared" si="2"/>
        <v>10082.99055914864</v>
      </c>
      <c r="P8" s="32">
        <f t="shared" si="16"/>
        <v>6319.2943990198419</v>
      </c>
      <c r="Q8" s="32">
        <f t="shared" si="17"/>
        <v>3763.6961601287985</v>
      </c>
      <c r="R8" s="45">
        <f t="shared" si="20"/>
        <v>1512866.9596046333</v>
      </c>
      <c r="S8" s="31">
        <f t="shared" si="3"/>
        <v>-11095.613540525843</v>
      </c>
      <c r="T8" s="32">
        <f t="shared" si="4"/>
        <v>0</v>
      </c>
      <c r="U8" s="32">
        <f t="shared" si="5"/>
        <v>-14859.309700654641</v>
      </c>
      <c r="V8" s="32">
        <f t="shared" si="6"/>
        <v>2728.2648235722081</v>
      </c>
      <c r="W8" s="32">
        <f t="shared" si="7"/>
        <v>1510.2792407786073</v>
      </c>
      <c r="X8" s="32">
        <f t="shared" si="8"/>
        <v>1438.3611816939117</v>
      </c>
      <c r="Y8" s="102">
        <f t="shared" si="21"/>
        <v>-14735.715273224354</v>
      </c>
      <c r="Z8" s="32">
        <f t="shared" si="22"/>
        <v>-15472.501036885573</v>
      </c>
      <c r="AA8" s="45">
        <f t="shared" si="23"/>
        <v>-15472.501036885638</v>
      </c>
      <c r="AB8" s="1"/>
      <c r="AC8" s="40">
        <f t="shared" si="9"/>
        <v>-4776.319141506001</v>
      </c>
      <c r="AD8" s="40">
        <f t="shared" si="10"/>
        <v>0</v>
      </c>
      <c r="AE8" s="40">
        <f t="shared" si="11"/>
        <v>-4776.319141506001</v>
      </c>
      <c r="AF8" s="40">
        <f t="shared" si="12"/>
        <v>2728.2648235722081</v>
      </c>
      <c r="AG8" s="40">
        <f t="shared" si="13"/>
        <v>11593.269799927248</v>
      </c>
      <c r="AH8" s="40">
        <f t="shared" si="14"/>
        <v>11041.209333264045</v>
      </c>
      <c r="AI8" s="106">
        <f t="shared" si="24"/>
        <v>-1504152.6238673804</v>
      </c>
      <c r="AJ8" s="40">
        <f t="shared" si="18"/>
        <v>24859.461199708989</v>
      </c>
      <c r="AK8" s="108">
        <f t="shared" si="19"/>
        <v>-1502968.8400007279</v>
      </c>
      <c r="AM8" s="36">
        <f>SUM(AG29:AG40)</f>
        <v>95783.262399813408</v>
      </c>
      <c r="AN8" s="35">
        <f>SUM(W29:W40)</f>
        <v>-25212.624309970273</v>
      </c>
      <c r="AO8" s="95">
        <v>3</v>
      </c>
    </row>
    <row r="9" spans="2:41" ht="15" thickBot="1">
      <c r="B9" s="60" t="s">
        <v>24</v>
      </c>
      <c r="C9" s="61">
        <f>9000000/$C$19</f>
        <v>327391.77882866497</v>
      </c>
      <c r="D9" s="5"/>
      <c r="E9" s="7"/>
      <c r="F9" s="16" t="s">
        <v>90</v>
      </c>
      <c r="G9" s="129">
        <f>$C$60</f>
        <v>0</v>
      </c>
      <c r="I9">
        <v>5</v>
      </c>
      <c r="J9" s="26">
        <f t="shared" si="15"/>
        <v>16800.84</v>
      </c>
      <c r="K9" s="24">
        <f t="shared" si="0"/>
        <v>1909.7853765005457</v>
      </c>
      <c r="L9" s="24">
        <f t="shared" si="1"/>
        <v>19097.853765005457</v>
      </c>
      <c r="M9" s="24">
        <v>0</v>
      </c>
      <c r="N9" s="48"/>
      <c r="O9" s="32">
        <f t="shared" si="2"/>
        <v>10082.99055914864</v>
      </c>
      <c r="P9" s="32">
        <f t="shared" si="16"/>
        <v>6303.6123316859721</v>
      </c>
      <c r="Q9" s="32">
        <f t="shared" si="17"/>
        <v>3779.3782274626683</v>
      </c>
      <c r="R9" s="45">
        <f t="shared" si="20"/>
        <v>1509087.5813771705</v>
      </c>
      <c r="S9" s="31">
        <f t="shared" si="3"/>
        <v>-10510.411473191974</v>
      </c>
      <c r="T9" s="32">
        <f t="shared" si="4"/>
        <v>0</v>
      </c>
      <c r="U9" s="32">
        <f t="shared" si="5"/>
        <v>-14289.789700654643</v>
      </c>
      <c r="V9" s="32">
        <f t="shared" si="6"/>
        <v>2728.2648235722081</v>
      </c>
      <c r="W9" s="32">
        <f t="shared" si="7"/>
        <v>2079.7992407786078</v>
      </c>
      <c r="X9" s="32">
        <f t="shared" si="8"/>
        <v>1980.761181693912</v>
      </c>
      <c r="Y9" s="102">
        <f t="shared" si="21"/>
        <v>-12754.954091530442</v>
      </c>
      <c r="Z9" s="32">
        <f t="shared" si="22"/>
        <v>-13392.701796106965</v>
      </c>
      <c r="AA9" s="45">
        <f t="shared" si="23"/>
        <v>-13392.701796107031</v>
      </c>
      <c r="AB9" s="1"/>
      <c r="AC9" s="40">
        <f t="shared" si="9"/>
        <v>-4206.7991415060023</v>
      </c>
      <c r="AD9" s="40">
        <f t="shared" si="10"/>
        <v>0</v>
      </c>
      <c r="AE9" s="40">
        <f t="shared" si="11"/>
        <v>-4206.7991415060023</v>
      </c>
      <c r="AF9" s="40">
        <f t="shared" si="12"/>
        <v>2728.2648235722081</v>
      </c>
      <c r="AG9" s="40">
        <f t="shared" si="13"/>
        <v>12162.789799927246</v>
      </c>
      <c r="AH9" s="40">
        <f t="shared" si="14"/>
        <v>11583.609333264043</v>
      </c>
      <c r="AI9" s="106">
        <f t="shared" si="24"/>
        <v>-1492569.0145341165</v>
      </c>
      <c r="AJ9" s="40">
        <f t="shared" si="18"/>
        <v>37022.250999636235</v>
      </c>
      <c r="AK9" s="108">
        <f t="shared" si="19"/>
        <v>-1490806.0502008006</v>
      </c>
      <c r="AM9" s="36">
        <f>SUM(AG41:AG52)</f>
        <v>96551.657782026377</v>
      </c>
      <c r="AN9" s="35">
        <f>SUM(W41:W52)</f>
        <v>-24444.228927757315</v>
      </c>
      <c r="AO9" s="95">
        <v>4</v>
      </c>
    </row>
    <row r="10" spans="2:41" ht="15" thickBot="1">
      <c r="D10" s="7"/>
      <c r="G10" s="1"/>
      <c r="I10">
        <v>6</v>
      </c>
      <c r="J10" s="26">
        <f t="shared" si="15"/>
        <v>17512.740000000002</v>
      </c>
      <c r="K10" s="24">
        <f t="shared" si="0"/>
        <v>1909.7853765005457</v>
      </c>
      <c r="L10" s="24">
        <f t="shared" si="1"/>
        <v>19097.853765005457</v>
      </c>
      <c r="M10" s="24">
        <v>0</v>
      </c>
      <c r="N10" s="48"/>
      <c r="O10" s="32">
        <f t="shared" si="2"/>
        <v>10082.99055914864</v>
      </c>
      <c r="P10" s="32">
        <f t="shared" si="16"/>
        <v>6287.8649224048768</v>
      </c>
      <c r="Q10" s="32">
        <f t="shared" si="17"/>
        <v>3795.1256367437636</v>
      </c>
      <c r="R10" s="45">
        <f t="shared" si="20"/>
        <v>1505292.4557404267</v>
      </c>
      <c r="S10" s="31">
        <f t="shared" si="3"/>
        <v>-9782.7640639108777</v>
      </c>
      <c r="T10" s="32">
        <f t="shared" si="4"/>
        <v>0</v>
      </c>
      <c r="U10" s="32">
        <f t="shared" si="5"/>
        <v>-13577.889700654641</v>
      </c>
      <c r="V10" s="32">
        <f t="shared" si="6"/>
        <v>2728.2648235722081</v>
      </c>
      <c r="W10" s="32">
        <f t="shared" si="7"/>
        <v>2791.6992407786074</v>
      </c>
      <c r="X10" s="32">
        <f t="shared" si="8"/>
        <v>2658.7611816939116</v>
      </c>
      <c r="Y10" s="102">
        <f t="shared" si="21"/>
        <v>-10096.192909836531</v>
      </c>
      <c r="Z10" s="32">
        <f t="shared" si="22"/>
        <v>-10601.002555328358</v>
      </c>
      <c r="AA10" s="45">
        <f t="shared" si="23"/>
        <v>-10601.002555328423</v>
      </c>
      <c r="AB10" s="1"/>
      <c r="AC10" s="40">
        <f t="shared" si="9"/>
        <v>-3494.8991415060009</v>
      </c>
      <c r="AD10" s="40">
        <f t="shared" si="10"/>
        <v>0</v>
      </c>
      <c r="AE10" s="40">
        <f t="shared" si="11"/>
        <v>-3494.8991415060009</v>
      </c>
      <c r="AF10" s="40">
        <f t="shared" si="12"/>
        <v>2728.2648235722081</v>
      </c>
      <c r="AG10" s="40">
        <f t="shared" si="13"/>
        <v>12874.689799927248</v>
      </c>
      <c r="AH10" s="40">
        <f t="shared" si="14"/>
        <v>12261.609333264045</v>
      </c>
      <c r="AI10" s="106">
        <f t="shared" si="24"/>
        <v>-1480307.4052008525</v>
      </c>
      <c r="AJ10" s="40">
        <f t="shared" si="18"/>
        <v>49896.940799563483</v>
      </c>
      <c r="AK10" s="108">
        <f t="shared" si="19"/>
        <v>-1477931.3604008735</v>
      </c>
      <c r="AM10" s="36">
        <f>SUM(AG53:AG64)</f>
        <v>97312.849703008309</v>
      </c>
      <c r="AN10" s="35">
        <f>SUM(W53:W64)</f>
        <v>-23683.037006775383</v>
      </c>
      <c r="AO10" s="95">
        <v>5</v>
      </c>
    </row>
    <row r="11" spans="2:41" ht="15" thickBot="1">
      <c r="B11" s="115" t="s">
        <v>47</v>
      </c>
      <c r="C11" s="114">
        <v>1</v>
      </c>
      <c r="G11" s="1"/>
      <c r="I11">
        <v>7</v>
      </c>
      <c r="J11" s="26">
        <f t="shared" si="15"/>
        <v>18651.780000000002</v>
      </c>
      <c r="K11" s="24">
        <f t="shared" si="0"/>
        <v>1909.7853765005457</v>
      </c>
      <c r="L11" s="24">
        <f t="shared" si="1"/>
        <v>19097.853765005457</v>
      </c>
      <c r="M11" s="24">
        <v>0</v>
      </c>
      <c r="N11" s="48"/>
      <c r="O11" s="32">
        <f t="shared" si="2"/>
        <v>10082.99055914864</v>
      </c>
      <c r="P11" s="32">
        <f t="shared" si="16"/>
        <v>6272.0518989184447</v>
      </c>
      <c r="Q11" s="32">
        <f t="shared" si="17"/>
        <v>3810.9386602301956</v>
      </c>
      <c r="R11" s="45">
        <f t="shared" si="20"/>
        <v>1501481.5170801964</v>
      </c>
      <c r="S11" s="31">
        <f t="shared" si="3"/>
        <v>-8627.9110404244457</v>
      </c>
      <c r="T11" s="32">
        <f t="shared" si="4"/>
        <v>0</v>
      </c>
      <c r="U11" s="32">
        <f t="shared" si="5"/>
        <v>-12438.84970065464</v>
      </c>
      <c r="V11" s="32">
        <f t="shared" si="6"/>
        <v>2728.2648235722081</v>
      </c>
      <c r="W11" s="32">
        <f t="shared" si="7"/>
        <v>3930.7392407786083</v>
      </c>
      <c r="X11" s="32">
        <f t="shared" si="8"/>
        <v>3743.5611816939127</v>
      </c>
      <c r="Y11" s="102">
        <f t="shared" si="21"/>
        <v>-6352.6317281426182</v>
      </c>
      <c r="Z11" s="32">
        <f t="shared" si="22"/>
        <v>-6670.2633145497493</v>
      </c>
      <c r="AA11" s="45">
        <f t="shared" si="23"/>
        <v>-6670.2633145498148</v>
      </c>
      <c r="AB11" s="1"/>
      <c r="AC11" s="40">
        <f t="shared" si="9"/>
        <v>-2355.859141506</v>
      </c>
      <c r="AD11" s="40">
        <f t="shared" si="10"/>
        <v>0</v>
      </c>
      <c r="AE11" s="40">
        <f t="shared" si="11"/>
        <v>-2355.859141506</v>
      </c>
      <c r="AF11" s="40">
        <f t="shared" si="12"/>
        <v>2728.2648235722081</v>
      </c>
      <c r="AG11" s="40">
        <f t="shared" si="13"/>
        <v>14013.729799927249</v>
      </c>
      <c r="AH11" s="40">
        <f t="shared" si="14"/>
        <v>13346.409333264046</v>
      </c>
      <c r="AI11" s="106">
        <f t="shared" si="24"/>
        <v>-1466960.9958675886</v>
      </c>
      <c r="AJ11" s="40">
        <f t="shared" si="18"/>
        <v>63910.670599490732</v>
      </c>
      <c r="AK11" s="108">
        <f t="shared" si="19"/>
        <v>-1463917.6306009463</v>
      </c>
      <c r="AM11" s="36">
        <f>SUM(AG65:AG76)</f>
        <v>98066.325556759824</v>
      </c>
      <c r="AN11" s="35">
        <f>SUM(W65:W76)</f>
        <v>-22929.561153023842</v>
      </c>
      <c r="AO11" s="95">
        <v>6</v>
      </c>
    </row>
    <row r="12" spans="2:41">
      <c r="B12" s="42" t="s">
        <v>42</v>
      </c>
      <c r="C12" s="88">
        <f>C5*C11</f>
        <v>1527828.3012004367</v>
      </c>
      <c r="G12" s="1"/>
      <c r="I12">
        <v>8</v>
      </c>
      <c r="J12" s="26">
        <f t="shared" si="15"/>
        <v>17085.600000000002</v>
      </c>
      <c r="K12" s="24">
        <f t="shared" si="0"/>
        <v>1909.7853765005457</v>
      </c>
      <c r="L12" s="24">
        <f t="shared" si="1"/>
        <v>19097.853765005457</v>
      </c>
      <c r="M12" s="24">
        <v>0</v>
      </c>
      <c r="N12" s="48"/>
      <c r="O12" s="32">
        <f t="shared" si="2"/>
        <v>10082.99055914864</v>
      </c>
      <c r="P12" s="32">
        <f t="shared" si="16"/>
        <v>6256.1729878341521</v>
      </c>
      <c r="Q12" s="32">
        <f t="shared" si="17"/>
        <v>3826.8175713144883</v>
      </c>
      <c r="R12" s="45">
        <f t="shared" si="20"/>
        <v>1497654.6995088819</v>
      </c>
      <c r="S12" s="31">
        <f t="shared" si="3"/>
        <v>-10178.212129340152</v>
      </c>
      <c r="T12" s="32">
        <f t="shared" si="4"/>
        <v>0</v>
      </c>
      <c r="U12" s="32">
        <f t="shared" si="5"/>
        <v>-14005.029700654641</v>
      </c>
      <c r="V12" s="32">
        <f t="shared" si="6"/>
        <v>2728.2648235722081</v>
      </c>
      <c r="W12" s="32">
        <f t="shared" si="7"/>
        <v>2364.5592407786098</v>
      </c>
      <c r="X12" s="32">
        <f t="shared" si="8"/>
        <v>2251.9611816939141</v>
      </c>
      <c r="Y12" s="102">
        <f>Y11+X12</f>
        <v>-4100.670546448704</v>
      </c>
      <c r="Z12" s="32">
        <f t="shared" si="22"/>
        <v>-4305.7040737711395</v>
      </c>
      <c r="AA12" s="45">
        <f t="shared" si="23"/>
        <v>-4305.704073771205</v>
      </c>
      <c r="AB12" s="1"/>
      <c r="AC12" s="40">
        <f t="shared" si="9"/>
        <v>-3922.0391415060003</v>
      </c>
      <c r="AD12" s="40">
        <f t="shared" si="10"/>
        <v>0</v>
      </c>
      <c r="AE12" s="40">
        <f t="shared" si="11"/>
        <v>-3922.0391415060003</v>
      </c>
      <c r="AF12" s="40">
        <f t="shared" si="12"/>
        <v>2728.2648235722081</v>
      </c>
      <c r="AG12" s="40">
        <f t="shared" si="13"/>
        <v>12447.549799927248</v>
      </c>
      <c r="AH12" s="40">
        <f t="shared" si="14"/>
        <v>11854.809333264046</v>
      </c>
      <c r="AI12" s="106">
        <f t="shared" si="24"/>
        <v>-1455106.1865343244</v>
      </c>
      <c r="AJ12" s="40">
        <f t="shared" si="18"/>
        <v>76358.220399417973</v>
      </c>
      <c r="AK12" s="108">
        <f t="shared" si="19"/>
        <v>-1451470.080801019</v>
      </c>
      <c r="AM12" s="36">
        <f>SUM(AG77:AG88)</f>
        <v>98811.55445338045</v>
      </c>
      <c r="AN12" s="35">
        <f>SUM(W77:W88)</f>
        <v>-22184.332256403242</v>
      </c>
      <c r="AO12" s="95">
        <v>7</v>
      </c>
    </row>
    <row r="13" spans="2:41">
      <c r="B13" s="89" t="s">
        <v>46</v>
      </c>
      <c r="C13" s="90">
        <v>0.05</v>
      </c>
      <c r="G13" s="1"/>
      <c r="I13">
        <v>9</v>
      </c>
      <c r="J13" s="26">
        <f t="shared" si="15"/>
        <v>15234.66</v>
      </c>
      <c r="K13" s="24">
        <f t="shared" si="0"/>
        <v>1909.7853765005457</v>
      </c>
      <c r="L13" s="24">
        <f t="shared" si="1"/>
        <v>19097.853765005457</v>
      </c>
      <c r="M13" s="24">
        <v>0</v>
      </c>
      <c r="N13" s="48"/>
      <c r="O13" s="32">
        <f t="shared" si="2"/>
        <v>10082.99055914864</v>
      </c>
      <c r="P13" s="32">
        <f t="shared" si="16"/>
        <v>6240.2279146203409</v>
      </c>
      <c r="Q13" s="32">
        <f t="shared" si="17"/>
        <v>3842.7626445282995</v>
      </c>
      <c r="R13" s="45">
        <f t="shared" si="20"/>
        <v>1493811.9368643535</v>
      </c>
      <c r="S13" s="31">
        <f t="shared" si="3"/>
        <v>-12013.207056126343</v>
      </c>
      <c r="T13" s="32">
        <f t="shared" si="4"/>
        <v>0</v>
      </c>
      <c r="U13" s="32">
        <f t="shared" si="5"/>
        <v>-15855.969700654643</v>
      </c>
      <c r="V13" s="32">
        <f t="shared" si="6"/>
        <v>2728.2648235722081</v>
      </c>
      <c r="W13" s="32">
        <f t="shared" si="7"/>
        <v>513.61924077860749</v>
      </c>
      <c r="X13" s="32">
        <f t="shared" si="8"/>
        <v>489.16118169391189</v>
      </c>
      <c r="Y13" s="102">
        <f t="shared" si="21"/>
        <v>-3611.5093647547919</v>
      </c>
      <c r="Z13" s="32">
        <f t="shared" si="22"/>
        <v>-3792.084832992532</v>
      </c>
      <c r="AA13" s="45">
        <f t="shared" si="23"/>
        <v>-3792.0848329925975</v>
      </c>
      <c r="AB13" s="1"/>
      <c r="AC13" s="40">
        <f t="shared" si="9"/>
        <v>-5772.9791415060026</v>
      </c>
      <c r="AD13" s="40">
        <f t="shared" si="10"/>
        <v>0</v>
      </c>
      <c r="AE13" s="40">
        <f t="shared" si="11"/>
        <v>-5772.9791415060026</v>
      </c>
      <c r="AF13" s="40">
        <f t="shared" si="12"/>
        <v>2728.2648235722081</v>
      </c>
      <c r="AG13" s="40">
        <f t="shared" si="13"/>
        <v>10596.609799927246</v>
      </c>
      <c r="AH13" s="40">
        <f t="shared" si="14"/>
        <v>10092.009333264043</v>
      </c>
      <c r="AI13" s="106">
        <f t="shared" si="24"/>
        <v>-1445014.1772010603</v>
      </c>
      <c r="AJ13" s="40">
        <f t="shared" si="18"/>
        <v>86954.830199345219</v>
      </c>
      <c r="AK13" s="108">
        <f t="shared" si="19"/>
        <v>-1440873.4710010916</v>
      </c>
      <c r="AM13" s="36">
        <f>SUM(AG89:AG100)</f>
        <v>99547.98664207531</v>
      </c>
      <c r="AN13" s="35">
        <f>SUM(W89:W100)</f>
        <v>-21447.900067708382</v>
      </c>
      <c r="AO13" s="95">
        <v>8</v>
      </c>
    </row>
    <row r="14" spans="2:41" ht="15" thickBot="1">
      <c r="B14" s="91" t="s">
        <v>45</v>
      </c>
      <c r="C14" s="46">
        <v>240</v>
      </c>
      <c r="G14" s="1"/>
      <c r="I14">
        <v>10</v>
      </c>
      <c r="J14" s="26">
        <f t="shared" si="15"/>
        <v>10593.072</v>
      </c>
      <c r="K14" s="24">
        <f t="shared" si="0"/>
        <v>1909.7853765005457</v>
      </c>
      <c r="L14" s="24">
        <f t="shared" si="1"/>
        <v>19097.853765005457</v>
      </c>
      <c r="M14" s="24">
        <v>0</v>
      </c>
      <c r="N14" s="48"/>
      <c r="O14" s="32">
        <f t="shared" si="2"/>
        <v>10082.99055914864</v>
      </c>
      <c r="P14" s="32">
        <f t="shared" si="16"/>
        <v>6224.2164036014728</v>
      </c>
      <c r="Q14" s="32">
        <f t="shared" si="17"/>
        <v>3858.7741555471675</v>
      </c>
      <c r="R14" s="45">
        <f t="shared" si="20"/>
        <v>1489953.1627088063</v>
      </c>
      <c r="S14" s="31">
        <f t="shared" si="3"/>
        <v>-16638.783545107475</v>
      </c>
      <c r="T14" s="32">
        <f t="shared" si="4"/>
        <v>0</v>
      </c>
      <c r="U14" s="32">
        <f t="shared" si="5"/>
        <v>-20497.557700654645</v>
      </c>
      <c r="V14" s="32">
        <f t="shared" si="6"/>
        <v>2728.2648235722081</v>
      </c>
      <c r="W14" s="32">
        <f t="shared" si="7"/>
        <v>-4127.9687592213959</v>
      </c>
      <c r="X14" s="32">
        <f t="shared" si="8"/>
        <v>-3931.398818306091</v>
      </c>
      <c r="Y14" s="102">
        <f t="shared" si="21"/>
        <v>-7542.9081830608829</v>
      </c>
      <c r="Z14" s="32">
        <f t="shared" si="22"/>
        <v>-7920.0535922139279</v>
      </c>
      <c r="AA14" s="45">
        <f t="shared" si="23"/>
        <v>-7920.0535922139934</v>
      </c>
      <c r="AB14" s="1"/>
      <c r="AC14" s="40">
        <f t="shared" si="9"/>
        <v>-10414.567141506002</v>
      </c>
      <c r="AD14" s="40">
        <f t="shared" si="10"/>
        <v>0</v>
      </c>
      <c r="AE14" s="40">
        <f t="shared" si="11"/>
        <v>-10414.567141506002</v>
      </c>
      <c r="AF14" s="40">
        <f t="shared" si="12"/>
        <v>2728.2648235722081</v>
      </c>
      <c r="AG14" s="40">
        <f t="shared" si="13"/>
        <v>5955.0217999272463</v>
      </c>
      <c r="AH14" s="40">
        <f t="shared" si="14"/>
        <v>5671.4493332640441</v>
      </c>
      <c r="AI14" s="106">
        <f t="shared" si="24"/>
        <v>-1439342.7278677963</v>
      </c>
      <c r="AJ14" s="40">
        <f t="shared" si="18"/>
        <v>92909.851999272461</v>
      </c>
      <c r="AK14" s="108">
        <f t="shared" si="19"/>
        <v>-1434918.4492011643</v>
      </c>
      <c r="AM14" s="36">
        <f>SUM(AG101:AG112)</f>
        <v>100275.05291657336</v>
      </c>
      <c r="AN14" s="35">
        <f>SUM(W101:W112)</f>
        <v>-20720.833793210317</v>
      </c>
      <c r="AO14" s="95">
        <v>9</v>
      </c>
    </row>
    <row r="15" spans="2:41">
      <c r="B15" s="52" t="s">
        <v>82</v>
      </c>
      <c r="C15" s="5"/>
      <c r="G15" s="1"/>
      <c r="I15">
        <v>11</v>
      </c>
      <c r="J15" s="26">
        <f t="shared" si="15"/>
        <v>5752.152</v>
      </c>
      <c r="K15" s="24">
        <f t="shared" si="0"/>
        <v>1909.7853765005457</v>
      </c>
      <c r="L15" s="24">
        <f t="shared" si="1"/>
        <v>19097.853765005457</v>
      </c>
      <c r="M15" s="24">
        <v>0</v>
      </c>
      <c r="N15" s="48"/>
      <c r="O15" s="32">
        <f t="shared" si="2"/>
        <v>10082.99055914864</v>
      </c>
      <c r="P15" s="32">
        <f t="shared" si="16"/>
        <v>6208.1381779533594</v>
      </c>
      <c r="Q15" s="32">
        <f t="shared" si="17"/>
        <v>3874.8523811952809</v>
      </c>
      <c r="R15" s="45">
        <f t="shared" si="20"/>
        <v>1486078.3103276112</v>
      </c>
      <c r="S15" s="31">
        <f t="shared" si="3"/>
        <v>-21463.625319459363</v>
      </c>
      <c r="T15" s="32">
        <f t="shared" si="4"/>
        <v>0</v>
      </c>
      <c r="U15" s="32">
        <f t="shared" si="5"/>
        <v>-25338.477700654643</v>
      </c>
      <c r="V15" s="32">
        <f t="shared" si="6"/>
        <v>2728.2648235722081</v>
      </c>
      <c r="W15" s="32">
        <f t="shared" si="7"/>
        <v>-8968.8887592213941</v>
      </c>
      <c r="X15" s="32">
        <f t="shared" si="8"/>
        <v>-8541.7988183060897</v>
      </c>
      <c r="Y15" s="102">
        <f t="shared" si="21"/>
        <v>-16084.707001366973</v>
      </c>
      <c r="Z15" s="32">
        <f t="shared" si="22"/>
        <v>-16888.942351435322</v>
      </c>
      <c r="AA15" s="45">
        <f t="shared" si="23"/>
        <v>-16888.942351435388</v>
      </c>
      <c r="AB15" s="1"/>
      <c r="AC15" s="40">
        <f t="shared" si="9"/>
        <v>-15255.487141506002</v>
      </c>
      <c r="AD15" s="40">
        <f t="shared" si="10"/>
        <v>0</v>
      </c>
      <c r="AE15" s="40">
        <f t="shared" si="11"/>
        <v>-15255.487141506002</v>
      </c>
      <c r="AF15" s="40">
        <f t="shared" si="12"/>
        <v>2728.2648235722081</v>
      </c>
      <c r="AG15" s="40">
        <f t="shared" si="13"/>
        <v>1114.1017999272444</v>
      </c>
      <c r="AH15" s="40">
        <f t="shared" si="14"/>
        <v>1061.0493332640422</v>
      </c>
      <c r="AI15" s="106">
        <f t="shared" si="24"/>
        <v>-1438281.6785345322</v>
      </c>
      <c r="AJ15" s="40">
        <f t="shared" si="18"/>
        <v>94023.953799199706</v>
      </c>
      <c r="AK15" s="108">
        <f t="shared" si="19"/>
        <v>-1433804.3474012371</v>
      </c>
      <c r="AM15" s="36">
        <f>SUM(AG113:AG124)</f>
        <v>100992.16400242611</v>
      </c>
      <c r="AN15" s="35">
        <f>SUM(W113:W124)</f>
        <v>-20003.722707357589</v>
      </c>
      <c r="AO15" s="95">
        <v>10</v>
      </c>
    </row>
    <row r="16" spans="2:41" ht="15" thickBot="1">
      <c r="B16" s="4"/>
      <c r="C16" s="5"/>
      <c r="G16" s="1"/>
      <c r="I16">
        <v>12</v>
      </c>
      <c r="J16" s="26">
        <f t="shared" si="15"/>
        <v>4840.92</v>
      </c>
      <c r="K16" s="24">
        <f t="shared" si="0"/>
        <v>1909.7853765005457</v>
      </c>
      <c r="L16" s="24">
        <f t="shared" si="1"/>
        <v>19097.853765005457</v>
      </c>
      <c r="M16" s="24">
        <v>0</v>
      </c>
      <c r="N16" s="48"/>
      <c r="O16" s="32">
        <f t="shared" si="2"/>
        <v>10082.99055914864</v>
      </c>
      <c r="P16" s="32">
        <f t="shared" si="16"/>
        <v>6191.9929596983802</v>
      </c>
      <c r="Q16" s="32">
        <f t="shared" si="17"/>
        <v>3890.9975994502602</v>
      </c>
      <c r="R16" s="45">
        <f t="shared" si="20"/>
        <v>1482187.312728161</v>
      </c>
      <c r="S16" s="31">
        <f t="shared" si="3"/>
        <v>-22358.712101204383</v>
      </c>
      <c r="T16" s="32">
        <f t="shared" si="4"/>
        <v>0</v>
      </c>
      <c r="U16" s="32">
        <f t="shared" si="5"/>
        <v>-26249.709700654643</v>
      </c>
      <c r="V16" s="32">
        <f t="shared" si="6"/>
        <v>2728.2648235722081</v>
      </c>
      <c r="W16" s="32">
        <f t="shared" si="7"/>
        <v>-9880.1207592213941</v>
      </c>
      <c r="X16" s="32">
        <f t="shared" si="8"/>
        <v>-9409.6388183060899</v>
      </c>
      <c r="Y16" s="102">
        <f t="shared" si="21"/>
        <v>-25494.345819673064</v>
      </c>
      <c r="Z16" s="32">
        <f t="shared" si="22"/>
        <v>-26769.063110656716</v>
      </c>
      <c r="AA16" s="45">
        <f t="shared" si="23"/>
        <v>-26769.063110656782</v>
      </c>
      <c r="AB16" s="1"/>
      <c r="AC16" s="40">
        <f t="shared" si="9"/>
        <v>-16166.719141506002</v>
      </c>
      <c r="AD16" s="40">
        <f t="shared" si="10"/>
        <v>0</v>
      </c>
      <c r="AE16" s="40">
        <f t="shared" si="11"/>
        <v>-16166.719141506002</v>
      </c>
      <c r="AF16" s="40">
        <f t="shared" si="12"/>
        <v>2728.2648235722081</v>
      </c>
      <c r="AG16" s="40">
        <f t="shared" si="13"/>
        <v>202.8697999272481</v>
      </c>
      <c r="AH16" s="40">
        <f t="shared" si="14"/>
        <v>193.2093332640458</v>
      </c>
      <c r="AI16" s="106">
        <f t="shared" si="24"/>
        <v>-1438088.4692012682</v>
      </c>
      <c r="AJ16" s="40">
        <f t="shared" si="18"/>
        <v>94226.823599126947</v>
      </c>
      <c r="AK16" s="108">
        <f t="shared" si="19"/>
        <v>-1433601.4776013098</v>
      </c>
      <c r="AM16" s="36">
        <f>SUM(AG125:AG136)</f>
        <v>134437.88780850728</v>
      </c>
      <c r="AN16" s="35">
        <f>SUM(W125:W136)</f>
        <v>13442.001098723562</v>
      </c>
      <c r="AO16" s="95">
        <v>11</v>
      </c>
    </row>
    <row r="17" spans="2:41">
      <c r="B17" s="62" t="s">
        <v>41</v>
      </c>
      <c r="C17" s="63">
        <v>0.02</v>
      </c>
      <c r="D17" t="s">
        <v>63</v>
      </c>
      <c r="F17" s="132" t="s">
        <v>88</v>
      </c>
      <c r="G17" s="1">
        <f>SUM(S17:S28)</f>
        <v>-140070.59072787059</v>
      </c>
      <c r="H17">
        <v>2016</v>
      </c>
      <c r="I17">
        <v>1</v>
      </c>
      <c r="J17" s="26">
        <f t="shared" ref="J17:J28" si="25">C23*$C$39*$D$39</f>
        <v>5204.6667288000008</v>
      </c>
      <c r="K17" s="24">
        <f t="shared" ref="K17:K28" si="26">$K$16*$C$8</f>
        <v>1967.0789377955621</v>
      </c>
      <c r="L17" s="24">
        <f t="shared" ref="L17:L28" si="27">(($C$5-SUM($L$5:$L$16))*0.15)/12</f>
        <v>16233.175700254638</v>
      </c>
      <c r="M17" s="24">
        <v>0</v>
      </c>
      <c r="N17" s="48"/>
      <c r="O17" s="32">
        <f t="shared" si="2"/>
        <v>10082.99055914864</v>
      </c>
      <c r="P17" s="32">
        <f t="shared" si="16"/>
        <v>6175.7804697006704</v>
      </c>
      <c r="Q17" s="32">
        <f t="shared" si="17"/>
        <v>3907.2100894479699</v>
      </c>
      <c r="R17" s="45">
        <f t="shared" si="20"/>
        <v>1478280.1026387131</v>
      </c>
      <c r="S17" s="31">
        <f t="shared" si="3"/>
        <v>-19171.368378950872</v>
      </c>
      <c r="T17" s="32">
        <f t="shared" si="4"/>
        <v>0</v>
      </c>
      <c r="U17" s="32">
        <f t="shared" si="5"/>
        <v>-23078.578468398839</v>
      </c>
      <c r="V17" s="32">
        <f t="shared" si="6"/>
        <v>2728.2648235722081</v>
      </c>
      <c r="W17" s="32">
        <f t="shared" si="7"/>
        <v>-9573.6675917164084</v>
      </c>
      <c r="X17" s="32">
        <f t="shared" ref="X17:X28" si="28">W17/(1+$C$18)^2</f>
        <v>-8683.5987226452689</v>
      </c>
      <c r="Y17" s="102">
        <f t="shared" si="21"/>
        <v>-34177.944542318335</v>
      </c>
      <c r="Z17" s="32">
        <f t="shared" si="22"/>
        <v>-36342.730702373126</v>
      </c>
      <c r="AA17" s="45">
        <f t="shared" si="23"/>
        <v>-36342.730702373192</v>
      </c>
      <c r="AB17" s="1"/>
      <c r="AC17" s="40">
        <f t="shared" si="9"/>
        <v>-12995.5879092502</v>
      </c>
      <c r="AD17" s="40">
        <f t="shared" si="10"/>
        <v>0</v>
      </c>
      <c r="AE17" s="40">
        <f t="shared" si="11"/>
        <v>-12995.5879092502</v>
      </c>
      <c r="AF17" s="40">
        <f t="shared" si="12"/>
        <v>2728.2648235722081</v>
      </c>
      <c r="AG17" s="40">
        <f t="shared" si="13"/>
        <v>509.32296743223014</v>
      </c>
      <c r="AH17" s="40">
        <f t="shared" ref="AH17:AH28" si="29">AG17/(1+$C$18)^2</f>
        <v>461.97094551676201</v>
      </c>
      <c r="AI17" s="106">
        <f t="shared" si="24"/>
        <v>-1437626.4982557513</v>
      </c>
      <c r="AJ17" s="40">
        <f t="shared" si="18"/>
        <v>94736.146566559182</v>
      </c>
      <c r="AK17" s="108">
        <f t="shared" si="19"/>
        <v>-1433092.1546338776</v>
      </c>
      <c r="AM17" s="36">
        <f>SUM(AG137:AG148)</f>
        <v>135133.23724495157</v>
      </c>
      <c r="AN17" s="35">
        <f>SUM(W137:W148)</f>
        <v>14137.350535167878</v>
      </c>
      <c r="AO17" s="95">
        <v>12</v>
      </c>
    </row>
    <row r="18" spans="2:41">
      <c r="B18" s="25" t="s">
        <v>20</v>
      </c>
      <c r="C18" s="64">
        <v>0.05</v>
      </c>
      <c r="D18" s="50" t="s">
        <v>63</v>
      </c>
      <c r="F18" s="17" t="s">
        <v>31</v>
      </c>
      <c r="G18">
        <v>2</v>
      </c>
      <c r="I18">
        <v>2</v>
      </c>
      <c r="J18" s="26">
        <f t="shared" si="25"/>
        <v>7965.1529496000003</v>
      </c>
      <c r="K18" s="24">
        <f t="shared" si="26"/>
        <v>1967.0789377955621</v>
      </c>
      <c r="L18" s="24">
        <f t="shared" si="27"/>
        <v>16233.175700254638</v>
      </c>
      <c r="M18" s="24">
        <v>0</v>
      </c>
      <c r="N18" s="48"/>
      <c r="O18" s="32">
        <f t="shared" si="2"/>
        <v>10082.99055914864</v>
      </c>
      <c r="P18" s="32">
        <f t="shared" si="16"/>
        <v>6159.5004276613045</v>
      </c>
      <c r="Q18" s="32">
        <f t="shared" si="17"/>
        <v>3923.4901314873359</v>
      </c>
      <c r="R18" s="45">
        <f t="shared" si="20"/>
        <v>1474356.6125072257</v>
      </c>
      <c r="S18" s="31">
        <f t="shared" si="3"/>
        <v>-16394.602116111506</v>
      </c>
      <c r="T18" s="32">
        <f t="shared" si="4"/>
        <v>0</v>
      </c>
      <c r="U18" s="32">
        <f t="shared" si="5"/>
        <v>-20318.092247598841</v>
      </c>
      <c r="V18" s="32">
        <f t="shared" si="6"/>
        <v>2728.2648235722081</v>
      </c>
      <c r="W18" s="32">
        <f t="shared" si="7"/>
        <v>-6813.1813709164107</v>
      </c>
      <c r="X18" s="32">
        <f t="shared" si="28"/>
        <v>-6179.7563455024128</v>
      </c>
      <c r="Y18" s="102">
        <f t="shared" si="21"/>
        <v>-40357.700887820749</v>
      </c>
      <c r="Z18" s="32">
        <f t="shared" si="22"/>
        <v>-43155.912073289539</v>
      </c>
      <c r="AA18" s="45">
        <f t="shared" si="23"/>
        <v>-43155.912073289604</v>
      </c>
      <c r="AB18" s="1"/>
      <c r="AC18" s="40">
        <f t="shared" si="9"/>
        <v>-10235.101688450201</v>
      </c>
      <c r="AD18" s="40">
        <f t="shared" si="10"/>
        <v>0</v>
      </c>
      <c r="AE18" s="40">
        <f t="shared" si="11"/>
        <v>-10235.101688450201</v>
      </c>
      <c r="AF18" s="40">
        <f t="shared" si="12"/>
        <v>2728.2648235722081</v>
      </c>
      <c r="AG18" s="40">
        <f t="shared" si="13"/>
        <v>3269.8091882322296</v>
      </c>
      <c r="AH18" s="40">
        <f t="shared" si="29"/>
        <v>2965.8133226596187</v>
      </c>
      <c r="AI18" s="106">
        <f t="shared" si="24"/>
        <v>-1434660.6849330917</v>
      </c>
      <c r="AJ18" s="40">
        <f t="shared" si="18"/>
        <v>98005.955754791416</v>
      </c>
      <c r="AK18" s="108">
        <f t="shared" si="19"/>
        <v>-1429822.3454456453</v>
      </c>
      <c r="AM18" s="36">
        <f>SUM(AG149:AG160)</f>
        <v>115495.48520156287</v>
      </c>
      <c r="AN18" s="35">
        <f>SUM(W149:W160)</f>
        <v>5880.4540601038352</v>
      </c>
      <c r="AO18" s="95">
        <v>13</v>
      </c>
    </row>
    <row r="19" spans="2:41" ht="15" thickBot="1">
      <c r="B19" s="65" t="s">
        <v>25</v>
      </c>
      <c r="C19" s="66">
        <v>27.49</v>
      </c>
      <c r="D19" t="s">
        <v>64</v>
      </c>
      <c r="F19" s="12" t="s">
        <v>30</v>
      </c>
      <c r="G19" s="1">
        <f>G5+G17</f>
        <v>-317633.73266345065</v>
      </c>
      <c r="I19">
        <v>3</v>
      </c>
      <c r="J19" s="26">
        <f t="shared" si="25"/>
        <v>14276.889673200001</v>
      </c>
      <c r="K19" s="24">
        <f t="shared" si="26"/>
        <v>1967.0789377955621</v>
      </c>
      <c r="L19" s="24">
        <f t="shared" si="27"/>
        <v>16233.175700254638</v>
      </c>
      <c r="M19" s="24">
        <v>0</v>
      </c>
      <c r="N19" s="48"/>
      <c r="O19" s="32">
        <f t="shared" si="2"/>
        <v>10082.99055914864</v>
      </c>
      <c r="P19" s="32">
        <f t="shared" si="16"/>
        <v>6143.1525521134408</v>
      </c>
      <c r="Q19" s="32">
        <f t="shared" si="17"/>
        <v>3939.8380070351996</v>
      </c>
      <c r="R19" s="45">
        <f t="shared" si="20"/>
        <v>1470416.7745001905</v>
      </c>
      <c r="S19" s="31">
        <f t="shared" si="3"/>
        <v>-10066.51751696364</v>
      </c>
      <c r="T19" s="32">
        <f t="shared" si="4"/>
        <v>0</v>
      </c>
      <c r="U19" s="32">
        <f t="shared" si="5"/>
        <v>-14006.35552399884</v>
      </c>
      <c r="V19" s="32">
        <f t="shared" si="6"/>
        <v>2728.2648235722081</v>
      </c>
      <c r="W19" s="32">
        <f t="shared" si="7"/>
        <v>-501.44464731641165</v>
      </c>
      <c r="X19" s="32">
        <f t="shared" si="28"/>
        <v>-454.82507693098563</v>
      </c>
      <c r="Y19" s="102">
        <f t="shared" si="21"/>
        <v>-40812.525964751738</v>
      </c>
      <c r="Z19" s="32">
        <f t="shared" si="22"/>
        <v>-43657.356720605952</v>
      </c>
      <c r="AA19" s="45">
        <f t="shared" si="23"/>
        <v>-43657.356720606018</v>
      </c>
      <c r="AB19" s="1"/>
      <c r="AC19" s="40">
        <f t="shared" si="9"/>
        <v>-3923.3649648501996</v>
      </c>
      <c r="AD19" s="40">
        <f t="shared" si="10"/>
        <v>0</v>
      </c>
      <c r="AE19" s="40">
        <f t="shared" si="11"/>
        <v>-3923.3649648501996</v>
      </c>
      <c r="AF19" s="40">
        <f t="shared" si="12"/>
        <v>2728.2648235722081</v>
      </c>
      <c r="AG19" s="40">
        <f t="shared" si="13"/>
        <v>9581.5459118322306</v>
      </c>
      <c r="AH19" s="40">
        <f t="shared" si="29"/>
        <v>8690.7445912310486</v>
      </c>
      <c r="AI19" s="106">
        <f t="shared" si="24"/>
        <v>-1425969.9403418608</v>
      </c>
      <c r="AJ19" s="40">
        <f t="shared" si="18"/>
        <v>107587.50166662365</v>
      </c>
      <c r="AK19" s="108">
        <f t="shared" si="19"/>
        <v>-1420240.799533813</v>
      </c>
      <c r="AM19" s="36">
        <f>SUM(AG161:AG172)</f>
        <v>112901.60139284293</v>
      </c>
      <c r="AN19" s="35">
        <f>SUM(W161:W172)</f>
        <v>2011.722661790569</v>
      </c>
      <c r="AO19" s="95">
        <v>14</v>
      </c>
    </row>
    <row r="20" spans="2:41">
      <c r="F20" s="18" t="s">
        <v>39</v>
      </c>
      <c r="G20" s="1">
        <v>0</v>
      </c>
      <c r="I20">
        <v>4</v>
      </c>
      <c r="J20" s="26">
        <f t="shared" si="25"/>
        <v>16390.386936000003</v>
      </c>
      <c r="K20" s="24">
        <f t="shared" si="26"/>
        <v>1967.0789377955621</v>
      </c>
      <c r="L20" s="24">
        <f t="shared" si="27"/>
        <v>16233.175700254638</v>
      </c>
      <c r="M20" s="24">
        <v>0</v>
      </c>
      <c r="N20" s="48"/>
      <c r="O20" s="32">
        <f t="shared" si="2"/>
        <v>10082.99055914864</v>
      </c>
      <c r="P20" s="32">
        <f t="shared" si="16"/>
        <v>6126.7365604174602</v>
      </c>
      <c r="Q20" s="32">
        <f t="shared" si="17"/>
        <v>3956.2539987311802</v>
      </c>
      <c r="R20" s="45">
        <f t="shared" si="20"/>
        <v>1466460.5205014593</v>
      </c>
      <c r="S20" s="31">
        <f t="shared" si="3"/>
        <v>-7936.6042624676584</v>
      </c>
      <c r="T20" s="32">
        <f t="shared" si="4"/>
        <v>0</v>
      </c>
      <c r="U20" s="32">
        <f t="shared" si="5"/>
        <v>-11892.858261198839</v>
      </c>
      <c r="V20" s="32">
        <f t="shared" si="6"/>
        <v>2728.2648235722081</v>
      </c>
      <c r="W20" s="32">
        <f t="shared" si="7"/>
        <v>1612.0526154835916</v>
      </c>
      <c r="X20" s="32">
        <f t="shared" si="28"/>
        <v>1462.1792430690173</v>
      </c>
      <c r="Y20" s="102">
        <f t="shared" si="21"/>
        <v>-39350.346721682719</v>
      </c>
      <c r="Z20" s="32">
        <f t="shared" si="22"/>
        <v>-42045.304105122363</v>
      </c>
      <c r="AA20" s="45">
        <f t="shared" si="23"/>
        <v>-42045.304105122428</v>
      </c>
      <c r="AB20" s="1"/>
      <c r="AC20" s="40">
        <f t="shared" si="9"/>
        <v>-1809.8677020501982</v>
      </c>
      <c r="AD20" s="40">
        <f t="shared" si="10"/>
        <v>0</v>
      </c>
      <c r="AE20" s="40">
        <f t="shared" si="11"/>
        <v>-1809.8677020501982</v>
      </c>
      <c r="AF20" s="40">
        <f t="shared" si="12"/>
        <v>2728.2648235722081</v>
      </c>
      <c r="AG20" s="40">
        <f t="shared" si="13"/>
        <v>11695.043174632232</v>
      </c>
      <c r="AH20" s="40">
        <f t="shared" si="29"/>
        <v>10607.748911231049</v>
      </c>
      <c r="AI20" s="106">
        <f t="shared" si="24"/>
        <v>-1415362.1914306297</v>
      </c>
      <c r="AJ20" s="40">
        <f t="shared" si="18"/>
        <v>119282.54484125588</v>
      </c>
      <c r="AK20" s="108">
        <f t="shared" si="19"/>
        <v>-1408545.7563591809</v>
      </c>
      <c r="AM20" s="36">
        <f>SUM(AG173:AG184)</f>
        <v>111544.63683126557</v>
      </c>
      <c r="AN20" s="35">
        <f>SUM(W173:W184)</f>
        <v>-685.31311157366872</v>
      </c>
      <c r="AO20" s="95">
        <v>15</v>
      </c>
    </row>
    <row r="21" spans="2:41" ht="15" thickBot="1">
      <c r="B21" s="3" t="s">
        <v>86</v>
      </c>
      <c r="C21" s="4"/>
      <c r="D21" s="4"/>
      <c r="E21" s="4"/>
      <c r="F21" s="16" t="s">
        <v>90</v>
      </c>
      <c r="G21" s="129">
        <f>$C$60</f>
        <v>0</v>
      </c>
      <c r="I21">
        <v>5</v>
      </c>
      <c r="J21" s="26">
        <f t="shared" si="25"/>
        <v>16965.488232</v>
      </c>
      <c r="K21" s="24">
        <f t="shared" si="26"/>
        <v>1967.0789377955621</v>
      </c>
      <c r="L21" s="24">
        <f t="shared" si="27"/>
        <v>16233.175700254638</v>
      </c>
      <c r="M21" s="24">
        <v>0</v>
      </c>
      <c r="N21" s="48"/>
      <c r="O21" s="32">
        <f t="shared" si="2"/>
        <v>10082.99055914864</v>
      </c>
      <c r="P21" s="32">
        <f t="shared" si="16"/>
        <v>6110.2521687560802</v>
      </c>
      <c r="Q21" s="32">
        <f t="shared" si="17"/>
        <v>3972.7383903925602</v>
      </c>
      <c r="R21" s="45">
        <f t="shared" si="20"/>
        <v>1462487.7821110666</v>
      </c>
      <c r="S21" s="31">
        <f t="shared" si="3"/>
        <v>-7345.0185748062813</v>
      </c>
      <c r="T21" s="32">
        <f t="shared" si="4"/>
        <v>0</v>
      </c>
      <c r="U21" s="32">
        <f t="shared" si="5"/>
        <v>-11317.756965198841</v>
      </c>
      <c r="V21" s="32">
        <f t="shared" si="6"/>
        <v>2728.2648235722081</v>
      </c>
      <c r="W21" s="32">
        <f t="shared" si="7"/>
        <v>2187.1539114835887</v>
      </c>
      <c r="X21" s="32">
        <f t="shared" si="28"/>
        <v>1983.8130716404432</v>
      </c>
      <c r="Y21" s="102">
        <f t="shared" si="21"/>
        <v>-37366.533650042278</v>
      </c>
      <c r="Z21" s="32">
        <f t="shared" si="22"/>
        <v>-39858.150193638772</v>
      </c>
      <c r="AA21" s="45">
        <f t="shared" si="23"/>
        <v>-39858.150193638838</v>
      </c>
      <c r="AB21" s="1"/>
      <c r="AC21" s="40">
        <f t="shared" si="9"/>
        <v>-1234.7664060502011</v>
      </c>
      <c r="AD21" s="40">
        <f t="shared" si="10"/>
        <v>0</v>
      </c>
      <c r="AE21" s="40">
        <f t="shared" si="11"/>
        <v>-1234.7664060502011</v>
      </c>
      <c r="AF21" s="40">
        <f t="shared" si="12"/>
        <v>2728.2648235722081</v>
      </c>
      <c r="AG21" s="40">
        <f t="shared" si="13"/>
        <v>12270.144470632229</v>
      </c>
      <c r="AH21" s="40">
        <f t="shared" si="29"/>
        <v>11129.382739802475</v>
      </c>
      <c r="AI21" s="106">
        <f t="shared" si="24"/>
        <v>-1404232.8086908271</v>
      </c>
      <c r="AJ21" s="40">
        <f t="shared" si="18"/>
        <v>131552.6893118881</v>
      </c>
      <c r="AK21" s="108">
        <f t="shared" si="19"/>
        <v>-1396275.6118885486</v>
      </c>
      <c r="AM21" s="36">
        <f>SUM(AG185:AG196)</f>
        <v>110839.83345762288</v>
      </c>
      <c r="AN21" s="35">
        <f>SUM(W185:W196)</f>
        <v>-2798.7482834949369</v>
      </c>
      <c r="AO21" s="95">
        <v>16</v>
      </c>
    </row>
    <row r="22" spans="2:41" ht="15" thickBot="1">
      <c r="B22" s="67" t="s">
        <v>5</v>
      </c>
      <c r="C22" s="113" t="s">
        <v>0</v>
      </c>
      <c r="G22" s="1"/>
      <c r="I22">
        <v>6</v>
      </c>
      <c r="J22" s="26">
        <f t="shared" si="25"/>
        <v>17684.364852000002</v>
      </c>
      <c r="K22" s="24">
        <f t="shared" si="26"/>
        <v>1967.0789377955621</v>
      </c>
      <c r="L22" s="24">
        <f t="shared" si="27"/>
        <v>16233.175700254638</v>
      </c>
      <c r="M22" s="24">
        <v>0</v>
      </c>
      <c r="N22" s="48"/>
      <c r="O22" s="32">
        <f t="shared" si="2"/>
        <v>10082.99055914864</v>
      </c>
      <c r="P22" s="32">
        <f t="shared" si="16"/>
        <v>6093.6990921294446</v>
      </c>
      <c r="Q22" s="32">
        <f t="shared" si="17"/>
        <v>3989.2914670191958</v>
      </c>
      <c r="R22" s="45">
        <f t="shared" si="20"/>
        <v>1458498.4906440475</v>
      </c>
      <c r="S22" s="31">
        <f t="shared" si="3"/>
        <v>-6609.588878179643</v>
      </c>
      <c r="T22" s="32">
        <f t="shared" si="4"/>
        <v>0</v>
      </c>
      <c r="U22" s="32">
        <f t="shared" si="5"/>
        <v>-10598.880345198839</v>
      </c>
      <c r="V22" s="32">
        <f t="shared" si="6"/>
        <v>2728.2648235722081</v>
      </c>
      <c r="W22" s="32">
        <f t="shared" si="7"/>
        <v>2906.0305314835914</v>
      </c>
      <c r="X22" s="32">
        <f t="shared" si="28"/>
        <v>2635.8553573547315</v>
      </c>
      <c r="Y22" s="102">
        <f t="shared" si="21"/>
        <v>-34730.678292687546</v>
      </c>
      <c r="Z22" s="32">
        <f t="shared" si="22"/>
        <v>-36952.119662155179</v>
      </c>
      <c r="AA22" s="45">
        <f t="shared" si="23"/>
        <v>-36952.119662155244</v>
      </c>
      <c r="AB22" s="1"/>
      <c r="AC22" s="40">
        <f t="shared" si="9"/>
        <v>-515.88978605019838</v>
      </c>
      <c r="AD22" s="40">
        <f t="shared" si="10"/>
        <v>0</v>
      </c>
      <c r="AE22" s="40">
        <f t="shared" si="11"/>
        <v>-515.88978605019838</v>
      </c>
      <c r="AF22" s="40">
        <f t="shared" si="12"/>
        <v>2728.2648235722081</v>
      </c>
      <c r="AG22" s="40">
        <f t="shared" si="13"/>
        <v>12989.021090632232</v>
      </c>
      <c r="AH22" s="40">
        <f t="shared" si="29"/>
        <v>11781.425025516763</v>
      </c>
      <c r="AI22" s="106">
        <f t="shared" si="24"/>
        <v>-1392451.3836653105</v>
      </c>
      <c r="AJ22" s="40">
        <f t="shared" si="18"/>
        <v>144541.71040252032</v>
      </c>
      <c r="AK22" s="108">
        <f t="shared" si="19"/>
        <v>-1383286.5907979163</v>
      </c>
      <c r="AM22" s="36">
        <f>SUM(AG197:AG208)</f>
        <v>99989.473779900785</v>
      </c>
      <c r="AN22" s="35">
        <f>SUM(W197:W208)</f>
        <v>-12975.052907849476</v>
      </c>
      <c r="AO22" s="95">
        <v>17</v>
      </c>
    </row>
    <row r="23" spans="2:41">
      <c r="B23" s="68" t="s">
        <v>6</v>
      </c>
      <c r="C23" s="69">
        <v>36200</v>
      </c>
      <c r="G23" s="1"/>
      <c r="I23">
        <v>7</v>
      </c>
      <c r="J23" s="26">
        <f t="shared" si="25"/>
        <v>18834.567444</v>
      </c>
      <c r="K23" s="24">
        <f t="shared" si="26"/>
        <v>1967.0789377955621</v>
      </c>
      <c r="L23" s="24">
        <f t="shared" si="27"/>
        <v>16233.175700254638</v>
      </c>
      <c r="M23" s="24">
        <v>0</v>
      </c>
      <c r="N23" s="48"/>
      <c r="O23" s="32">
        <f t="shared" si="2"/>
        <v>10082.99055914864</v>
      </c>
      <c r="P23" s="32">
        <f t="shared" si="16"/>
        <v>6077.0770443501979</v>
      </c>
      <c r="Q23" s="32">
        <f t="shared" si="17"/>
        <v>4005.9135147984425</v>
      </c>
      <c r="R23" s="45">
        <f t="shared" si="20"/>
        <v>1454492.577129249</v>
      </c>
      <c r="S23" s="31">
        <f t="shared" si="3"/>
        <v>-5442.7642384003984</v>
      </c>
      <c r="T23" s="32">
        <f t="shared" si="4"/>
        <v>0</v>
      </c>
      <c r="U23" s="32">
        <f t="shared" si="5"/>
        <v>-9448.6777531988409</v>
      </c>
      <c r="V23" s="32">
        <f t="shared" si="6"/>
        <v>2728.2648235722081</v>
      </c>
      <c r="W23" s="32">
        <f t="shared" si="7"/>
        <v>4056.2331234835892</v>
      </c>
      <c r="X23" s="32">
        <f t="shared" si="28"/>
        <v>3679.1230144975866</v>
      </c>
      <c r="Y23" s="102">
        <f t="shared" si="21"/>
        <v>-31051.555278189961</v>
      </c>
      <c r="Z23" s="32">
        <f t="shared" si="22"/>
        <v>-32895.886538671592</v>
      </c>
      <c r="AA23" s="45">
        <f t="shared" si="23"/>
        <v>-32895.886538671657</v>
      </c>
      <c r="AB23" s="1"/>
      <c r="AC23" s="40">
        <f t="shared" si="9"/>
        <v>634.31280594979944</v>
      </c>
      <c r="AD23" s="40">
        <f t="shared" si="10"/>
        <v>0</v>
      </c>
      <c r="AE23" s="40">
        <f t="shared" si="11"/>
        <v>634.31280594979944</v>
      </c>
      <c r="AF23" s="40">
        <f t="shared" si="12"/>
        <v>2728.2648235722081</v>
      </c>
      <c r="AG23" s="40">
        <f t="shared" si="13"/>
        <v>14139.22368263223</v>
      </c>
      <c r="AH23" s="40">
        <f t="shared" si="29"/>
        <v>12824.692682659619</v>
      </c>
      <c r="AI23" s="106">
        <f t="shared" si="24"/>
        <v>-1379626.6909826507</v>
      </c>
      <c r="AJ23" s="40">
        <f t="shared" si="18"/>
        <v>158680.93408515255</v>
      </c>
      <c r="AK23" s="108">
        <f t="shared" si="19"/>
        <v>-1369147.3671152841</v>
      </c>
      <c r="AM23" s="36">
        <f>SUM(AG209:AG220)</f>
        <v>99212.441876501369</v>
      </c>
      <c r="AN23" s="35">
        <f>SUM(W209:W220)</f>
        <v>-15879.240661932014</v>
      </c>
      <c r="AO23" s="95">
        <v>18</v>
      </c>
    </row>
    <row r="24" spans="2:41">
      <c r="B24" s="70" t="s">
        <v>7</v>
      </c>
      <c r="C24" s="71">
        <v>55400</v>
      </c>
      <c r="G24" s="1"/>
      <c r="I24">
        <v>8</v>
      </c>
      <c r="J24" s="26">
        <f t="shared" si="25"/>
        <v>17253.03888</v>
      </c>
      <c r="K24" s="24">
        <f t="shared" si="26"/>
        <v>1967.0789377955621</v>
      </c>
      <c r="L24" s="24">
        <f t="shared" si="27"/>
        <v>16233.175700254638</v>
      </c>
      <c r="M24" s="24">
        <v>0</v>
      </c>
      <c r="N24" s="48"/>
      <c r="O24" s="32">
        <f t="shared" si="2"/>
        <v>10082.99055914864</v>
      </c>
      <c r="P24" s="32">
        <f t="shared" si="16"/>
        <v>6060.3857380385371</v>
      </c>
      <c r="Q24" s="32">
        <f t="shared" si="17"/>
        <v>4022.6048211101033</v>
      </c>
      <c r="R24" s="45">
        <f t="shared" si="20"/>
        <v>1450469.9723081389</v>
      </c>
      <c r="S24" s="31">
        <f t="shared" si="3"/>
        <v>-7007.6014960887378</v>
      </c>
      <c r="T24" s="32">
        <f t="shared" si="4"/>
        <v>0</v>
      </c>
      <c r="U24" s="32">
        <f t="shared" si="5"/>
        <v>-11030.206317198841</v>
      </c>
      <c r="V24" s="32">
        <f t="shared" si="6"/>
        <v>2728.2648235722081</v>
      </c>
      <c r="W24" s="32">
        <f t="shared" si="7"/>
        <v>2474.704559483589</v>
      </c>
      <c r="X24" s="32">
        <f t="shared" si="28"/>
        <v>2244.6299859261576</v>
      </c>
      <c r="Y24" s="102">
        <f t="shared" si="21"/>
        <v>-28806.925292263804</v>
      </c>
      <c r="Z24" s="32">
        <f t="shared" si="22"/>
        <v>-30421.181979188004</v>
      </c>
      <c r="AA24" s="45">
        <f t="shared" si="23"/>
        <v>-30421.18197918807</v>
      </c>
      <c r="AB24" s="1"/>
      <c r="AC24" s="40">
        <f t="shared" si="9"/>
        <v>-947.21575805020075</v>
      </c>
      <c r="AD24" s="40">
        <f t="shared" si="10"/>
        <v>0</v>
      </c>
      <c r="AE24" s="40">
        <f t="shared" si="11"/>
        <v>-947.21575805020075</v>
      </c>
      <c r="AF24" s="40">
        <f t="shared" si="12"/>
        <v>2728.2648235722081</v>
      </c>
      <c r="AG24" s="40">
        <f t="shared" si="13"/>
        <v>12557.695118632229</v>
      </c>
      <c r="AH24" s="40">
        <f t="shared" si="29"/>
        <v>11390.19965408819</v>
      </c>
      <c r="AI24" s="106">
        <f t="shared" si="24"/>
        <v>-1368236.4913285626</v>
      </c>
      <c r="AJ24" s="40">
        <f t="shared" si="18"/>
        <v>171238.62920378477</v>
      </c>
      <c r="AK24" s="108">
        <f t="shared" si="19"/>
        <v>-1356589.6719966519</v>
      </c>
      <c r="AM24" s="36">
        <f>SUM(AG221:AG232)</f>
        <v>98596.695438214432</v>
      </c>
      <c r="AN24" s="35">
        <f>SUM(W221:W232)</f>
        <v>-18730.972281313283</v>
      </c>
      <c r="AO24" s="95">
        <v>19</v>
      </c>
    </row>
    <row r="25" spans="2:41" ht="15" thickBot="1">
      <c r="B25" s="70" t="s">
        <v>8</v>
      </c>
      <c r="C25" s="71">
        <v>99300</v>
      </c>
      <c r="G25" s="1"/>
      <c r="I25">
        <v>9</v>
      </c>
      <c r="J25" s="26">
        <f t="shared" si="25"/>
        <v>15383.959668000001</v>
      </c>
      <c r="K25" s="24">
        <f t="shared" si="26"/>
        <v>1967.0789377955621</v>
      </c>
      <c r="L25" s="24">
        <f t="shared" si="27"/>
        <v>16233.175700254638</v>
      </c>
      <c r="M25" s="24">
        <v>0</v>
      </c>
      <c r="N25" s="48"/>
      <c r="O25" s="32">
        <f t="shared" si="2"/>
        <v>10082.99055914864</v>
      </c>
      <c r="P25" s="32">
        <f t="shared" si="16"/>
        <v>6043.6248846172448</v>
      </c>
      <c r="Q25" s="32">
        <f t="shared" si="17"/>
        <v>4039.3656745313956</v>
      </c>
      <c r="R25" s="45">
        <f t="shared" si="20"/>
        <v>1446430.6066336075</v>
      </c>
      <c r="S25" s="31">
        <f t="shared" si="3"/>
        <v>-8859.9198546674452</v>
      </c>
      <c r="T25" s="32">
        <f t="shared" si="4"/>
        <v>0</v>
      </c>
      <c r="U25" s="32">
        <f t="shared" si="5"/>
        <v>-12899.28552919884</v>
      </c>
      <c r="V25" s="32">
        <f t="shared" si="6"/>
        <v>2728.2648235722081</v>
      </c>
      <c r="W25" s="32">
        <f t="shared" si="7"/>
        <v>605.6253474835903</v>
      </c>
      <c r="X25" s="32">
        <f t="shared" si="28"/>
        <v>549.32004306901615</v>
      </c>
      <c r="Y25" s="102">
        <f t="shared" si="21"/>
        <v>-28257.605249194788</v>
      </c>
      <c r="Z25" s="32">
        <f t="shared" si="22"/>
        <v>-29815.556631704414</v>
      </c>
      <c r="AA25" s="45">
        <f t="shared" si="23"/>
        <v>-29815.55663170448</v>
      </c>
      <c r="AB25" s="1"/>
      <c r="AC25" s="40">
        <f t="shared" si="9"/>
        <v>-2816.2949700501995</v>
      </c>
      <c r="AD25" s="40">
        <f t="shared" si="10"/>
        <v>0</v>
      </c>
      <c r="AE25" s="40">
        <f t="shared" si="11"/>
        <v>-2816.2949700501995</v>
      </c>
      <c r="AF25" s="40">
        <f t="shared" si="12"/>
        <v>2728.2648235722081</v>
      </c>
      <c r="AG25" s="40">
        <f t="shared" si="13"/>
        <v>10688.615906632231</v>
      </c>
      <c r="AH25" s="40">
        <f t="shared" si="29"/>
        <v>9694.8897112310478</v>
      </c>
      <c r="AI25" s="106">
        <f t="shared" si="24"/>
        <v>-1358541.6016173316</v>
      </c>
      <c r="AJ25" s="40">
        <f t="shared" si="18"/>
        <v>181927.24511041702</v>
      </c>
      <c r="AK25" s="108">
        <f t="shared" si="19"/>
        <v>-1345901.0560900196</v>
      </c>
      <c r="AM25" s="37">
        <f>SUM(AG233:AG244)</f>
        <v>98101.074083054569</v>
      </c>
      <c r="AN25" s="38">
        <f>SUM(W233:W244)</f>
        <v>-21576.976063067654</v>
      </c>
      <c r="AO25" s="112">
        <v>20</v>
      </c>
    </row>
    <row r="26" spans="2:41">
      <c r="B26" s="70" t="s">
        <v>9</v>
      </c>
      <c r="C26" s="71">
        <v>114000</v>
      </c>
      <c r="G26" s="1"/>
      <c r="I26">
        <v>10</v>
      </c>
      <c r="J26" s="26">
        <f t="shared" si="25"/>
        <v>10696.8841056</v>
      </c>
      <c r="K26" s="24">
        <f t="shared" si="26"/>
        <v>1967.0789377955621</v>
      </c>
      <c r="L26" s="24">
        <f t="shared" si="27"/>
        <v>16233.175700254638</v>
      </c>
      <c r="M26" s="24">
        <v>0</v>
      </c>
      <c r="N26" s="48"/>
      <c r="O26" s="32">
        <f t="shared" si="2"/>
        <v>10082.99055914864</v>
      </c>
      <c r="P26" s="32">
        <f t="shared" si="16"/>
        <v>6026.794194306698</v>
      </c>
      <c r="Q26" s="32">
        <f t="shared" si="17"/>
        <v>4056.1963648419423</v>
      </c>
      <c r="R26" s="45">
        <f t="shared" si="20"/>
        <v>1442374.4102687656</v>
      </c>
      <c r="S26" s="31">
        <f t="shared" si="3"/>
        <v>-13530.164726756899</v>
      </c>
      <c r="T26" s="32">
        <f t="shared" si="4"/>
        <v>0</v>
      </c>
      <c r="U26" s="32">
        <f t="shared" si="5"/>
        <v>-17586.361091598839</v>
      </c>
      <c r="V26" s="32">
        <f t="shared" si="6"/>
        <v>2728.2648235722081</v>
      </c>
      <c r="W26" s="32">
        <f t="shared" si="7"/>
        <v>-4081.4502149164091</v>
      </c>
      <c r="X26" s="32">
        <f t="shared" si="28"/>
        <v>-3701.995659788126</v>
      </c>
      <c r="Y26" s="102">
        <f t="shared" si="21"/>
        <v>-31959.600908982913</v>
      </c>
      <c r="Z26" s="32">
        <f t="shared" si="22"/>
        <v>-33897.006846620825</v>
      </c>
      <c r="AA26" s="45">
        <f t="shared" si="23"/>
        <v>-33897.00684662089</v>
      </c>
      <c r="AB26" s="1"/>
      <c r="AC26" s="40">
        <f t="shared" si="9"/>
        <v>-7503.3705324502007</v>
      </c>
      <c r="AD26" s="40">
        <f t="shared" si="10"/>
        <v>0</v>
      </c>
      <c r="AE26" s="40">
        <f t="shared" si="11"/>
        <v>-7503.3705324502007</v>
      </c>
      <c r="AF26" s="40">
        <f t="shared" si="12"/>
        <v>2728.2648235722081</v>
      </c>
      <c r="AG26" s="40">
        <f t="shared" si="13"/>
        <v>6001.5403442322295</v>
      </c>
      <c r="AH26" s="40">
        <f t="shared" si="29"/>
        <v>5443.5740083739038</v>
      </c>
      <c r="AI26" s="106">
        <f t="shared" si="24"/>
        <v>-1353098.0276089576</v>
      </c>
      <c r="AJ26" s="40">
        <f t="shared" si="18"/>
        <v>187928.78545464925</v>
      </c>
      <c r="AK26" s="108">
        <f t="shared" si="19"/>
        <v>-1339899.5157457874</v>
      </c>
    </row>
    <row r="27" spans="2:41">
      <c r="B27" s="70" t="s">
        <v>10</v>
      </c>
      <c r="C27" s="71">
        <v>118000</v>
      </c>
      <c r="G27" s="1"/>
      <c r="I27">
        <v>11</v>
      </c>
      <c r="J27" s="26">
        <f t="shared" si="25"/>
        <v>5808.5230896000003</v>
      </c>
      <c r="K27" s="24">
        <f t="shared" si="26"/>
        <v>1967.0789377955621</v>
      </c>
      <c r="L27" s="24">
        <f t="shared" si="27"/>
        <v>16233.175700254638</v>
      </c>
      <c r="M27" s="24">
        <v>0</v>
      </c>
      <c r="N27" s="48"/>
      <c r="O27" s="32">
        <f t="shared" si="2"/>
        <v>10082.99055914864</v>
      </c>
      <c r="P27" s="32">
        <f t="shared" si="16"/>
        <v>6009.8933761198568</v>
      </c>
      <c r="Q27" s="32">
        <f t="shared" si="17"/>
        <v>4073.0971830287835</v>
      </c>
      <c r="R27" s="45">
        <f t="shared" si="20"/>
        <v>1438301.3130857369</v>
      </c>
      <c r="S27" s="31">
        <f t="shared" si="3"/>
        <v>-18401.624924570056</v>
      </c>
      <c r="T27" s="32">
        <f t="shared" si="4"/>
        <v>0</v>
      </c>
      <c r="U27" s="32">
        <f t="shared" si="5"/>
        <v>-22474.722107598842</v>
      </c>
      <c r="V27" s="32">
        <f t="shared" si="6"/>
        <v>2728.2648235722081</v>
      </c>
      <c r="W27" s="32">
        <f t="shared" si="7"/>
        <v>-8969.8112309164117</v>
      </c>
      <c r="X27" s="32">
        <f t="shared" si="28"/>
        <v>-8135.883202645271</v>
      </c>
      <c r="Y27" s="102">
        <f t="shared" si="21"/>
        <v>-40095.484111628182</v>
      </c>
      <c r="Z27" s="32">
        <f t="shared" si="22"/>
        <v>-42866.818077537238</v>
      </c>
      <c r="AA27" s="45">
        <f t="shared" si="23"/>
        <v>-42866.818077537304</v>
      </c>
      <c r="AB27" s="1"/>
      <c r="AC27" s="40">
        <f t="shared" si="9"/>
        <v>-12391.7315484502</v>
      </c>
      <c r="AD27" s="40">
        <f t="shared" si="10"/>
        <v>0</v>
      </c>
      <c r="AE27" s="40">
        <f t="shared" si="11"/>
        <v>-12391.7315484502</v>
      </c>
      <c r="AF27" s="40">
        <f t="shared" si="12"/>
        <v>2728.2648235722081</v>
      </c>
      <c r="AG27" s="40">
        <f t="shared" si="13"/>
        <v>1113.1793282322305</v>
      </c>
      <c r="AH27" s="40">
        <f t="shared" si="29"/>
        <v>1009.6864655167624</v>
      </c>
      <c r="AI27" s="106">
        <f t="shared" si="24"/>
        <v>-1352088.3411434409</v>
      </c>
      <c r="AJ27" s="40">
        <f t="shared" si="18"/>
        <v>189041.96478288146</v>
      </c>
      <c r="AK27" s="108">
        <f t="shared" si="19"/>
        <v>-1338786.3364175551</v>
      </c>
    </row>
    <row r="28" spans="2:41">
      <c r="B28" s="70" t="s">
        <v>11</v>
      </c>
      <c r="C28" s="71">
        <v>123000</v>
      </c>
      <c r="G28" s="1"/>
      <c r="I28">
        <v>12</v>
      </c>
      <c r="J28" s="26">
        <f t="shared" si="25"/>
        <v>4888.3610160000007</v>
      </c>
      <c r="K28" s="24">
        <f t="shared" si="26"/>
        <v>1967.0789377955621</v>
      </c>
      <c r="L28" s="24">
        <f t="shared" si="27"/>
        <v>16233.175700254638</v>
      </c>
      <c r="M28" s="24">
        <v>0</v>
      </c>
      <c r="N28" s="48"/>
      <c r="O28" s="32">
        <f t="shared" si="2"/>
        <v>10082.99055914864</v>
      </c>
      <c r="P28" s="32">
        <f t="shared" si="16"/>
        <v>5992.9221378572374</v>
      </c>
      <c r="Q28" s="32">
        <f t="shared" si="17"/>
        <v>4090.068421291403</v>
      </c>
      <c r="R28" s="45">
        <f t="shared" si="20"/>
        <v>1434211.2446644455</v>
      </c>
      <c r="S28" s="31">
        <f t="shared" si="3"/>
        <v>-19304.815759907437</v>
      </c>
      <c r="T28" s="32">
        <f t="shared" si="4"/>
        <v>0</v>
      </c>
      <c r="U28" s="32">
        <f t="shared" si="5"/>
        <v>-23394.884181198839</v>
      </c>
      <c r="V28" s="32">
        <f t="shared" si="6"/>
        <v>2728.2648235722081</v>
      </c>
      <c r="W28" s="32">
        <f t="shared" si="7"/>
        <v>-9889.9733045164085</v>
      </c>
      <c r="X28" s="32">
        <f t="shared" si="28"/>
        <v>-8970.4973283595536</v>
      </c>
      <c r="Y28" s="102">
        <f t="shared" si="21"/>
        <v>-49065.981439987736</v>
      </c>
      <c r="Z28" s="32">
        <f t="shared" si="22"/>
        <v>-52756.791382053649</v>
      </c>
      <c r="AA28" s="45">
        <f t="shared" si="23"/>
        <v>-52756.791382053714</v>
      </c>
      <c r="AB28" s="1"/>
      <c r="AC28" s="40">
        <f t="shared" si="9"/>
        <v>-13311.8936220502</v>
      </c>
      <c r="AD28" s="40">
        <f t="shared" si="10"/>
        <v>0</v>
      </c>
      <c r="AE28" s="40">
        <f t="shared" si="11"/>
        <v>-13311.8936220502</v>
      </c>
      <c r="AF28" s="40">
        <f t="shared" si="12"/>
        <v>2728.2648235722081</v>
      </c>
      <c r="AG28" s="40">
        <f t="shared" si="13"/>
        <v>193.01725463223011</v>
      </c>
      <c r="AH28" s="40">
        <f t="shared" si="29"/>
        <v>175.07233980247628</v>
      </c>
      <c r="AI28" s="106">
        <f t="shared" si="24"/>
        <v>-1351913.2688036384</v>
      </c>
      <c r="AJ28" s="40">
        <f t="shared" si="18"/>
        <v>189234.98203751369</v>
      </c>
      <c r="AK28" s="108">
        <f t="shared" si="19"/>
        <v>-1338593.3191629229</v>
      </c>
    </row>
    <row r="29" spans="2:41">
      <c r="B29" s="70" t="s">
        <v>12</v>
      </c>
      <c r="C29" s="71">
        <v>131000</v>
      </c>
      <c r="F29" s="132" t="s">
        <v>88</v>
      </c>
      <c r="G29" s="1">
        <f>SUM(S29:S40)</f>
        <v>-107621.22381094273</v>
      </c>
      <c r="H29">
        <v>2017</v>
      </c>
      <c r="I29">
        <v>1</v>
      </c>
      <c r="J29" s="26">
        <f t="shared" ref="J29:J40" si="30">C23*$C$40*$D$40</f>
        <v>5255.67246274224</v>
      </c>
      <c r="K29" s="24">
        <f t="shared" ref="K29:K40" si="31">$K$28*$C$8</f>
        <v>2026.0913059294289</v>
      </c>
      <c r="L29" s="24">
        <f t="shared" ref="L29:L40" si="32">(($C$5-SUM($L$5:$L$28))*0.15)/12</f>
        <v>13798.199345216446</v>
      </c>
      <c r="M29" s="24">
        <v>0</v>
      </c>
      <c r="N29" s="48"/>
      <c r="O29" s="32">
        <f t="shared" si="2"/>
        <v>10082.99055914864</v>
      </c>
      <c r="P29" s="32">
        <f t="shared" si="16"/>
        <v>5975.8801861018565</v>
      </c>
      <c r="Q29" s="32">
        <f t="shared" si="17"/>
        <v>4107.1103730467839</v>
      </c>
      <c r="R29" s="45">
        <f t="shared" si="20"/>
        <v>1430104.1342913988</v>
      </c>
      <c r="S29" s="31">
        <f t="shared" si="3"/>
        <v>-16544.498374505492</v>
      </c>
      <c r="T29" s="32">
        <f t="shared" si="4"/>
        <v>0</v>
      </c>
      <c r="U29" s="32">
        <f t="shared" si="5"/>
        <v>-20651.608747552273</v>
      </c>
      <c r="V29" s="32">
        <f t="shared" si="6"/>
        <v>2728.2648235722081</v>
      </c>
      <c r="W29" s="32">
        <f t="shared" si="7"/>
        <v>-9581.6742259080347</v>
      </c>
      <c r="X29" s="32">
        <f t="shared" ref="X29:X40" si="33">W29/(1+$C$18)^3</f>
        <v>-8277.0104532193363</v>
      </c>
      <c r="Y29" s="102">
        <f t="shared" si="21"/>
        <v>-57342.991893207072</v>
      </c>
      <c r="Z29" s="32">
        <f t="shared" si="22"/>
        <v>-62338.465607961683</v>
      </c>
      <c r="AA29" s="45">
        <f t="shared" si="23"/>
        <v>-62338.465607961749</v>
      </c>
      <c r="AB29" s="1"/>
      <c r="AC29" s="40">
        <f t="shared" si="9"/>
        <v>-10568.618188403634</v>
      </c>
      <c r="AD29" s="40">
        <f t="shared" si="10"/>
        <v>0</v>
      </c>
      <c r="AE29" s="40">
        <f t="shared" si="11"/>
        <v>-10568.618188403634</v>
      </c>
      <c r="AF29" s="40">
        <f t="shared" si="12"/>
        <v>2728.2648235722081</v>
      </c>
      <c r="AG29" s="40">
        <f t="shared" si="13"/>
        <v>501.31633324060385</v>
      </c>
      <c r="AH29" s="40">
        <f t="shared" ref="AH29:AH40" si="34">AG29/(1+$C$18)^3</f>
        <v>433.05589741116836</v>
      </c>
      <c r="AI29" s="106">
        <f t="shared" si="24"/>
        <v>-1351480.2129062272</v>
      </c>
      <c r="AJ29" s="40">
        <f t="shared" si="18"/>
        <v>189736.29837075429</v>
      </c>
      <c r="AK29" s="108">
        <f t="shared" si="19"/>
        <v>-1338092.0028296823</v>
      </c>
    </row>
    <row r="30" spans="2:41">
      <c r="B30" s="70" t="s">
        <v>13</v>
      </c>
      <c r="C30" s="71">
        <v>120000</v>
      </c>
      <c r="F30" s="17" t="s">
        <v>31</v>
      </c>
      <c r="G30">
        <v>3</v>
      </c>
      <c r="I30">
        <v>2</v>
      </c>
      <c r="J30" s="26">
        <f t="shared" si="30"/>
        <v>8043.2114485060811</v>
      </c>
      <c r="K30" s="24">
        <f t="shared" si="31"/>
        <v>2026.0913059294289</v>
      </c>
      <c r="L30" s="24">
        <f t="shared" si="32"/>
        <v>13798.199345216446</v>
      </c>
      <c r="M30" s="24">
        <v>0</v>
      </c>
      <c r="N30" s="48"/>
      <c r="O30" s="32">
        <f t="shared" si="2"/>
        <v>10082.99055914864</v>
      </c>
      <c r="P30" s="32">
        <f t="shared" si="16"/>
        <v>5958.7672262141614</v>
      </c>
      <c r="Q30" s="32">
        <f t="shared" si="17"/>
        <v>4124.223332934479</v>
      </c>
      <c r="R30" s="45">
        <f t="shared" si="20"/>
        <v>1425979.9109584643</v>
      </c>
      <c r="S30" s="31">
        <f t="shared" si="3"/>
        <v>-13739.846428853954</v>
      </c>
      <c r="T30" s="32">
        <f t="shared" si="4"/>
        <v>0</v>
      </c>
      <c r="U30" s="32">
        <f t="shared" si="5"/>
        <v>-17864.069761788436</v>
      </c>
      <c r="V30" s="32">
        <f t="shared" si="6"/>
        <v>2728.2648235722081</v>
      </c>
      <c r="W30" s="32">
        <f t="shared" si="7"/>
        <v>-6794.1352401441982</v>
      </c>
      <c r="X30" s="32">
        <f t="shared" si="33"/>
        <v>-5869.0294699442375</v>
      </c>
      <c r="Y30" s="102">
        <f t="shared" si="21"/>
        <v>-63212.021363151311</v>
      </c>
      <c r="Z30" s="32">
        <f t="shared" si="22"/>
        <v>-69132.600848105882</v>
      </c>
      <c r="AA30" s="45">
        <f t="shared" si="23"/>
        <v>-69132.60084810594</v>
      </c>
      <c r="AB30" s="1"/>
      <c r="AC30" s="40">
        <f t="shared" si="9"/>
        <v>-7781.0792026397939</v>
      </c>
      <c r="AD30" s="40">
        <f t="shared" si="10"/>
        <v>0</v>
      </c>
      <c r="AE30" s="40">
        <f t="shared" si="11"/>
        <v>-7781.0792026397939</v>
      </c>
      <c r="AF30" s="40">
        <f t="shared" si="12"/>
        <v>2728.2648235722081</v>
      </c>
      <c r="AG30" s="40">
        <f t="shared" si="13"/>
        <v>3288.855319004444</v>
      </c>
      <c r="AH30" s="40">
        <f t="shared" si="34"/>
        <v>2841.0368806862703</v>
      </c>
      <c r="AI30" s="106">
        <f t="shared" si="24"/>
        <v>-1348639.176025541</v>
      </c>
      <c r="AJ30" s="40">
        <f t="shared" si="18"/>
        <v>193025.15368975874</v>
      </c>
      <c r="AK30" s="108">
        <f t="shared" si="19"/>
        <v>-1334803.1475106778</v>
      </c>
    </row>
    <row r="31" spans="2:41">
      <c r="B31" s="70" t="s">
        <v>14</v>
      </c>
      <c r="C31" s="71">
        <v>107000</v>
      </c>
      <c r="D31" s="12"/>
      <c r="E31" s="12"/>
      <c r="F31" s="13" t="s">
        <v>30</v>
      </c>
      <c r="G31" s="16">
        <f>G19+G29</f>
        <v>-425254.95647439337</v>
      </c>
      <c r="I31">
        <v>3</v>
      </c>
      <c r="J31" s="26">
        <f t="shared" si="30"/>
        <v>14416.80319199736</v>
      </c>
      <c r="K31" s="24">
        <f t="shared" si="31"/>
        <v>2026.0913059294289</v>
      </c>
      <c r="L31" s="24">
        <f t="shared" si="32"/>
        <v>13798.199345216446</v>
      </c>
      <c r="M31" s="24">
        <v>0</v>
      </c>
      <c r="N31" s="48"/>
      <c r="O31" s="32">
        <f t="shared" si="2"/>
        <v>10082.99055914864</v>
      </c>
      <c r="P31" s="32">
        <f t="shared" si="16"/>
        <v>5941.5829623269346</v>
      </c>
      <c r="Q31" s="32">
        <f t="shared" si="17"/>
        <v>4141.4075968217057</v>
      </c>
      <c r="R31" s="45">
        <f t="shared" si="20"/>
        <v>1421838.5033616426</v>
      </c>
      <c r="S31" s="31">
        <f t="shared" si="3"/>
        <v>-7349.0704214754496</v>
      </c>
      <c r="T31" s="32">
        <f t="shared" si="4"/>
        <v>0</v>
      </c>
      <c r="U31" s="32">
        <f t="shared" si="5"/>
        <v>-11490.478018297155</v>
      </c>
      <c r="V31" s="32">
        <f t="shared" si="6"/>
        <v>2728.2648235722081</v>
      </c>
      <c r="W31" s="32">
        <f t="shared" si="7"/>
        <v>-420.54349665291738</v>
      </c>
      <c r="X31" s="32">
        <f t="shared" si="33"/>
        <v>-363.28128422668595</v>
      </c>
      <c r="Y31" s="102">
        <f t="shared" si="21"/>
        <v>-63575.302647377997</v>
      </c>
      <c r="Z31" s="32">
        <f t="shared" si="22"/>
        <v>-69553.144344758795</v>
      </c>
      <c r="AA31" s="45">
        <f t="shared" si="23"/>
        <v>-69553.144344758854</v>
      </c>
      <c r="AB31" s="1"/>
      <c r="AC31" s="40">
        <f t="shared" si="9"/>
        <v>-1407.487459148515</v>
      </c>
      <c r="AD31" s="40">
        <f t="shared" si="10"/>
        <v>0</v>
      </c>
      <c r="AE31" s="40">
        <f t="shared" si="11"/>
        <v>-1407.487459148515</v>
      </c>
      <c r="AF31" s="40">
        <f t="shared" si="12"/>
        <v>2728.2648235722081</v>
      </c>
      <c r="AG31" s="40">
        <f t="shared" si="13"/>
        <v>9662.447062495723</v>
      </c>
      <c r="AH31" s="40">
        <f t="shared" si="34"/>
        <v>8346.7850664038197</v>
      </c>
      <c r="AI31" s="106">
        <f t="shared" si="24"/>
        <v>-1340292.3909591371</v>
      </c>
      <c r="AJ31" s="40">
        <f t="shared" si="18"/>
        <v>202687.60075225445</v>
      </c>
      <c r="AK31" s="108">
        <f t="shared" si="19"/>
        <v>-1325140.7004481822</v>
      </c>
    </row>
    <row r="32" spans="2:41">
      <c r="B32" s="70" t="s">
        <v>15</v>
      </c>
      <c r="C32" s="71">
        <v>74400</v>
      </c>
      <c r="F32" s="18" t="s">
        <v>39</v>
      </c>
      <c r="G32" s="1">
        <v>0</v>
      </c>
      <c r="I32">
        <v>4</v>
      </c>
      <c r="J32" s="26">
        <f t="shared" si="30"/>
        <v>16551.0127279728</v>
      </c>
      <c r="K32" s="24">
        <f t="shared" si="31"/>
        <v>2026.0913059294289</v>
      </c>
      <c r="L32" s="24">
        <f t="shared" si="32"/>
        <v>13798.199345216446</v>
      </c>
      <c r="M32" s="24">
        <v>0</v>
      </c>
      <c r="N32" s="48"/>
      <c r="O32" s="32">
        <f t="shared" si="2"/>
        <v>10082.99055914864</v>
      </c>
      <c r="P32" s="32">
        <f t="shared" si="16"/>
        <v>5924.3270973401777</v>
      </c>
      <c r="Q32" s="32">
        <f t="shared" si="17"/>
        <v>4158.6634618084627</v>
      </c>
      <c r="R32" s="45">
        <f t="shared" si="20"/>
        <v>1417679.8398998342</v>
      </c>
      <c r="S32" s="31">
        <f t="shared" si="3"/>
        <v>-5197.6050205132524</v>
      </c>
      <c r="T32" s="32">
        <f t="shared" si="4"/>
        <v>0</v>
      </c>
      <c r="U32" s="32">
        <f t="shared" si="5"/>
        <v>-9356.2684823217151</v>
      </c>
      <c r="V32" s="32">
        <f t="shared" si="6"/>
        <v>2728.2648235722081</v>
      </c>
      <c r="W32" s="32">
        <f t="shared" si="7"/>
        <v>1713.6660393225229</v>
      </c>
      <c r="X32" s="32">
        <f t="shared" si="33"/>
        <v>1480.3291560933142</v>
      </c>
      <c r="Y32" s="102">
        <f t="shared" si="21"/>
        <v>-62094.973491284683</v>
      </c>
      <c r="Z32" s="32">
        <f t="shared" si="22"/>
        <v>-67839.478305436278</v>
      </c>
      <c r="AA32" s="45">
        <f t="shared" si="23"/>
        <v>-67839.478305436336</v>
      </c>
      <c r="AB32" s="1"/>
      <c r="AC32" s="40">
        <f t="shared" si="9"/>
        <v>726.72207682692533</v>
      </c>
      <c r="AD32" s="40">
        <f t="shared" si="10"/>
        <v>0</v>
      </c>
      <c r="AE32" s="40">
        <f t="shared" si="11"/>
        <v>726.72207682692533</v>
      </c>
      <c r="AF32" s="40">
        <f t="shared" si="12"/>
        <v>2728.2648235722081</v>
      </c>
      <c r="AG32" s="40">
        <f t="shared" si="13"/>
        <v>11796.656598471163</v>
      </c>
      <c r="AH32" s="40">
        <f t="shared" si="34"/>
        <v>10190.39550672382</v>
      </c>
      <c r="AI32" s="106">
        <f t="shared" si="24"/>
        <v>-1330101.9954524133</v>
      </c>
      <c r="AJ32" s="40">
        <f t="shared" si="18"/>
        <v>214484.25735072562</v>
      </c>
      <c r="AK32" s="108">
        <f t="shared" si="19"/>
        <v>-1313344.0438497111</v>
      </c>
    </row>
    <row r="33" spans="2:37">
      <c r="B33" s="70" t="s">
        <v>16</v>
      </c>
      <c r="C33" s="71">
        <v>40400</v>
      </c>
      <c r="F33" s="16" t="s">
        <v>90</v>
      </c>
      <c r="G33" s="129">
        <f>$C$60</f>
        <v>0</v>
      </c>
      <c r="I33">
        <v>5</v>
      </c>
      <c r="J33" s="26">
        <f t="shared" si="30"/>
        <v>17131.750016673603</v>
      </c>
      <c r="K33" s="24">
        <f t="shared" si="31"/>
        <v>2026.0913059294289</v>
      </c>
      <c r="L33" s="24">
        <f t="shared" si="32"/>
        <v>13798.199345216446</v>
      </c>
      <c r="M33" s="24">
        <v>0</v>
      </c>
      <c r="N33" s="48"/>
      <c r="O33" s="32">
        <f t="shared" si="2"/>
        <v>10082.99055914864</v>
      </c>
      <c r="P33" s="32">
        <f t="shared" si="16"/>
        <v>5906.9993329159761</v>
      </c>
      <c r="Q33" s="32">
        <f t="shared" si="17"/>
        <v>4175.9912262326643</v>
      </c>
      <c r="R33" s="45">
        <f t="shared" si="20"/>
        <v>1413503.8486736016</v>
      </c>
      <c r="S33" s="31">
        <f t="shared" si="3"/>
        <v>-4599.5399673882484</v>
      </c>
      <c r="T33" s="32">
        <f t="shared" si="4"/>
        <v>0</v>
      </c>
      <c r="U33" s="32">
        <f t="shared" si="5"/>
        <v>-8775.5311936209127</v>
      </c>
      <c r="V33" s="32">
        <f t="shared" si="6"/>
        <v>2728.2648235722081</v>
      </c>
      <c r="W33" s="32">
        <f t="shared" si="7"/>
        <v>2294.4033280233252</v>
      </c>
      <c r="X33" s="32">
        <f t="shared" si="33"/>
        <v>1981.9918609422957</v>
      </c>
      <c r="Y33" s="102">
        <f t="shared" si="21"/>
        <v>-60112.981630342387</v>
      </c>
      <c r="Z33" s="32">
        <f t="shared" si="22"/>
        <v>-65545.074977412951</v>
      </c>
      <c r="AA33" s="45">
        <f t="shared" si="23"/>
        <v>-65545.074977413009</v>
      </c>
      <c r="AB33" s="1"/>
      <c r="AC33" s="40">
        <f t="shared" si="9"/>
        <v>1307.4593655277276</v>
      </c>
      <c r="AD33" s="40">
        <f t="shared" si="10"/>
        <v>0</v>
      </c>
      <c r="AE33" s="40">
        <f t="shared" si="11"/>
        <v>1307.4593655277276</v>
      </c>
      <c r="AF33" s="40">
        <f t="shared" si="12"/>
        <v>2728.2648235722081</v>
      </c>
      <c r="AG33" s="40">
        <f t="shared" si="13"/>
        <v>12377.393887171966</v>
      </c>
      <c r="AH33" s="40">
        <f t="shared" si="34"/>
        <v>10692.058211572801</v>
      </c>
      <c r="AI33" s="106">
        <f t="shared" si="24"/>
        <v>-1319409.9372408406</v>
      </c>
      <c r="AJ33" s="40">
        <f t="shared" si="18"/>
        <v>226861.65123789757</v>
      </c>
      <c r="AK33" s="108">
        <f t="shared" si="19"/>
        <v>-1300966.6499625391</v>
      </c>
    </row>
    <row r="34" spans="2:37" ht="15" thickBot="1">
      <c r="B34" s="72" t="s">
        <v>17</v>
      </c>
      <c r="C34" s="73">
        <v>34000</v>
      </c>
      <c r="G34" s="1"/>
      <c r="I34">
        <v>6</v>
      </c>
      <c r="J34" s="26">
        <f t="shared" si="30"/>
        <v>17857.671627549604</v>
      </c>
      <c r="K34" s="24">
        <f t="shared" si="31"/>
        <v>2026.0913059294289</v>
      </c>
      <c r="L34" s="24">
        <f t="shared" si="32"/>
        <v>13798.199345216446</v>
      </c>
      <c r="M34" s="24">
        <v>0</v>
      </c>
      <c r="N34" s="48"/>
      <c r="O34" s="32">
        <f t="shared" si="2"/>
        <v>10082.99055914864</v>
      </c>
      <c r="P34" s="32">
        <f t="shared" si="16"/>
        <v>5889.5993694733397</v>
      </c>
      <c r="Q34" s="32">
        <f t="shared" si="17"/>
        <v>4193.3911896753007</v>
      </c>
      <c r="R34" s="45">
        <f t="shared" si="20"/>
        <v>1409310.4574839263</v>
      </c>
      <c r="S34" s="31">
        <f t="shared" si="3"/>
        <v>-3856.218393069611</v>
      </c>
      <c r="T34" s="32">
        <f t="shared" si="4"/>
        <v>0</v>
      </c>
      <c r="U34" s="32">
        <f t="shared" si="5"/>
        <v>-8049.6095827449117</v>
      </c>
      <c r="V34" s="32">
        <f t="shared" si="6"/>
        <v>2728.2648235722081</v>
      </c>
      <c r="W34" s="32">
        <f t="shared" si="7"/>
        <v>3020.3249388993263</v>
      </c>
      <c r="X34" s="32">
        <f t="shared" si="33"/>
        <v>2609.0702420035209</v>
      </c>
      <c r="Y34" s="102">
        <f t="shared" si="21"/>
        <v>-57503.911388338864</v>
      </c>
      <c r="Z34" s="32">
        <f t="shared" si="22"/>
        <v>-62524.750038513623</v>
      </c>
      <c r="AA34" s="45">
        <f t="shared" si="23"/>
        <v>-62524.750038513681</v>
      </c>
      <c r="AB34" s="1"/>
      <c r="AC34" s="40">
        <f t="shared" si="9"/>
        <v>2033.3809764037287</v>
      </c>
      <c r="AD34" s="40">
        <f t="shared" si="10"/>
        <v>0</v>
      </c>
      <c r="AE34" s="40">
        <f t="shared" si="11"/>
        <v>2033.3809764037287</v>
      </c>
      <c r="AF34" s="40">
        <f t="shared" si="12"/>
        <v>2728.2648235722081</v>
      </c>
      <c r="AG34" s="40">
        <f t="shared" si="13"/>
        <v>13103.315498047967</v>
      </c>
      <c r="AH34" s="40">
        <f t="shared" si="34"/>
        <v>11319.136592634028</v>
      </c>
      <c r="AI34" s="106">
        <f t="shared" si="24"/>
        <v>-1308090.8006482066</v>
      </c>
      <c r="AJ34" s="40">
        <f t="shared" si="18"/>
        <v>239964.96673594555</v>
      </c>
      <c r="AK34" s="108">
        <f t="shared" si="19"/>
        <v>-1287863.3344644911</v>
      </c>
    </row>
    <row r="35" spans="2:37">
      <c r="C35" s="1">
        <f>SUM(C23:C34)</f>
        <v>1052700</v>
      </c>
      <c r="D35" t="s">
        <v>0</v>
      </c>
      <c r="G35" s="1"/>
      <c r="I35">
        <v>7</v>
      </c>
      <c r="J35" s="26">
        <f t="shared" si="30"/>
        <v>19019.146204951201</v>
      </c>
      <c r="K35" s="24">
        <f t="shared" si="31"/>
        <v>2026.0913059294289</v>
      </c>
      <c r="L35" s="24">
        <f t="shared" si="32"/>
        <v>13798.199345216446</v>
      </c>
      <c r="M35" s="24">
        <v>0</v>
      </c>
      <c r="N35" s="48"/>
      <c r="O35" s="32">
        <f t="shared" si="2"/>
        <v>10082.99055914864</v>
      </c>
      <c r="P35" s="32">
        <f t="shared" si="16"/>
        <v>5872.1269061830262</v>
      </c>
      <c r="Q35" s="32">
        <f t="shared" si="17"/>
        <v>4210.8636529656142</v>
      </c>
      <c r="R35" s="45">
        <f t="shared" si="20"/>
        <v>1405099.5938309608</v>
      </c>
      <c r="S35" s="31">
        <f t="shared" si="3"/>
        <v>-2677.2713523777002</v>
      </c>
      <c r="T35" s="32">
        <f t="shared" si="4"/>
        <v>0</v>
      </c>
      <c r="U35" s="32">
        <f t="shared" si="5"/>
        <v>-6888.1350053433143</v>
      </c>
      <c r="V35" s="32">
        <f t="shared" si="6"/>
        <v>2728.2648235722081</v>
      </c>
      <c r="W35" s="32">
        <f t="shared" si="7"/>
        <v>4181.7995163009236</v>
      </c>
      <c r="X35" s="32">
        <f t="shared" si="33"/>
        <v>3612.3956517014776</v>
      </c>
      <c r="Y35" s="102">
        <f t="shared" si="21"/>
        <v>-53891.51573663739</v>
      </c>
      <c r="Z35" s="32">
        <f t="shared" si="22"/>
        <v>-58342.950522212697</v>
      </c>
      <c r="AA35" s="45">
        <f t="shared" si="23"/>
        <v>-58342.950522212755</v>
      </c>
      <c r="AB35" s="1"/>
      <c r="AC35" s="40">
        <f t="shared" si="9"/>
        <v>3194.8555538053261</v>
      </c>
      <c r="AD35" s="40">
        <f t="shared" si="10"/>
        <v>0</v>
      </c>
      <c r="AE35" s="40">
        <f t="shared" si="11"/>
        <v>3194.8555538053261</v>
      </c>
      <c r="AF35" s="40">
        <f t="shared" si="12"/>
        <v>2728.2648235722081</v>
      </c>
      <c r="AG35" s="40">
        <f t="shared" si="13"/>
        <v>14264.790075449564</v>
      </c>
      <c r="AH35" s="40">
        <f t="shared" si="34"/>
        <v>12322.462002331984</v>
      </c>
      <c r="AI35" s="106">
        <f t="shared" si="24"/>
        <v>-1295768.3386458745</v>
      </c>
      <c r="AJ35" s="40">
        <f t="shared" si="18"/>
        <v>254229.75681139511</v>
      </c>
      <c r="AK35" s="108">
        <f t="shared" si="19"/>
        <v>-1273598.5443890416</v>
      </c>
    </row>
    <row r="36" spans="2:37" ht="15" thickBot="1">
      <c r="B36" s="2" t="s">
        <v>87</v>
      </c>
      <c r="C36" s="2"/>
      <c r="D36" s="2"/>
      <c r="E36" s="2"/>
      <c r="F36" s="49"/>
      <c r="G36" s="1"/>
      <c r="I36">
        <v>8</v>
      </c>
      <c r="J36" s="26">
        <f t="shared" si="30"/>
        <v>17422.118661024</v>
      </c>
      <c r="K36" s="24">
        <f t="shared" si="31"/>
        <v>2026.0913059294289</v>
      </c>
      <c r="L36" s="24">
        <f t="shared" si="32"/>
        <v>13798.199345216446</v>
      </c>
      <c r="M36" s="24">
        <v>0</v>
      </c>
      <c r="N36" s="48"/>
      <c r="O36" s="32">
        <f t="shared" si="2"/>
        <v>10082.99055914864</v>
      </c>
      <c r="P36" s="32">
        <f t="shared" si="16"/>
        <v>5854.5816409623367</v>
      </c>
      <c r="Q36" s="32">
        <f t="shared" si="17"/>
        <v>4228.4089181863037</v>
      </c>
      <c r="R36" s="45">
        <f t="shared" si="20"/>
        <v>1400871.1849127745</v>
      </c>
      <c r="S36" s="31">
        <f t="shared" si="3"/>
        <v>-4256.7536310842115</v>
      </c>
      <c r="T36" s="32">
        <f t="shared" si="4"/>
        <v>0</v>
      </c>
      <c r="U36" s="32">
        <f t="shared" si="5"/>
        <v>-8485.1625492705152</v>
      </c>
      <c r="V36" s="32">
        <f t="shared" si="6"/>
        <v>2728.2648235722081</v>
      </c>
      <c r="W36" s="32">
        <f t="shared" si="7"/>
        <v>2584.7719723737227</v>
      </c>
      <c r="X36" s="32">
        <f t="shared" si="33"/>
        <v>2232.8232133667834</v>
      </c>
      <c r="Y36" s="102">
        <f t="shared" si="21"/>
        <v>-51658.692523270605</v>
      </c>
      <c r="Z36" s="32">
        <f t="shared" si="22"/>
        <v>-55758.178549838973</v>
      </c>
      <c r="AA36" s="45">
        <f t="shared" si="23"/>
        <v>-55758.178549839031</v>
      </c>
      <c r="AB36" s="1"/>
      <c r="AC36" s="40">
        <f t="shared" si="9"/>
        <v>1597.8280098781252</v>
      </c>
      <c r="AD36" s="40">
        <f t="shared" si="10"/>
        <v>0</v>
      </c>
      <c r="AE36" s="40">
        <f t="shared" si="11"/>
        <v>1597.8280098781252</v>
      </c>
      <c r="AF36" s="40">
        <f t="shared" si="12"/>
        <v>2728.2648235722081</v>
      </c>
      <c r="AG36" s="40">
        <f t="shared" si="13"/>
        <v>12667.762531522363</v>
      </c>
      <c r="AH36" s="40">
        <f t="shared" si="34"/>
        <v>10942.889563997289</v>
      </c>
      <c r="AI36" s="106">
        <f t="shared" si="24"/>
        <v>-1284825.4490818772</v>
      </c>
      <c r="AJ36" s="40">
        <f t="shared" si="18"/>
        <v>266897.51934291748</v>
      </c>
      <c r="AK36" s="108">
        <f t="shared" si="19"/>
        <v>-1260930.7818575192</v>
      </c>
    </row>
    <row r="37" spans="2:37" ht="15" thickBot="1">
      <c r="B37" s="74" t="s">
        <v>18</v>
      </c>
      <c r="C37" s="117" t="s">
        <v>19</v>
      </c>
      <c r="D37" s="75" t="s">
        <v>40</v>
      </c>
      <c r="E37" s="3"/>
      <c r="F37" s="133"/>
      <c r="G37" s="1"/>
      <c r="I37">
        <v>9</v>
      </c>
      <c r="J37" s="26">
        <f t="shared" si="30"/>
        <v>15534.722472746402</v>
      </c>
      <c r="K37" s="24">
        <f t="shared" si="31"/>
        <v>2026.0913059294289</v>
      </c>
      <c r="L37" s="24">
        <f t="shared" si="32"/>
        <v>13798.199345216446</v>
      </c>
      <c r="M37" s="24">
        <v>0</v>
      </c>
      <c r="N37" s="48"/>
      <c r="O37" s="32">
        <f t="shared" si="2"/>
        <v>10082.99055914864</v>
      </c>
      <c r="P37" s="32">
        <f t="shared" si="16"/>
        <v>5836.9632704698934</v>
      </c>
      <c r="Q37" s="32">
        <f t="shared" si="17"/>
        <v>4246.027288678747</v>
      </c>
      <c r="R37" s="45">
        <f t="shared" si="20"/>
        <v>1396625.1576240957</v>
      </c>
      <c r="S37" s="31">
        <f t="shared" si="3"/>
        <v>-6126.5314488693666</v>
      </c>
      <c r="T37" s="32">
        <f t="shared" ref="T37:T68" si="35">S37*$C$60</f>
        <v>0</v>
      </c>
      <c r="U37" s="32">
        <f t="shared" si="5"/>
        <v>-10372.558737548114</v>
      </c>
      <c r="V37" s="32">
        <f t="shared" ref="V37:V68" si="36">$C$9/120</f>
        <v>2728.2648235722081</v>
      </c>
      <c r="W37" s="32">
        <f t="shared" si="7"/>
        <v>697.37578409612433</v>
      </c>
      <c r="X37" s="32">
        <f t="shared" si="33"/>
        <v>602.41942260760118</v>
      </c>
      <c r="Y37" s="102">
        <f t="shared" si="21"/>
        <v>-51056.273100663006</v>
      </c>
      <c r="Z37" s="32">
        <f t="shared" si="22"/>
        <v>-55060.802765742847</v>
      </c>
      <c r="AA37" s="45">
        <f t="shared" si="23"/>
        <v>-55060.802765742905</v>
      </c>
      <c r="AB37" s="1"/>
      <c r="AC37" s="40">
        <f t="shared" si="9"/>
        <v>-289.56817839947325</v>
      </c>
      <c r="AD37" s="40">
        <f t="shared" ref="AD37:AD68" si="37">AC37*$C$60</f>
        <v>0</v>
      </c>
      <c r="AE37" s="40">
        <f t="shared" si="11"/>
        <v>-289.56817839947325</v>
      </c>
      <c r="AF37" s="40">
        <f t="shared" si="12"/>
        <v>2728.2648235722081</v>
      </c>
      <c r="AG37" s="40">
        <f t="shared" si="13"/>
        <v>10780.366343244765</v>
      </c>
      <c r="AH37" s="40">
        <f t="shared" si="34"/>
        <v>9312.485773238106</v>
      </c>
      <c r="AI37" s="106">
        <f t="shared" si="24"/>
        <v>-1275512.9633086391</v>
      </c>
      <c r="AJ37" s="40">
        <f t="shared" si="18"/>
        <v>277677.88568616228</v>
      </c>
      <c r="AK37" s="108">
        <f t="shared" si="19"/>
        <v>-1250150.4155142745</v>
      </c>
    </row>
    <row r="38" spans="2:37">
      <c r="B38" s="76">
        <v>2015</v>
      </c>
      <c r="C38" s="77">
        <v>1</v>
      </c>
      <c r="D38" s="78">
        <v>0.14238000000000001</v>
      </c>
      <c r="E38" s="14"/>
      <c r="F38" s="134"/>
      <c r="G38" s="1"/>
      <c r="I38">
        <v>10</v>
      </c>
      <c r="J38" s="26">
        <f t="shared" si="30"/>
        <v>10801.713569834881</v>
      </c>
      <c r="K38" s="24">
        <f t="shared" si="31"/>
        <v>2026.0913059294289</v>
      </c>
      <c r="L38" s="24">
        <f t="shared" si="32"/>
        <v>13798.199345216446</v>
      </c>
      <c r="M38" s="24">
        <v>0</v>
      </c>
      <c r="N38" s="48"/>
      <c r="O38" s="32">
        <f t="shared" si="2"/>
        <v>10082.99055914864</v>
      </c>
      <c r="P38" s="32">
        <f t="shared" si="16"/>
        <v>5819.2714901003983</v>
      </c>
      <c r="Q38" s="32">
        <f t="shared" si="17"/>
        <v>4263.7190690482421</v>
      </c>
      <c r="R38" s="45">
        <f t="shared" si="20"/>
        <v>1392361.4385550474</v>
      </c>
      <c r="S38" s="31">
        <f t="shared" si="3"/>
        <v>-10841.848571411392</v>
      </c>
      <c r="T38" s="32">
        <f t="shared" si="35"/>
        <v>0</v>
      </c>
      <c r="U38" s="32">
        <f t="shared" si="5"/>
        <v>-15105.567640459634</v>
      </c>
      <c r="V38" s="32">
        <f t="shared" si="36"/>
        <v>2728.2648235722081</v>
      </c>
      <c r="W38" s="32">
        <f t="shared" si="7"/>
        <v>-4035.6331188153963</v>
      </c>
      <c r="X38" s="32">
        <f t="shared" si="33"/>
        <v>-3486.1316219115824</v>
      </c>
      <c r="Y38" s="102">
        <f t="shared" si="21"/>
        <v>-54542.404722574589</v>
      </c>
      <c r="Z38" s="32">
        <f t="shared" si="22"/>
        <v>-59096.435884558246</v>
      </c>
      <c r="AA38" s="45">
        <f t="shared" si="23"/>
        <v>-59096.435884558305</v>
      </c>
      <c r="AB38" s="1"/>
      <c r="AC38" s="40">
        <f t="shared" si="9"/>
        <v>-5022.5770813109939</v>
      </c>
      <c r="AD38" s="40">
        <f t="shared" si="37"/>
        <v>0</v>
      </c>
      <c r="AE38" s="40">
        <f t="shared" si="11"/>
        <v>-5022.5770813109939</v>
      </c>
      <c r="AF38" s="40">
        <f t="shared" si="12"/>
        <v>2728.2648235722081</v>
      </c>
      <c r="AG38" s="40">
        <f t="shared" si="13"/>
        <v>6047.3574403332441</v>
      </c>
      <c r="AH38" s="40">
        <f t="shared" si="34"/>
        <v>5223.934728718923</v>
      </c>
      <c r="AI38" s="106">
        <f t="shared" si="24"/>
        <v>-1270289.0285799203</v>
      </c>
      <c r="AJ38" s="40">
        <f t="shared" si="18"/>
        <v>283725.24312649551</v>
      </c>
      <c r="AK38" s="108">
        <f t="shared" si="19"/>
        <v>-1244103.0580739412</v>
      </c>
    </row>
    <row r="39" spans="2:37">
      <c r="B39" s="79">
        <v>2016</v>
      </c>
      <c r="C39" s="80">
        <f>C38-C38/100</f>
        <v>0.99</v>
      </c>
      <c r="D39" s="81">
        <f t="shared" ref="D39:D57" si="38">D38+D38*$C$17</f>
        <v>0.14522760000000001</v>
      </c>
      <c r="E39" s="14"/>
      <c r="F39" s="134"/>
      <c r="G39" s="1"/>
      <c r="I39">
        <v>11</v>
      </c>
      <c r="J39" s="26">
        <f t="shared" si="30"/>
        <v>5865.4466158780806</v>
      </c>
      <c r="K39" s="24">
        <f t="shared" si="31"/>
        <v>2026.0913059294289</v>
      </c>
      <c r="L39" s="24">
        <f t="shared" si="32"/>
        <v>13798.199345216446</v>
      </c>
      <c r="M39" s="24">
        <v>0</v>
      </c>
      <c r="N39" s="48"/>
      <c r="O39" s="32">
        <f t="shared" si="2"/>
        <v>10082.99055914864</v>
      </c>
      <c r="P39" s="32">
        <f t="shared" si="16"/>
        <v>5801.5059939793637</v>
      </c>
      <c r="Q39" s="32">
        <f t="shared" si="17"/>
        <v>4281.4845651692767</v>
      </c>
      <c r="R39" s="45">
        <f t="shared" si="20"/>
        <v>1388079.9539898781</v>
      </c>
      <c r="S39" s="31">
        <f t="shared" si="3"/>
        <v>-15760.350029247158</v>
      </c>
      <c r="T39" s="32">
        <f t="shared" si="35"/>
        <v>0</v>
      </c>
      <c r="U39" s="32">
        <f t="shared" si="5"/>
        <v>-20041.834594416432</v>
      </c>
      <c r="V39" s="32">
        <f t="shared" si="36"/>
        <v>2728.2648235722081</v>
      </c>
      <c r="W39" s="32">
        <f t="shared" si="7"/>
        <v>-8971.9000727721941</v>
      </c>
      <c r="X39" s="32">
        <f t="shared" si="33"/>
        <v>-7750.2646131279071</v>
      </c>
      <c r="Y39" s="102">
        <f t="shared" si="21"/>
        <v>-62292.669335702492</v>
      </c>
      <c r="Z39" s="32">
        <f t="shared" si="22"/>
        <v>-68068.335957330448</v>
      </c>
      <c r="AA39" s="45">
        <f t="shared" si="23"/>
        <v>-68068.335957330506</v>
      </c>
      <c r="AB39" s="1"/>
      <c r="AC39" s="40">
        <f t="shared" si="9"/>
        <v>-9958.8440352677935</v>
      </c>
      <c r="AD39" s="40">
        <f t="shared" si="37"/>
        <v>0</v>
      </c>
      <c r="AE39" s="40">
        <f t="shared" si="11"/>
        <v>-9958.8440352677935</v>
      </c>
      <c r="AF39" s="40">
        <f t="shared" si="12"/>
        <v>2728.2648235722081</v>
      </c>
      <c r="AG39" s="40">
        <f t="shared" si="13"/>
        <v>1111.0904863764445</v>
      </c>
      <c r="AH39" s="40">
        <f t="shared" si="34"/>
        <v>959.80173750259746</v>
      </c>
      <c r="AI39" s="106">
        <f t="shared" si="24"/>
        <v>-1269329.2268424176</v>
      </c>
      <c r="AJ39" s="40">
        <f t="shared" si="18"/>
        <v>284836.33361287194</v>
      </c>
      <c r="AK39" s="108">
        <f t="shared" si="19"/>
        <v>-1242991.9675875646</v>
      </c>
    </row>
    <row r="40" spans="2:37">
      <c r="B40" s="82">
        <v>2017</v>
      </c>
      <c r="C40" s="80">
        <f t="shared" ref="C40:C57" si="39">C39-C39/100</f>
        <v>0.98009999999999997</v>
      </c>
      <c r="D40" s="81">
        <f t="shared" si="38"/>
        <v>0.14813215200000002</v>
      </c>
      <c r="E40" s="14"/>
      <c r="F40" s="134"/>
      <c r="G40" s="1"/>
      <c r="I40">
        <v>12</v>
      </c>
      <c r="J40" s="26">
        <f t="shared" si="30"/>
        <v>4936.2669539568005</v>
      </c>
      <c r="K40" s="24">
        <f t="shared" si="31"/>
        <v>2026.0913059294289</v>
      </c>
      <c r="L40" s="24">
        <f t="shared" si="32"/>
        <v>13798.199345216446</v>
      </c>
      <c r="M40" s="24">
        <v>0</v>
      </c>
      <c r="N40" s="48"/>
      <c r="O40" s="32">
        <f t="shared" si="2"/>
        <v>10082.99055914864</v>
      </c>
      <c r="P40" s="32">
        <f t="shared" si="16"/>
        <v>5783.6664749578249</v>
      </c>
      <c r="Q40" s="32">
        <f t="shared" si="17"/>
        <v>4299.3240841908155</v>
      </c>
      <c r="R40" s="45">
        <f t="shared" si="20"/>
        <v>1383780.6299056872</v>
      </c>
      <c r="S40" s="31">
        <f t="shared" si="3"/>
        <v>-16671.690172146897</v>
      </c>
      <c r="T40" s="32">
        <f t="shared" si="35"/>
        <v>0</v>
      </c>
      <c r="U40" s="32">
        <f t="shared" si="5"/>
        <v>-20971.014256337716</v>
      </c>
      <c r="V40" s="32">
        <f t="shared" si="36"/>
        <v>2728.2648235722081</v>
      </c>
      <c r="W40" s="32">
        <f t="shared" si="7"/>
        <v>-9901.0797346934778</v>
      </c>
      <c r="X40" s="32">
        <f t="shared" si="33"/>
        <v>-8552.9249408862779</v>
      </c>
      <c r="Y40" s="102">
        <f t="shared" si="21"/>
        <v>-70845.594276588774</v>
      </c>
      <c r="Z40" s="32">
        <f t="shared" si="22"/>
        <v>-77969.415692023933</v>
      </c>
      <c r="AA40" s="45">
        <f t="shared" si="23"/>
        <v>-77969.415692023991</v>
      </c>
      <c r="AB40" s="1"/>
      <c r="AC40" s="40">
        <f t="shared" si="9"/>
        <v>-10888.023697189074</v>
      </c>
      <c r="AD40" s="40">
        <f t="shared" si="37"/>
        <v>0</v>
      </c>
      <c r="AE40" s="40">
        <f t="shared" si="11"/>
        <v>-10888.023697189074</v>
      </c>
      <c r="AF40" s="40">
        <f t="shared" si="12"/>
        <v>2728.2648235722081</v>
      </c>
      <c r="AG40" s="40">
        <f t="shared" si="13"/>
        <v>181.9108244551644</v>
      </c>
      <c r="AH40" s="40">
        <f t="shared" si="34"/>
        <v>157.14140974423012</v>
      </c>
      <c r="AI40" s="106">
        <f t="shared" si="24"/>
        <v>-1269172.0854326733</v>
      </c>
      <c r="AJ40" s="40">
        <f t="shared" si="18"/>
        <v>285018.24443732708</v>
      </c>
      <c r="AK40" s="108">
        <f t="shared" si="19"/>
        <v>-1242810.0567631095</v>
      </c>
    </row>
    <row r="41" spans="2:37">
      <c r="B41" s="79">
        <v>2018</v>
      </c>
      <c r="C41" s="80">
        <f t="shared" si="39"/>
        <v>0.97029900000000002</v>
      </c>
      <c r="D41" s="81">
        <f t="shared" si="38"/>
        <v>0.15109479504000001</v>
      </c>
      <c r="E41" s="14"/>
      <c r="F41" s="132" t="s">
        <v>88</v>
      </c>
      <c r="G41" s="1">
        <f>SUM(S41:S52)</f>
        <v>-79435.943644939558</v>
      </c>
      <c r="H41">
        <v>2018</v>
      </c>
      <c r="I41">
        <v>1</v>
      </c>
      <c r="J41" s="26">
        <f t="shared" ref="J41:J52" si="40">C23*$C$41*$D$41</f>
        <v>5307.1780528771142</v>
      </c>
      <c r="K41" s="24">
        <f t="shared" ref="K41:K52" si="41">$K$40*$C$8</f>
        <v>2086.8740451073118</v>
      </c>
      <c r="L41" s="24">
        <f t="shared" ref="L41:L52" si="42">(($C$5-SUM($L$5:$L$40))*0.15)/12</f>
        <v>11728.469443433982</v>
      </c>
      <c r="M41" s="24">
        <v>0</v>
      </c>
      <c r="N41" s="48"/>
      <c r="O41" s="32">
        <f t="shared" si="2"/>
        <v>10082.99055914864</v>
      </c>
      <c r="P41" s="32">
        <f t="shared" si="16"/>
        <v>5765.7526246070302</v>
      </c>
      <c r="Q41" s="32">
        <f t="shared" si="17"/>
        <v>4317.2379345416102</v>
      </c>
      <c r="R41" s="45">
        <f t="shared" si="20"/>
        <v>1379463.3919711455</v>
      </c>
      <c r="S41" s="31">
        <f t="shared" si="3"/>
        <v>-14273.918060271209</v>
      </c>
      <c r="T41" s="32">
        <f t="shared" si="35"/>
        <v>0</v>
      </c>
      <c r="U41" s="32">
        <f t="shared" si="5"/>
        <v>-18591.15599481282</v>
      </c>
      <c r="V41" s="32">
        <f t="shared" si="36"/>
        <v>2728.2648235722081</v>
      </c>
      <c r="W41" s="32">
        <f t="shared" si="7"/>
        <v>-9590.9513749510461</v>
      </c>
      <c r="X41" s="32">
        <f t="shared" ref="X41:X52" si="43">W41/(1+$C$18)^4</f>
        <v>-7890.4994317808287</v>
      </c>
      <c r="Y41" s="102">
        <f t="shared" si="21"/>
        <v>-78736.093708369604</v>
      </c>
      <c r="Z41" s="32">
        <f t="shared" si="22"/>
        <v>-87560.367066974984</v>
      </c>
      <c r="AA41" s="45">
        <f t="shared" si="23"/>
        <v>-87560.367066975043</v>
      </c>
      <c r="AB41" s="1"/>
      <c r="AC41" s="40">
        <f t="shared" si="9"/>
        <v>-8508.1654356641793</v>
      </c>
      <c r="AD41" s="40">
        <f t="shared" si="37"/>
        <v>0</v>
      </c>
      <c r="AE41" s="40">
        <f t="shared" si="11"/>
        <v>-8508.1654356641793</v>
      </c>
      <c r="AF41" s="40">
        <f t="shared" si="12"/>
        <v>2728.2648235722081</v>
      </c>
      <c r="AG41" s="40">
        <f t="shared" si="13"/>
        <v>492.0391841975943</v>
      </c>
      <c r="AH41" s="40">
        <f t="shared" ref="AH41:AH52" si="44">AG41/(1+$C$18)^4</f>
        <v>404.80185453393949</v>
      </c>
      <c r="AI41" s="106">
        <f t="shared" si="24"/>
        <v>-1268767.2835781395</v>
      </c>
      <c r="AJ41" s="40">
        <f t="shared" si="18"/>
        <v>285510.28362152469</v>
      </c>
      <c r="AK41" s="108">
        <f t="shared" si="19"/>
        <v>-1242318.017578912</v>
      </c>
    </row>
    <row r="42" spans="2:37">
      <c r="B42" s="82">
        <v>2019</v>
      </c>
      <c r="C42" s="80">
        <f t="shared" si="39"/>
        <v>0.96059601000000006</v>
      </c>
      <c r="D42" s="81">
        <f t="shared" si="38"/>
        <v>0.15411669094079999</v>
      </c>
      <c r="E42" s="14"/>
      <c r="F42" s="17" t="s">
        <v>31</v>
      </c>
      <c r="G42">
        <v>4</v>
      </c>
      <c r="I42">
        <v>2</v>
      </c>
      <c r="J42" s="26">
        <f t="shared" si="40"/>
        <v>8122.0349207014397</v>
      </c>
      <c r="K42" s="24">
        <f t="shared" si="41"/>
        <v>2086.8740451073118</v>
      </c>
      <c r="L42" s="24">
        <f t="shared" si="42"/>
        <v>11728.469443433982</v>
      </c>
      <c r="M42" s="24">
        <v>0</v>
      </c>
      <c r="N42" s="48"/>
      <c r="O42" s="32">
        <f t="shared" si="2"/>
        <v>10082.99055914864</v>
      </c>
      <c r="P42" s="32">
        <f t="shared" si="16"/>
        <v>5747.7641332131061</v>
      </c>
      <c r="Q42" s="32">
        <f t="shared" si="17"/>
        <v>4335.2264259355343</v>
      </c>
      <c r="R42" s="45">
        <f t="shared" si="20"/>
        <v>1375128.16554521</v>
      </c>
      <c r="S42" s="31">
        <f t="shared" si="3"/>
        <v>-11441.072701052959</v>
      </c>
      <c r="T42" s="32">
        <f t="shared" si="35"/>
        <v>0</v>
      </c>
      <c r="U42" s="32">
        <f t="shared" si="5"/>
        <v>-15776.299126988495</v>
      </c>
      <c r="V42" s="32">
        <f t="shared" si="36"/>
        <v>2728.2648235722081</v>
      </c>
      <c r="W42" s="32">
        <f t="shared" si="7"/>
        <v>-6776.0945071267215</v>
      </c>
      <c r="X42" s="32">
        <f t="shared" si="43"/>
        <v>-5574.709720436832</v>
      </c>
      <c r="Y42" s="102">
        <f t="shared" si="21"/>
        <v>-84310.803428806437</v>
      </c>
      <c r="Z42" s="32">
        <f t="shared" si="22"/>
        <v>-94336.461574101704</v>
      </c>
      <c r="AA42" s="45">
        <f t="shared" si="23"/>
        <v>-94336.461574101762</v>
      </c>
      <c r="AB42" s="1"/>
      <c r="AC42" s="40">
        <f t="shared" si="9"/>
        <v>-5693.3085678398538</v>
      </c>
      <c r="AD42" s="40">
        <f t="shared" si="37"/>
        <v>0</v>
      </c>
      <c r="AE42" s="40">
        <f t="shared" si="11"/>
        <v>-5693.3085678398538</v>
      </c>
      <c r="AF42" s="40">
        <f t="shared" si="12"/>
        <v>2728.2648235722081</v>
      </c>
      <c r="AG42" s="40">
        <f t="shared" si="13"/>
        <v>3306.8960520219207</v>
      </c>
      <c r="AH42" s="40">
        <f t="shared" si="44"/>
        <v>2720.5915658779381</v>
      </c>
      <c r="AI42" s="106">
        <f t="shared" si="24"/>
        <v>-1266046.6920122616</v>
      </c>
      <c r="AJ42" s="40">
        <f t="shared" si="18"/>
        <v>288817.17967354663</v>
      </c>
      <c r="AK42" s="108">
        <f t="shared" si="19"/>
        <v>-1239011.12152689</v>
      </c>
    </row>
    <row r="43" spans="2:37">
      <c r="B43" s="79">
        <v>2020</v>
      </c>
      <c r="C43" s="80">
        <f t="shared" si="39"/>
        <v>0.95099004990000002</v>
      </c>
      <c r="D43" s="81">
        <f t="shared" si="38"/>
        <v>0.157199024759616</v>
      </c>
      <c r="E43" s="14"/>
      <c r="F43" s="13" t="s">
        <v>30</v>
      </c>
      <c r="G43" s="1">
        <f>G31+G41</f>
        <v>-504690.90011933295</v>
      </c>
      <c r="I43">
        <v>3</v>
      </c>
      <c r="J43" s="26">
        <f t="shared" si="40"/>
        <v>14558.087863278935</v>
      </c>
      <c r="K43" s="24">
        <f t="shared" si="41"/>
        <v>2086.8740451073118</v>
      </c>
      <c r="L43" s="24">
        <f t="shared" si="42"/>
        <v>11728.469443433982</v>
      </c>
      <c r="M43" s="24">
        <v>0</v>
      </c>
      <c r="N43" s="48"/>
      <c r="O43" s="32">
        <f t="shared" si="2"/>
        <v>10082.99055914864</v>
      </c>
      <c r="P43" s="32">
        <f t="shared" si="16"/>
        <v>5729.7006897717083</v>
      </c>
      <c r="Q43" s="32">
        <f t="shared" si="17"/>
        <v>4353.2898693769321</v>
      </c>
      <c r="R43" s="45">
        <f t="shared" si="20"/>
        <v>1370774.8756758331</v>
      </c>
      <c r="S43" s="31">
        <f t="shared" si="3"/>
        <v>-4986.9563150340664</v>
      </c>
      <c r="T43" s="32">
        <f t="shared" si="35"/>
        <v>0</v>
      </c>
      <c r="U43" s="32">
        <f t="shared" si="5"/>
        <v>-9340.2461844109985</v>
      </c>
      <c r="V43" s="32">
        <f t="shared" si="36"/>
        <v>2728.2648235722081</v>
      </c>
      <c r="W43" s="32">
        <f t="shared" si="7"/>
        <v>-340.04156454922486</v>
      </c>
      <c r="X43" s="32">
        <f t="shared" si="43"/>
        <v>-279.75303668675076</v>
      </c>
      <c r="Y43" s="102">
        <f t="shared" si="21"/>
        <v>-84590.556465493195</v>
      </c>
      <c r="Z43" s="32">
        <f t="shared" si="22"/>
        <v>-94676.503138650936</v>
      </c>
      <c r="AA43" s="45">
        <f t="shared" si="23"/>
        <v>-94676.503138650995</v>
      </c>
      <c r="AB43" s="1"/>
      <c r="AC43" s="40">
        <f t="shared" si="9"/>
        <v>742.74437473764192</v>
      </c>
      <c r="AD43" s="40">
        <f t="shared" si="37"/>
        <v>0</v>
      </c>
      <c r="AE43" s="40">
        <f t="shared" si="11"/>
        <v>742.74437473764192</v>
      </c>
      <c r="AF43" s="40">
        <f t="shared" si="12"/>
        <v>2728.2648235722081</v>
      </c>
      <c r="AG43" s="40">
        <f t="shared" si="13"/>
        <v>9742.9489945994155</v>
      </c>
      <c r="AH43" s="40">
        <f t="shared" si="44"/>
        <v>8015.5482496280174</v>
      </c>
      <c r="AI43" s="106">
        <f t="shared" si="24"/>
        <v>-1258031.1437626337</v>
      </c>
      <c r="AJ43" s="40">
        <f t="shared" si="18"/>
        <v>298560.12866814603</v>
      </c>
      <c r="AK43" s="108">
        <f t="shared" si="19"/>
        <v>-1229268.1725322905</v>
      </c>
    </row>
    <row r="44" spans="2:37">
      <c r="B44" s="82">
        <v>2021</v>
      </c>
      <c r="C44" s="80">
        <f t="shared" si="39"/>
        <v>0.941480149401</v>
      </c>
      <c r="D44" s="81">
        <f t="shared" si="38"/>
        <v>0.16034300525480832</v>
      </c>
      <c r="E44" s="14"/>
      <c r="F44" s="18" t="s">
        <v>39</v>
      </c>
      <c r="G44" s="1">
        <v>0</v>
      </c>
      <c r="I44">
        <v>4</v>
      </c>
      <c r="J44" s="26">
        <f t="shared" si="40"/>
        <v>16713.212652706934</v>
      </c>
      <c r="K44" s="24">
        <f t="shared" si="41"/>
        <v>2086.8740451073118</v>
      </c>
      <c r="L44" s="24">
        <f t="shared" si="42"/>
        <v>11728.469443433982</v>
      </c>
      <c r="M44" s="24">
        <v>0</v>
      </c>
      <c r="N44" s="48"/>
      <c r="O44" s="32">
        <f t="shared" si="2"/>
        <v>10082.99055914864</v>
      </c>
      <c r="P44" s="32">
        <f t="shared" si="16"/>
        <v>5711.5619819826379</v>
      </c>
      <c r="Q44" s="32">
        <f t="shared" si="17"/>
        <v>4371.4285771660025</v>
      </c>
      <c r="R44" s="45">
        <f t="shared" si="20"/>
        <v>1366403.447098667</v>
      </c>
      <c r="S44" s="31">
        <f t="shared" si="3"/>
        <v>-2813.6928178169974</v>
      </c>
      <c r="T44" s="32">
        <f t="shared" si="35"/>
        <v>0</v>
      </c>
      <c r="U44" s="32">
        <f t="shared" si="5"/>
        <v>-7185.1213949829998</v>
      </c>
      <c r="V44" s="32">
        <f t="shared" si="36"/>
        <v>2728.2648235722081</v>
      </c>
      <c r="W44" s="32">
        <f t="shared" si="7"/>
        <v>1815.0832248787738</v>
      </c>
      <c r="X44" s="32">
        <f t="shared" si="43"/>
        <v>1493.2734610609973</v>
      </c>
      <c r="Y44" s="102">
        <f t="shared" si="21"/>
        <v>-83097.283004432204</v>
      </c>
      <c r="Z44" s="32">
        <f t="shared" si="22"/>
        <v>-92861.419913772159</v>
      </c>
      <c r="AA44" s="45">
        <f t="shared" si="23"/>
        <v>-92861.419913772217</v>
      </c>
      <c r="AB44" s="1"/>
      <c r="AC44" s="40">
        <f t="shared" si="9"/>
        <v>2897.8691641656405</v>
      </c>
      <c r="AD44" s="40">
        <f t="shared" si="37"/>
        <v>0</v>
      </c>
      <c r="AE44" s="40">
        <f t="shared" si="11"/>
        <v>2897.8691641656405</v>
      </c>
      <c r="AF44" s="40">
        <f t="shared" si="12"/>
        <v>2728.2648235722081</v>
      </c>
      <c r="AG44" s="40">
        <f t="shared" si="13"/>
        <v>11898.073784027414</v>
      </c>
      <c r="AH44" s="40">
        <f t="shared" si="44"/>
        <v>9788.5747473757656</v>
      </c>
      <c r="AI44" s="106">
        <f t="shared" si="24"/>
        <v>-1248242.569015258</v>
      </c>
      <c r="AJ44" s="40">
        <f t="shared" si="18"/>
        <v>310458.20245217346</v>
      </c>
      <c r="AK44" s="108">
        <f t="shared" si="19"/>
        <v>-1217370.098748263</v>
      </c>
    </row>
    <row r="45" spans="2:37">
      <c r="B45" s="79">
        <v>2022</v>
      </c>
      <c r="C45" s="80">
        <f t="shared" si="39"/>
        <v>0.93206534790699003</v>
      </c>
      <c r="D45" s="81">
        <f t="shared" si="38"/>
        <v>0.16354986535990448</v>
      </c>
      <c r="E45" s="14"/>
      <c r="F45" s="16" t="s">
        <v>90</v>
      </c>
      <c r="G45" s="129">
        <f>$C$60</f>
        <v>0</v>
      </c>
      <c r="I45">
        <v>5</v>
      </c>
      <c r="J45" s="26">
        <f t="shared" si="40"/>
        <v>17299.641166837002</v>
      </c>
      <c r="K45" s="24">
        <f t="shared" si="41"/>
        <v>2086.8740451073118</v>
      </c>
      <c r="L45" s="24">
        <f t="shared" si="42"/>
        <v>11728.469443433982</v>
      </c>
      <c r="M45" s="24">
        <v>0</v>
      </c>
      <c r="N45" s="48"/>
      <c r="O45" s="32">
        <f t="shared" si="2"/>
        <v>10082.99055914864</v>
      </c>
      <c r="P45" s="32">
        <f t="shared" si="16"/>
        <v>5693.3476962444456</v>
      </c>
      <c r="Q45" s="32">
        <f t="shared" si="17"/>
        <v>4389.6428629041948</v>
      </c>
      <c r="R45" s="45">
        <f t="shared" si="20"/>
        <v>1362013.8042357629</v>
      </c>
      <c r="S45" s="31">
        <f t="shared" si="3"/>
        <v>-2209.0500179487371</v>
      </c>
      <c r="T45" s="32">
        <f t="shared" si="35"/>
        <v>0</v>
      </c>
      <c r="U45" s="32">
        <f t="shared" si="5"/>
        <v>-6598.6928808529319</v>
      </c>
      <c r="V45" s="32">
        <f t="shared" si="36"/>
        <v>2728.2648235722081</v>
      </c>
      <c r="W45" s="32">
        <f t="shared" si="7"/>
        <v>2401.5117390088417</v>
      </c>
      <c r="X45" s="32">
        <f t="shared" si="43"/>
        <v>1975.7296509243301</v>
      </c>
      <c r="Y45" s="102">
        <f t="shared" si="21"/>
        <v>-81121.553353507872</v>
      </c>
      <c r="Z45" s="32">
        <f t="shared" si="22"/>
        <v>-90459.908174763317</v>
      </c>
      <c r="AA45" s="45">
        <f t="shared" si="23"/>
        <v>-90459.908174763375</v>
      </c>
      <c r="AB45" s="1"/>
      <c r="AC45" s="40">
        <f t="shared" si="9"/>
        <v>3484.2976782957085</v>
      </c>
      <c r="AD45" s="40">
        <f t="shared" si="37"/>
        <v>0</v>
      </c>
      <c r="AE45" s="40">
        <f t="shared" si="11"/>
        <v>3484.2976782957085</v>
      </c>
      <c r="AF45" s="40">
        <f t="shared" si="12"/>
        <v>2728.2648235722081</v>
      </c>
      <c r="AG45" s="40">
        <f t="shared" si="13"/>
        <v>12484.502298157482</v>
      </c>
      <c r="AH45" s="40">
        <f t="shared" si="44"/>
        <v>10271.030937239098</v>
      </c>
      <c r="AI45" s="106">
        <f t="shared" si="24"/>
        <v>-1237971.5380780189</v>
      </c>
      <c r="AJ45" s="40">
        <f t="shared" si="18"/>
        <v>322942.70475033094</v>
      </c>
      <c r="AK45" s="108">
        <f t="shared" si="19"/>
        <v>-1204885.5964501055</v>
      </c>
    </row>
    <row r="46" spans="2:37">
      <c r="B46" s="82">
        <v>2023</v>
      </c>
      <c r="C46" s="80">
        <f t="shared" si="39"/>
        <v>0.92274469442792018</v>
      </c>
      <c r="D46" s="81">
        <f t="shared" si="38"/>
        <v>0.16682086266710258</v>
      </c>
      <c r="E46" s="14"/>
      <c r="F46" s="134"/>
      <c r="G46" s="1"/>
      <c r="I46">
        <v>6</v>
      </c>
      <c r="J46" s="26">
        <f t="shared" si="40"/>
        <v>18032.676809499586</v>
      </c>
      <c r="K46" s="24">
        <f t="shared" si="41"/>
        <v>2086.8740451073118</v>
      </c>
      <c r="L46" s="24">
        <f t="shared" si="42"/>
        <v>11728.469443433982</v>
      </c>
      <c r="M46" s="24">
        <v>0</v>
      </c>
      <c r="N46" s="48"/>
      <c r="O46" s="32">
        <f t="shared" si="2"/>
        <v>10082.99055914864</v>
      </c>
      <c r="P46" s="32">
        <f t="shared" si="16"/>
        <v>5675.057517649012</v>
      </c>
      <c r="Q46" s="32">
        <f t="shared" si="17"/>
        <v>4407.9330414996284</v>
      </c>
      <c r="R46" s="45">
        <f t="shared" si="20"/>
        <v>1357605.8711942632</v>
      </c>
      <c r="S46" s="31">
        <f t="shared" si="3"/>
        <v>-1457.7241966907195</v>
      </c>
      <c r="T46" s="32">
        <f t="shared" si="35"/>
        <v>0</v>
      </c>
      <c r="U46" s="32">
        <f t="shared" si="5"/>
        <v>-5865.6572381903479</v>
      </c>
      <c r="V46" s="32">
        <f t="shared" si="36"/>
        <v>2728.2648235722081</v>
      </c>
      <c r="W46" s="32">
        <f t="shared" si="7"/>
        <v>3134.5473816714257</v>
      </c>
      <c r="X46" s="32">
        <f t="shared" si="43"/>
        <v>2578.7998882534957</v>
      </c>
      <c r="Y46" s="102">
        <f t="shared" si="21"/>
        <v>-78542.753465254384</v>
      </c>
      <c r="Z46" s="32">
        <f t="shared" si="22"/>
        <v>-87325.360793091895</v>
      </c>
      <c r="AA46" s="45">
        <f t="shared" si="23"/>
        <v>-87325.360793091953</v>
      </c>
      <c r="AB46" s="1"/>
      <c r="AC46" s="40">
        <f t="shared" si="9"/>
        <v>4217.3333209582925</v>
      </c>
      <c r="AD46" s="40">
        <f t="shared" si="37"/>
        <v>0</v>
      </c>
      <c r="AE46" s="40">
        <f t="shared" si="11"/>
        <v>4217.3333209582925</v>
      </c>
      <c r="AF46" s="40">
        <f t="shared" si="12"/>
        <v>2728.2648235722081</v>
      </c>
      <c r="AG46" s="40">
        <f t="shared" si="13"/>
        <v>13217.537940820066</v>
      </c>
      <c r="AH46" s="40">
        <f t="shared" si="44"/>
        <v>10874.101174568264</v>
      </c>
      <c r="AI46" s="106">
        <f t="shared" si="24"/>
        <v>-1227097.4369034506</v>
      </c>
      <c r="AJ46" s="40">
        <f t="shared" si="18"/>
        <v>336160.24269115098</v>
      </c>
      <c r="AK46" s="108">
        <f t="shared" si="19"/>
        <v>-1191668.0585092856</v>
      </c>
    </row>
    <row r="47" spans="2:37">
      <c r="B47" s="79">
        <v>2024</v>
      </c>
      <c r="C47" s="80">
        <f t="shared" si="39"/>
        <v>0.91351724748364094</v>
      </c>
      <c r="D47" s="81">
        <f t="shared" si="38"/>
        <v>0.17015727992044463</v>
      </c>
      <c r="E47" s="14"/>
      <c r="F47" s="134"/>
      <c r="G47" s="1"/>
      <c r="I47">
        <v>7</v>
      </c>
      <c r="J47" s="26">
        <f t="shared" si="40"/>
        <v>19205.533837759725</v>
      </c>
      <c r="K47" s="24">
        <f t="shared" si="41"/>
        <v>2086.8740451073118</v>
      </c>
      <c r="L47" s="24">
        <f t="shared" si="42"/>
        <v>11728.469443433982</v>
      </c>
      <c r="M47" s="24">
        <v>0</v>
      </c>
      <c r="N47" s="48"/>
      <c r="O47" s="32">
        <f t="shared" si="2"/>
        <v>10082.99055914864</v>
      </c>
      <c r="P47" s="32">
        <f t="shared" si="16"/>
        <v>5656.6911299760968</v>
      </c>
      <c r="Q47" s="32">
        <f t="shared" si="17"/>
        <v>4426.2994291725436</v>
      </c>
      <c r="R47" s="45">
        <f t="shared" si="20"/>
        <v>1353179.5717650906</v>
      </c>
      <c r="S47" s="31">
        <f t="shared" si="3"/>
        <v>-266.50078075766669</v>
      </c>
      <c r="T47" s="32">
        <f t="shared" si="35"/>
        <v>0</v>
      </c>
      <c r="U47" s="32">
        <f t="shared" si="5"/>
        <v>-4692.8002099302103</v>
      </c>
      <c r="V47" s="32">
        <f t="shared" si="36"/>
        <v>2728.2648235722081</v>
      </c>
      <c r="W47" s="32">
        <f t="shared" si="7"/>
        <v>4307.4044099315634</v>
      </c>
      <c r="X47" s="32">
        <f t="shared" si="43"/>
        <v>3543.7122679801632</v>
      </c>
      <c r="Y47" s="102">
        <f t="shared" si="21"/>
        <v>-74999.041197274215</v>
      </c>
      <c r="Z47" s="32">
        <f t="shared" si="22"/>
        <v>-83017.95638316033</v>
      </c>
      <c r="AA47" s="45">
        <f t="shared" si="23"/>
        <v>-83017.956383160388</v>
      </c>
      <c r="AB47" s="1"/>
      <c r="AC47" s="40">
        <f t="shared" si="9"/>
        <v>5390.1903492184301</v>
      </c>
      <c r="AD47" s="40">
        <f t="shared" si="37"/>
        <v>0</v>
      </c>
      <c r="AE47" s="40">
        <f t="shared" si="11"/>
        <v>5390.1903492184301</v>
      </c>
      <c r="AF47" s="40">
        <f t="shared" si="12"/>
        <v>2728.2648235722081</v>
      </c>
      <c r="AG47" s="40">
        <f t="shared" si="13"/>
        <v>14390.394969080204</v>
      </c>
      <c r="AH47" s="40">
        <f t="shared" si="44"/>
        <v>11839.013554294932</v>
      </c>
      <c r="AI47" s="106">
        <f t="shared" si="24"/>
        <v>-1215258.4233491558</v>
      </c>
      <c r="AJ47" s="40">
        <f t="shared" si="18"/>
        <v>350550.63766023121</v>
      </c>
      <c r="AK47" s="108">
        <f t="shared" si="19"/>
        <v>-1177277.6635402055</v>
      </c>
    </row>
    <row r="48" spans="2:37">
      <c r="B48" s="82">
        <v>2025</v>
      </c>
      <c r="C48" s="80">
        <f t="shared" si="39"/>
        <v>0.90438207500880452</v>
      </c>
      <c r="D48" s="81">
        <f t="shared" si="38"/>
        <v>0.17356042551885353</v>
      </c>
      <c r="E48" s="14"/>
      <c r="F48" s="134"/>
      <c r="G48" s="1"/>
      <c r="I48">
        <v>8</v>
      </c>
      <c r="J48" s="26">
        <f t="shared" si="40"/>
        <v>17592.855423902038</v>
      </c>
      <c r="K48" s="24">
        <f t="shared" si="41"/>
        <v>2086.8740451073118</v>
      </c>
      <c r="L48" s="24">
        <f t="shared" si="42"/>
        <v>11728.469443433982</v>
      </c>
      <c r="M48" s="24">
        <v>0</v>
      </c>
      <c r="N48" s="48"/>
      <c r="O48" s="32">
        <f t="shared" si="2"/>
        <v>10082.99055914864</v>
      </c>
      <c r="P48" s="32">
        <f t="shared" si="16"/>
        <v>5638.2482156878777</v>
      </c>
      <c r="Q48" s="32">
        <f t="shared" si="17"/>
        <v>4444.7423434607626</v>
      </c>
      <c r="R48" s="45">
        <f t="shared" si="20"/>
        <v>1348734.8294216299</v>
      </c>
      <c r="S48" s="31">
        <f t="shared" si="3"/>
        <v>-1860.7362803271335</v>
      </c>
      <c r="T48" s="32">
        <f t="shared" si="35"/>
        <v>0</v>
      </c>
      <c r="U48" s="32">
        <f t="shared" si="5"/>
        <v>-6305.4786237878961</v>
      </c>
      <c r="V48" s="32">
        <f t="shared" si="36"/>
        <v>2728.2648235722081</v>
      </c>
      <c r="W48" s="32">
        <f t="shared" si="7"/>
        <v>2694.7259960738775</v>
      </c>
      <c r="X48" s="32">
        <f t="shared" si="43"/>
        <v>2216.9577458559984</v>
      </c>
      <c r="Y48" s="102">
        <f t="shared" si="21"/>
        <v>-72782.083451418221</v>
      </c>
      <c r="Z48" s="32">
        <f t="shared" si="22"/>
        <v>-80323.230387086456</v>
      </c>
      <c r="AA48" s="45">
        <f t="shared" si="23"/>
        <v>-80323.230387086514</v>
      </c>
      <c r="AB48" s="1"/>
      <c r="AC48" s="40">
        <f t="shared" si="9"/>
        <v>3777.5119353607442</v>
      </c>
      <c r="AD48" s="40">
        <f t="shared" si="37"/>
        <v>0</v>
      </c>
      <c r="AE48" s="40">
        <f t="shared" si="11"/>
        <v>3777.5119353607442</v>
      </c>
      <c r="AF48" s="40">
        <f t="shared" si="12"/>
        <v>2728.2648235722081</v>
      </c>
      <c r="AG48" s="40">
        <f t="shared" si="13"/>
        <v>12777.716555222518</v>
      </c>
      <c r="AH48" s="40">
        <f t="shared" si="44"/>
        <v>10512.259032170767</v>
      </c>
      <c r="AI48" s="106">
        <f t="shared" si="24"/>
        <v>-1204746.1643169851</v>
      </c>
      <c r="AJ48" s="40">
        <f t="shared" si="18"/>
        <v>363328.35421545373</v>
      </c>
      <c r="AK48" s="108">
        <f t="shared" si="19"/>
        <v>-1164499.946984983</v>
      </c>
    </row>
    <row r="49" spans="2:37">
      <c r="B49" s="79">
        <v>2026</v>
      </c>
      <c r="C49" s="80">
        <f t="shared" si="39"/>
        <v>0.89533825425871649</v>
      </c>
      <c r="D49" s="81">
        <f t="shared" si="38"/>
        <v>0.17703163402923061</v>
      </c>
      <c r="E49" s="14"/>
      <c r="F49" s="134"/>
      <c r="G49" s="1"/>
      <c r="I49">
        <v>9</v>
      </c>
      <c r="J49" s="26">
        <f t="shared" si="40"/>
        <v>15686.962752979316</v>
      </c>
      <c r="K49" s="24">
        <f t="shared" si="41"/>
        <v>2086.8740451073118</v>
      </c>
      <c r="L49" s="24">
        <f t="shared" si="42"/>
        <v>11728.469443433982</v>
      </c>
      <c r="M49" s="24">
        <v>0</v>
      </c>
      <c r="N49" s="48"/>
      <c r="O49" s="32">
        <f t="shared" si="2"/>
        <v>10082.99055914864</v>
      </c>
      <c r="P49" s="32">
        <f t="shared" si="16"/>
        <v>5619.7284559234577</v>
      </c>
      <c r="Q49" s="32">
        <f t="shared" si="17"/>
        <v>4463.2621032251827</v>
      </c>
      <c r="R49" s="45">
        <f t="shared" si="20"/>
        <v>1344271.5673184048</v>
      </c>
      <c r="S49" s="31">
        <f t="shared" si="3"/>
        <v>-3748.1091914854351</v>
      </c>
      <c r="T49" s="32">
        <f t="shared" si="35"/>
        <v>0</v>
      </c>
      <c r="U49" s="32">
        <f t="shared" si="5"/>
        <v>-8211.3712947106178</v>
      </c>
      <c r="V49" s="32">
        <f t="shared" si="36"/>
        <v>2728.2648235722081</v>
      </c>
      <c r="W49" s="32">
        <f t="shared" si="7"/>
        <v>788.8333251511558</v>
      </c>
      <c r="X49" s="32">
        <f t="shared" si="43"/>
        <v>648.97512880016518</v>
      </c>
      <c r="Y49" s="102">
        <f t="shared" si="21"/>
        <v>-72133.108322618049</v>
      </c>
      <c r="Z49" s="32">
        <f t="shared" si="22"/>
        <v>-79534.397061935306</v>
      </c>
      <c r="AA49" s="45">
        <f t="shared" si="23"/>
        <v>-79534.397061935364</v>
      </c>
      <c r="AB49" s="1"/>
      <c r="AC49" s="40">
        <f t="shared" si="9"/>
        <v>1871.6192644380226</v>
      </c>
      <c r="AD49" s="40">
        <f t="shared" si="37"/>
        <v>0</v>
      </c>
      <c r="AE49" s="40">
        <f t="shared" si="11"/>
        <v>1871.6192644380226</v>
      </c>
      <c r="AF49" s="40">
        <f t="shared" si="12"/>
        <v>2728.2648235722081</v>
      </c>
      <c r="AG49" s="40">
        <f t="shared" si="13"/>
        <v>10871.823884299796</v>
      </c>
      <c r="AH49" s="40">
        <f t="shared" si="44"/>
        <v>8944.2764151149331</v>
      </c>
      <c r="AI49" s="106">
        <f t="shared" si="24"/>
        <v>-1195801.8879018701</v>
      </c>
      <c r="AJ49" s="40">
        <f t="shared" si="18"/>
        <v>374200.17809975351</v>
      </c>
      <c r="AK49" s="108">
        <f t="shared" si="19"/>
        <v>-1153628.1231006833</v>
      </c>
    </row>
    <row r="50" spans="2:37">
      <c r="B50" s="82">
        <v>2027</v>
      </c>
      <c r="C50" s="80">
        <f t="shared" si="39"/>
        <v>0.88638487171612934</v>
      </c>
      <c r="D50" s="81">
        <f t="shared" si="38"/>
        <v>0.18057226670981522</v>
      </c>
      <c r="E50" s="14"/>
      <c r="F50" s="134"/>
      <c r="G50" s="1"/>
      <c r="I50">
        <v>10</v>
      </c>
      <c r="J50" s="26">
        <f t="shared" si="40"/>
        <v>10907.570362819262</v>
      </c>
      <c r="K50" s="24">
        <f t="shared" si="41"/>
        <v>2086.8740451073118</v>
      </c>
      <c r="L50" s="24">
        <f t="shared" si="42"/>
        <v>11728.469443433982</v>
      </c>
      <c r="M50" s="24">
        <v>0</v>
      </c>
      <c r="N50" s="48"/>
      <c r="O50" s="32">
        <f t="shared" si="2"/>
        <v>10082.99055914864</v>
      </c>
      <c r="P50" s="32">
        <f t="shared" si="16"/>
        <v>5601.1315304933532</v>
      </c>
      <c r="Q50" s="32">
        <f t="shared" si="17"/>
        <v>4481.8590286552871</v>
      </c>
      <c r="R50" s="45">
        <f t="shared" si="20"/>
        <v>1339789.7082897495</v>
      </c>
      <c r="S50" s="31">
        <f t="shared" si="3"/>
        <v>-8508.9046562153853</v>
      </c>
      <c r="T50" s="32">
        <f t="shared" si="35"/>
        <v>0</v>
      </c>
      <c r="U50" s="32">
        <f t="shared" si="5"/>
        <v>-12990.763684870672</v>
      </c>
      <c r="V50" s="32">
        <f t="shared" si="36"/>
        <v>2728.2648235722081</v>
      </c>
      <c r="W50" s="32">
        <f t="shared" si="7"/>
        <v>-3990.559065008898</v>
      </c>
      <c r="X50" s="32">
        <f t="shared" si="43"/>
        <v>-3283.0428185859992</v>
      </c>
      <c r="Y50" s="102">
        <f t="shared" si="21"/>
        <v>-75416.151141204042</v>
      </c>
      <c r="Z50" s="32">
        <f t="shared" si="22"/>
        <v>-83524.956126944206</v>
      </c>
      <c r="AA50" s="45">
        <f t="shared" si="23"/>
        <v>-83524.956126944264</v>
      </c>
      <c r="AB50" s="1"/>
      <c r="AC50" s="40">
        <f t="shared" si="9"/>
        <v>-2907.7731257220312</v>
      </c>
      <c r="AD50" s="40">
        <f t="shared" si="37"/>
        <v>0</v>
      </c>
      <c r="AE50" s="40">
        <f t="shared" si="11"/>
        <v>-2907.7731257220312</v>
      </c>
      <c r="AF50" s="40">
        <f t="shared" si="12"/>
        <v>2728.2648235722081</v>
      </c>
      <c r="AG50" s="40">
        <f t="shared" si="13"/>
        <v>6092.4314941397424</v>
      </c>
      <c r="AH50" s="40">
        <f t="shared" si="44"/>
        <v>5012.2584677287696</v>
      </c>
      <c r="AI50" s="106">
        <f t="shared" si="24"/>
        <v>-1190789.6294341413</v>
      </c>
      <c r="AJ50" s="40">
        <f t="shared" si="18"/>
        <v>380292.60959389323</v>
      </c>
      <c r="AK50" s="108">
        <f t="shared" si="19"/>
        <v>-1147535.6916065435</v>
      </c>
    </row>
    <row r="51" spans="2:37">
      <c r="B51" s="79">
        <v>2028</v>
      </c>
      <c r="C51" s="80">
        <f t="shared" si="39"/>
        <v>0.87752102299896806</v>
      </c>
      <c r="D51" s="81">
        <f t="shared" si="38"/>
        <v>0.18418371204401152</v>
      </c>
      <c r="E51" s="14"/>
      <c r="F51" s="134"/>
      <c r="G51" s="1"/>
      <c r="I51">
        <v>11</v>
      </c>
      <c r="J51" s="26">
        <f t="shared" si="40"/>
        <v>5922.9279927136849</v>
      </c>
      <c r="K51" s="24">
        <f t="shared" si="41"/>
        <v>2086.8740451073118</v>
      </c>
      <c r="L51" s="24">
        <f t="shared" si="42"/>
        <v>11728.469443433982</v>
      </c>
      <c r="M51" s="24">
        <v>0</v>
      </c>
      <c r="N51" s="48"/>
      <c r="O51" s="32">
        <f t="shared" si="2"/>
        <v>10082.99055914864</v>
      </c>
      <c r="P51" s="32">
        <f t="shared" si="16"/>
        <v>5582.4571178739561</v>
      </c>
      <c r="Q51" s="32">
        <f t="shared" si="17"/>
        <v>4500.5334412746843</v>
      </c>
      <c r="R51" s="45">
        <f t="shared" si="20"/>
        <v>1335289.1748484748</v>
      </c>
      <c r="S51" s="31">
        <f t="shared" si="3"/>
        <v>-13474.872613701566</v>
      </c>
      <c r="T51" s="32">
        <f t="shared" si="35"/>
        <v>0</v>
      </c>
      <c r="U51" s="32">
        <f t="shared" si="5"/>
        <v>-17975.406054976251</v>
      </c>
      <c r="V51" s="32">
        <f t="shared" si="36"/>
        <v>2728.2648235722081</v>
      </c>
      <c r="W51" s="32">
        <f t="shared" si="7"/>
        <v>-8975.2014351144771</v>
      </c>
      <c r="X51" s="32">
        <f t="shared" si="43"/>
        <v>-7383.920432424331</v>
      </c>
      <c r="Y51" s="102">
        <f t="shared" si="21"/>
        <v>-82800.071573628375</v>
      </c>
      <c r="Z51" s="32">
        <f t="shared" si="22"/>
        <v>-92500.157562058681</v>
      </c>
      <c r="AA51" s="45">
        <f t="shared" si="23"/>
        <v>-92500.157562058739</v>
      </c>
      <c r="AB51" s="1"/>
      <c r="AC51" s="40">
        <f t="shared" si="9"/>
        <v>-7892.4154958276085</v>
      </c>
      <c r="AD51" s="40">
        <f t="shared" si="37"/>
        <v>0</v>
      </c>
      <c r="AE51" s="40">
        <f t="shared" si="11"/>
        <v>-7892.4154958276085</v>
      </c>
      <c r="AF51" s="40">
        <f t="shared" si="12"/>
        <v>2728.2648235722081</v>
      </c>
      <c r="AG51" s="40">
        <f t="shared" si="13"/>
        <v>1107.7891240341651</v>
      </c>
      <c r="AH51" s="40">
        <f t="shared" si="44"/>
        <v>911.38085389043874</v>
      </c>
      <c r="AI51" s="106">
        <f t="shared" si="24"/>
        <v>-1189878.2485802509</v>
      </c>
      <c r="AJ51" s="40">
        <f t="shared" si="18"/>
        <v>381400.3987179274</v>
      </c>
      <c r="AK51" s="108">
        <f t="shared" si="19"/>
        <v>-1146427.9024825094</v>
      </c>
    </row>
    <row r="52" spans="2:37">
      <c r="B52" s="82">
        <v>2029</v>
      </c>
      <c r="C52" s="80">
        <f t="shared" si="39"/>
        <v>0.86874581276897833</v>
      </c>
      <c r="D52" s="81">
        <f t="shared" si="38"/>
        <v>0.18786738628489175</v>
      </c>
      <c r="E52" s="14"/>
      <c r="F52" s="134"/>
      <c r="G52" s="1"/>
      <c r="I52">
        <v>12</v>
      </c>
      <c r="J52" s="26">
        <f t="shared" si="40"/>
        <v>4984.6423701055764</v>
      </c>
      <c r="K52" s="24">
        <f t="shared" si="41"/>
        <v>2086.8740451073118</v>
      </c>
      <c r="L52" s="24">
        <f t="shared" si="42"/>
        <v>11728.469443433982</v>
      </c>
      <c r="M52" s="24">
        <v>0</v>
      </c>
      <c r="N52" s="48"/>
      <c r="O52" s="32">
        <f t="shared" si="2"/>
        <v>10082.99055914864</v>
      </c>
      <c r="P52" s="32">
        <f t="shared" si="16"/>
        <v>5563.7048952019786</v>
      </c>
      <c r="Q52" s="32">
        <f t="shared" si="17"/>
        <v>4519.2856639466618</v>
      </c>
      <c r="R52" s="45">
        <f t="shared" si="20"/>
        <v>1330769.889184528</v>
      </c>
      <c r="S52" s="31">
        <f t="shared" si="3"/>
        <v>-14394.406013637697</v>
      </c>
      <c r="T52" s="32">
        <f t="shared" si="35"/>
        <v>0</v>
      </c>
      <c r="U52" s="32">
        <f t="shared" si="5"/>
        <v>-18913.691677584357</v>
      </c>
      <c r="V52" s="32">
        <f t="shared" si="36"/>
        <v>2728.2648235722081</v>
      </c>
      <c r="W52" s="32">
        <f t="shared" si="7"/>
        <v>-9913.4870577225829</v>
      </c>
      <c r="X52" s="32">
        <f t="shared" si="43"/>
        <v>-8155.8503362056617</v>
      </c>
      <c r="Y52" s="102">
        <f t="shared" si="21"/>
        <v>-90955.92190983404</v>
      </c>
      <c r="Z52" s="32">
        <f t="shared" si="22"/>
        <v>-102413.64461978126</v>
      </c>
      <c r="AA52" s="45">
        <f t="shared" si="23"/>
        <v>-102413.64461978132</v>
      </c>
      <c r="AB52" s="1"/>
      <c r="AC52" s="40">
        <f t="shared" si="9"/>
        <v>-8830.7011184357179</v>
      </c>
      <c r="AD52" s="40">
        <f t="shared" si="37"/>
        <v>0</v>
      </c>
      <c r="AE52" s="40">
        <f t="shared" si="11"/>
        <v>-8830.7011184357179</v>
      </c>
      <c r="AF52" s="40">
        <f t="shared" si="12"/>
        <v>2728.2648235722081</v>
      </c>
      <c r="AG52" s="40">
        <f t="shared" si="13"/>
        <v>169.50350142605566</v>
      </c>
      <c r="AH52" s="40">
        <f t="shared" si="44"/>
        <v>139.45095010910529</v>
      </c>
      <c r="AI52" s="106">
        <f t="shared" si="24"/>
        <v>-1189738.7976301417</v>
      </c>
      <c r="AJ52" s="40">
        <f t="shared" si="18"/>
        <v>381569.90221935348</v>
      </c>
      <c r="AK52" s="108">
        <f t="shared" si="19"/>
        <v>-1146258.3989810834</v>
      </c>
    </row>
    <row r="53" spans="2:37">
      <c r="B53" s="79">
        <v>2030</v>
      </c>
      <c r="C53" s="80">
        <f t="shared" si="39"/>
        <v>0.86005835464128855</v>
      </c>
      <c r="D53" s="81">
        <f t="shared" si="38"/>
        <v>0.19162473401058958</v>
      </c>
      <c r="E53" s="14"/>
      <c r="F53" s="132" t="s">
        <v>88</v>
      </c>
      <c r="G53" s="1">
        <f>SUM(S53:S64)</f>
        <v>-54851.376622365402</v>
      </c>
      <c r="H53">
        <v>2019</v>
      </c>
      <c r="I53">
        <v>1</v>
      </c>
      <c r="J53" s="26">
        <f t="shared" ref="J53:J64" si="45">C23*$C$42*$D$42</f>
        <v>5359.1883977953103</v>
      </c>
      <c r="K53" s="24">
        <f t="shared" ref="K53:K64" si="46">$K$52*$C$8</f>
        <v>2149.4802664605313</v>
      </c>
      <c r="L53" s="24">
        <f t="shared" ref="L53:L64" si="47">(($C$5-SUM($L$5:$L$52))*0.15)/12</f>
        <v>9969.1990269188773</v>
      </c>
      <c r="M53" s="24">
        <v>0</v>
      </c>
      <c r="N53" s="48"/>
      <c r="O53" s="32">
        <f t="shared" si="2"/>
        <v>10082.99055914864</v>
      </c>
      <c r="P53" s="32">
        <f t="shared" si="16"/>
        <v>5544.8745382688667</v>
      </c>
      <c r="Q53" s="32">
        <f t="shared" si="17"/>
        <v>4538.1160208797737</v>
      </c>
      <c r="R53" s="45">
        <f t="shared" si="20"/>
        <v>1326231.7731636483</v>
      </c>
      <c r="S53" s="31">
        <f t="shared" si="3"/>
        <v>-12304.365433852965</v>
      </c>
      <c r="T53" s="32">
        <f t="shared" si="35"/>
        <v>0</v>
      </c>
      <c r="U53" s="32">
        <f t="shared" si="5"/>
        <v>-16842.481454732741</v>
      </c>
      <c r="V53" s="32">
        <f t="shared" si="36"/>
        <v>2728.2648235722081</v>
      </c>
      <c r="W53" s="32">
        <f t="shared" si="7"/>
        <v>-9601.5472513860714</v>
      </c>
      <c r="X53" s="32">
        <f t="shared" ref="X53:X64" si="48">W53/(1+$C$18)^5</f>
        <v>-7523.0635100442978</v>
      </c>
      <c r="Y53" s="102">
        <f t="shared" si="21"/>
        <v>-98478.985419878343</v>
      </c>
      <c r="Z53" s="32">
        <f t="shared" si="22"/>
        <v>-112015.19187116734</v>
      </c>
      <c r="AA53" s="45">
        <f t="shared" si="23"/>
        <v>-112015.19187116739</v>
      </c>
      <c r="AB53" s="1"/>
      <c r="AC53" s="40">
        <f t="shared" si="9"/>
        <v>-6759.4908955840983</v>
      </c>
      <c r="AD53" s="40">
        <f t="shared" si="37"/>
        <v>0</v>
      </c>
      <c r="AE53" s="40">
        <f t="shared" si="11"/>
        <v>-6759.4908955840983</v>
      </c>
      <c r="AF53" s="40">
        <f t="shared" si="12"/>
        <v>2728.2648235722081</v>
      </c>
      <c r="AG53" s="40">
        <f t="shared" si="13"/>
        <v>481.44330776257084</v>
      </c>
      <c r="AH53" s="40">
        <f t="shared" ref="AH53:AH64" si="49">AG53/(1+$C$18)^5</f>
        <v>377.22342930310157</v>
      </c>
      <c r="AI53" s="106">
        <f t="shared" si="24"/>
        <v>-1189361.5742008386</v>
      </c>
      <c r="AJ53" s="40">
        <f t="shared" si="18"/>
        <v>382051.34552711603</v>
      </c>
      <c r="AK53" s="108">
        <f t="shared" si="19"/>
        <v>-1145776.9556733209</v>
      </c>
    </row>
    <row r="54" spans="2:37">
      <c r="B54" s="82">
        <v>2031</v>
      </c>
      <c r="C54" s="80">
        <f t="shared" si="39"/>
        <v>0.85145777109487564</v>
      </c>
      <c r="D54" s="81">
        <f t="shared" si="38"/>
        <v>0.19545722869080137</v>
      </c>
      <c r="E54" s="14"/>
      <c r="F54" s="17" t="s">
        <v>31</v>
      </c>
      <c r="G54">
        <v>5</v>
      </c>
      <c r="I54">
        <v>2</v>
      </c>
      <c r="J54" s="26">
        <f t="shared" si="45"/>
        <v>8201.630862924314</v>
      </c>
      <c r="K54" s="24">
        <f t="shared" si="46"/>
        <v>2149.4802664605313</v>
      </c>
      <c r="L54" s="24">
        <f t="shared" si="47"/>
        <v>9969.1990269188773</v>
      </c>
      <c r="M54" s="24">
        <v>0</v>
      </c>
      <c r="N54" s="48"/>
      <c r="O54" s="32">
        <f t="shared" si="2"/>
        <v>10082.99055914864</v>
      </c>
      <c r="P54" s="32">
        <f t="shared" si="16"/>
        <v>5525.965721515201</v>
      </c>
      <c r="Q54" s="32">
        <f t="shared" si="17"/>
        <v>4557.0248376334393</v>
      </c>
      <c r="R54" s="45">
        <f t="shared" si="20"/>
        <v>1321674.748326015</v>
      </c>
      <c r="S54" s="31">
        <f t="shared" si="3"/>
        <v>-9443.0141519702956</v>
      </c>
      <c r="T54" s="32">
        <f t="shared" si="35"/>
        <v>0</v>
      </c>
      <c r="U54" s="32">
        <f t="shared" si="5"/>
        <v>-14000.038989603734</v>
      </c>
      <c r="V54" s="32">
        <f t="shared" si="36"/>
        <v>2728.2648235722081</v>
      </c>
      <c r="W54" s="32">
        <f t="shared" si="7"/>
        <v>-6759.1047862570649</v>
      </c>
      <c r="X54" s="32">
        <f t="shared" si="48"/>
        <v>-5295.9354619346104</v>
      </c>
      <c r="Y54" s="102">
        <f t="shared" si="21"/>
        <v>-103774.92088181296</v>
      </c>
      <c r="Z54" s="32">
        <f t="shared" si="22"/>
        <v>-118774.29665742441</v>
      </c>
      <c r="AA54" s="45">
        <f t="shared" si="23"/>
        <v>-118774.29665742446</v>
      </c>
      <c r="AB54" s="1"/>
      <c r="AC54" s="40">
        <f t="shared" si="9"/>
        <v>-3917.0484304550946</v>
      </c>
      <c r="AD54" s="40">
        <f t="shared" si="37"/>
        <v>0</v>
      </c>
      <c r="AE54" s="40">
        <f t="shared" si="11"/>
        <v>-3917.0484304550946</v>
      </c>
      <c r="AF54" s="40">
        <f t="shared" si="12"/>
        <v>2728.2648235722081</v>
      </c>
      <c r="AG54" s="40">
        <f t="shared" si="13"/>
        <v>3323.8857728915746</v>
      </c>
      <c r="AH54" s="40">
        <f t="shared" si="49"/>
        <v>2604.3514774127862</v>
      </c>
      <c r="AI54" s="106">
        <f t="shared" si="24"/>
        <v>-1186757.2227234258</v>
      </c>
      <c r="AJ54" s="40">
        <f t="shared" si="18"/>
        <v>385375.23130000761</v>
      </c>
      <c r="AK54" s="108">
        <f t="shared" si="19"/>
        <v>-1142453.0699004293</v>
      </c>
    </row>
    <row r="55" spans="2:37">
      <c r="B55" s="79">
        <v>2032</v>
      </c>
      <c r="C55" s="80">
        <f t="shared" si="39"/>
        <v>0.84294319338392687</v>
      </c>
      <c r="D55" s="81">
        <f t="shared" si="38"/>
        <v>0.1993663732646174</v>
      </c>
      <c r="E55" s="14"/>
      <c r="F55" s="13" t="s">
        <v>30</v>
      </c>
      <c r="G55" s="1">
        <f>G43+G53</f>
        <v>-559542.27674169838</v>
      </c>
      <c r="I55">
        <v>3</v>
      </c>
      <c r="J55" s="26">
        <f t="shared" si="45"/>
        <v>14700.757124339068</v>
      </c>
      <c r="K55" s="24">
        <f t="shared" si="46"/>
        <v>2149.4802664605313</v>
      </c>
      <c r="L55" s="24">
        <f t="shared" si="47"/>
        <v>9969.1990269188773</v>
      </c>
      <c r="M55" s="24">
        <v>0</v>
      </c>
      <c r="N55" s="48"/>
      <c r="O55" s="32">
        <f t="shared" si="2"/>
        <v>10082.99055914864</v>
      </c>
      <c r="P55" s="32">
        <f t="shared" si="16"/>
        <v>5506.978118025062</v>
      </c>
      <c r="Q55" s="32">
        <f t="shared" si="17"/>
        <v>4576.0124411235784</v>
      </c>
      <c r="R55" s="45">
        <f t="shared" si="20"/>
        <v>1317098.7358848914</v>
      </c>
      <c r="S55" s="31">
        <f t="shared" si="3"/>
        <v>-2924.9002870654031</v>
      </c>
      <c r="T55" s="32">
        <f t="shared" si="35"/>
        <v>0</v>
      </c>
      <c r="U55" s="32">
        <f t="shared" si="5"/>
        <v>-7500.9127281889814</v>
      </c>
      <c r="V55" s="32">
        <f t="shared" si="36"/>
        <v>2728.2648235722081</v>
      </c>
      <c r="W55" s="32">
        <f t="shared" si="7"/>
        <v>-259.97852484231225</v>
      </c>
      <c r="X55" s="32">
        <f t="shared" si="48"/>
        <v>-203.69997693382194</v>
      </c>
      <c r="Y55" s="102">
        <f t="shared" si="21"/>
        <v>-103978.62085874678</v>
      </c>
      <c r="Z55" s="32">
        <f t="shared" si="22"/>
        <v>-119034.27518226672</v>
      </c>
      <c r="AA55" s="45">
        <f t="shared" si="23"/>
        <v>-119034.27518226678</v>
      </c>
      <c r="AB55" s="1"/>
      <c r="AC55" s="40">
        <f t="shared" si="9"/>
        <v>2582.077830959659</v>
      </c>
      <c r="AD55" s="40">
        <f t="shared" si="37"/>
        <v>0</v>
      </c>
      <c r="AE55" s="40">
        <f t="shared" si="11"/>
        <v>2582.077830959659</v>
      </c>
      <c r="AF55" s="40">
        <f t="shared" si="12"/>
        <v>2728.2648235722081</v>
      </c>
      <c r="AG55" s="40">
        <f t="shared" si="13"/>
        <v>9823.0120343063281</v>
      </c>
      <c r="AH55" s="40">
        <f t="shared" si="49"/>
        <v>7696.5869624135757</v>
      </c>
      <c r="AI55" s="106">
        <f t="shared" si="24"/>
        <v>-1179060.6357610123</v>
      </c>
      <c r="AJ55" s="40">
        <f t="shared" si="18"/>
        <v>395198.24333431391</v>
      </c>
      <c r="AK55" s="108">
        <f t="shared" si="19"/>
        <v>-1132630.057866123</v>
      </c>
    </row>
    <row r="56" spans="2:37">
      <c r="B56" s="82">
        <v>2033</v>
      </c>
      <c r="C56" s="80">
        <f t="shared" si="39"/>
        <v>0.8345137614500876</v>
      </c>
      <c r="D56" s="81">
        <f t="shared" si="38"/>
        <v>0.20335370072990974</v>
      </c>
      <c r="E56" s="14"/>
      <c r="F56" s="18" t="s">
        <v>39</v>
      </c>
      <c r="G56" s="1">
        <v>0</v>
      </c>
      <c r="I56">
        <v>4</v>
      </c>
      <c r="J56" s="26">
        <f t="shared" si="45"/>
        <v>16877.002136703464</v>
      </c>
      <c r="K56" s="24">
        <f t="shared" si="46"/>
        <v>2149.4802664605313</v>
      </c>
      <c r="L56" s="24">
        <f t="shared" si="47"/>
        <v>9969.1990269188773</v>
      </c>
      <c r="M56" s="24">
        <v>0</v>
      </c>
      <c r="N56" s="48"/>
      <c r="O56" s="32">
        <f t="shared" si="2"/>
        <v>10082.99055914864</v>
      </c>
      <c r="P56" s="32">
        <f t="shared" si="16"/>
        <v>5487.9113995203807</v>
      </c>
      <c r="Q56" s="32">
        <f t="shared" si="17"/>
        <v>4595.0791596282597</v>
      </c>
      <c r="R56" s="45">
        <f t="shared" si="20"/>
        <v>1312503.656725263</v>
      </c>
      <c r="S56" s="31">
        <f t="shared" si="3"/>
        <v>-729.58855619632413</v>
      </c>
      <c r="T56" s="32">
        <f t="shared" si="35"/>
        <v>0</v>
      </c>
      <c r="U56" s="32">
        <f t="shared" si="5"/>
        <v>-5324.6677158245839</v>
      </c>
      <c r="V56" s="32">
        <f t="shared" si="36"/>
        <v>2728.2648235722081</v>
      </c>
      <c r="W56" s="32">
        <f t="shared" si="7"/>
        <v>1916.2664875220853</v>
      </c>
      <c r="X56" s="32">
        <f t="shared" si="48"/>
        <v>1501.4449349001586</v>
      </c>
      <c r="Y56" s="102">
        <f t="shared" si="21"/>
        <v>-102477.17592384663</v>
      </c>
      <c r="Z56" s="32">
        <f t="shared" si="22"/>
        <v>-117118.00869474464</v>
      </c>
      <c r="AA56" s="45">
        <f t="shared" si="23"/>
        <v>-117118.0086947447</v>
      </c>
      <c r="AB56" s="1"/>
      <c r="AC56" s="40">
        <f t="shared" si="9"/>
        <v>4758.3228433240565</v>
      </c>
      <c r="AD56" s="40">
        <f t="shared" si="37"/>
        <v>0</v>
      </c>
      <c r="AE56" s="40">
        <f t="shared" si="11"/>
        <v>4758.3228433240565</v>
      </c>
      <c r="AF56" s="40">
        <f t="shared" si="12"/>
        <v>2728.2648235722081</v>
      </c>
      <c r="AG56" s="40">
        <f t="shared" si="13"/>
        <v>11999.257046670726</v>
      </c>
      <c r="AH56" s="40">
        <f t="shared" si="49"/>
        <v>9401.7318742475563</v>
      </c>
      <c r="AI56" s="106">
        <f t="shared" si="24"/>
        <v>-1169658.9038867648</v>
      </c>
      <c r="AJ56" s="40">
        <f t="shared" si="18"/>
        <v>407197.50038098462</v>
      </c>
      <c r="AK56" s="108">
        <f t="shared" si="19"/>
        <v>-1120630.8008194524</v>
      </c>
    </row>
    <row r="57" spans="2:37" ht="15" thickBot="1">
      <c r="B57" s="83">
        <v>2034</v>
      </c>
      <c r="C57" s="84">
        <f t="shared" si="39"/>
        <v>0.82616862383558676</v>
      </c>
      <c r="D57" s="92">
        <f t="shared" si="38"/>
        <v>0.20742077474450793</v>
      </c>
      <c r="E57" s="14"/>
      <c r="F57" s="16" t="s">
        <v>90</v>
      </c>
      <c r="G57" s="129">
        <f>$C$60</f>
        <v>0</v>
      </c>
      <c r="I57">
        <v>5</v>
      </c>
      <c r="J57" s="26">
        <f t="shared" si="45"/>
        <v>17469.177650272002</v>
      </c>
      <c r="K57" s="24">
        <f t="shared" si="46"/>
        <v>2149.4802664605313</v>
      </c>
      <c r="L57" s="24">
        <f t="shared" si="47"/>
        <v>9969.1990269188773</v>
      </c>
      <c r="M57" s="24">
        <v>0</v>
      </c>
      <c r="N57" s="48"/>
      <c r="O57" s="32">
        <f t="shared" si="2"/>
        <v>10082.99055914864</v>
      </c>
      <c r="P57" s="32">
        <f t="shared" si="16"/>
        <v>5468.7652363552625</v>
      </c>
      <c r="Q57" s="32">
        <f t="shared" si="17"/>
        <v>4614.2253227933779</v>
      </c>
      <c r="R57" s="45">
        <f t="shared" si="20"/>
        <v>1307889.4314024695</v>
      </c>
      <c r="S57" s="31">
        <f t="shared" si="3"/>
        <v>-118.26687946266793</v>
      </c>
      <c r="T57" s="32">
        <f t="shared" si="35"/>
        <v>0</v>
      </c>
      <c r="U57" s="32">
        <f t="shared" si="5"/>
        <v>-4732.4922022560459</v>
      </c>
      <c r="V57" s="32">
        <f t="shared" si="36"/>
        <v>2728.2648235722081</v>
      </c>
      <c r="W57" s="32">
        <f t="shared" si="7"/>
        <v>2508.4420010906233</v>
      </c>
      <c r="X57" s="32">
        <f t="shared" si="48"/>
        <v>1965.4299449230059</v>
      </c>
      <c r="Y57" s="102">
        <f t="shared" si="21"/>
        <v>-100511.74597892363</v>
      </c>
      <c r="Z57" s="32">
        <f t="shared" si="22"/>
        <v>-114609.56669365402</v>
      </c>
      <c r="AA57" s="45">
        <f t="shared" si="23"/>
        <v>-114609.56669365408</v>
      </c>
      <c r="AB57" s="1"/>
      <c r="AC57" s="40">
        <f t="shared" si="9"/>
        <v>5350.4983568925945</v>
      </c>
      <c r="AD57" s="40">
        <f t="shared" si="37"/>
        <v>0</v>
      </c>
      <c r="AE57" s="40">
        <f t="shared" si="11"/>
        <v>5350.4983568925945</v>
      </c>
      <c r="AF57" s="40">
        <f t="shared" si="12"/>
        <v>2728.2648235722081</v>
      </c>
      <c r="AG57" s="40">
        <f t="shared" si="13"/>
        <v>12591.432560239264</v>
      </c>
      <c r="AH57" s="40">
        <f t="shared" si="49"/>
        <v>9865.7168842704032</v>
      </c>
      <c r="AI57" s="106">
        <f t="shared" si="24"/>
        <v>-1159793.1870024945</v>
      </c>
      <c r="AJ57" s="40">
        <f t="shared" si="18"/>
        <v>419788.9329412239</v>
      </c>
      <c r="AK57" s="108">
        <f t="shared" si="19"/>
        <v>-1108039.3682592132</v>
      </c>
    </row>
    <row r="58" spans="2:37" ht="15" thickBot="1">
      <c r="B58" s="19"/>
      <c r="C58" s="20"/>
      <c r="D58" s="15"/>
      <c r="E58" s="15"/>
      <c r="F58" s="135"/>
      <c r="G58" s="1"/>
      <c r="I58">
        <v>6</v>
      </c>
      <c r="J58" s="26">
        <f t="shared" si="45"/>
        <v>18209.397042232682</v>
      </c>
      <c r="K58" s="24">
        <f t="shared" si="46"/>
        <v>2149.4802664605313</v>
      </c>
      <c r="L58" s="24">
        <f t="shared" si="47"/>
        <v>9969.1990269188773</v>
      </c>
      <c r="M58" s="24">
        <v>0</v>
      </c>
      <c r="N58" s="48"/>
      <c r="O58" s="32">
        <f t="shared" si="2"/>
        <v>10082.99055914864</v>
      </c>
      <c r="P58" s="32">
        <f t="shared" si="16"/>
        <v>5449.5392975102895</v>
      </c>
      <c r="Q58" s="32">
        <f t="shared" si="17"/>
        <v>4633.4512616383508</v>
      </c>
      <c r="R58" s="45">
        <f t="shared" si="20"/>
        <v>1303255.9801408311</v>
      </c>
      <c r="S58" s="31">
        <f t="shared" si="3"/>
        <v>641.17845134298477</v>
      </c>
      <c r="T58" s="32">
        <f t="shared" si="35"/>
        <v>0</v>
      </c>
      <c r="U58" s="32">
        <f t="shared" si="5"/>
        <v>-3992.2728102953661</v>
      </c>
      <c r="V58" s="32">
        <f t="shared" si="36"/>
        <v>2728.2648235722081</v>
      </c>
      <c r="W58" s="32">
        <f t="shared" si="7"/>
        <v>3248.6613930513031</v>
      </c>
      <c r="X58" s="32">
        <f t="shared" si="48"/>
        <v>2545.411207451571</v>
      </c>
      <c r="Y58" s="102">
        <f t="shared" si="21"/>
        <v>-97966.334771472058</v>
      </c>
      <c r="Z58" s="32">
        <f t="shared" si="22"/>
        <v>-111360.90530060272</v>
      </c>
      <c r="AA58" s="45">
        <f t="shared" si="23"/>
        <v>-111360.90530060278</v>
      </c>
      <c r="AB58" s="1"/>
      <c r="AC58" s="40">
        <f t="shared" si="9"/>
        <v>6090.7177488532743</v>
      </c>
      <c r="AD58" s="40">
        <f t="shared" si="37"/>
        <v>0</v>
      </c>
      <c r="AE58" s="40">
        <f t="shared" si="11"/>
        <v>6090.7177488532743</v>
      </c>
      <c r="AF58" s="40">
        <f t="shared" si="12"/>
        <v>2728.2648235722081</v>
      </c>
      <c r="AG58" s="40">
        <f t="shared" si="13"/>
        <v>13331.651952199943</v>
      </c>
      <c r="AH58" s="40">
        <f t="shared" si="49"/>
        <v>10445.698146798968</v>
      </c>
      <c r="AI58" s="106">
        <f t="shared" si="24"/>
        <v>-1149347.4888556956</v>
      </c>
      <c r="AJ58" s="40">
        <f t="shared" si="18"/>
        <v>433120.58489342383</v>
      </c>
      <c r="AK58" s="108">
        <f t="shared" si="19"/>
        <v>-1094707.7163070133</v>
      </c>
    </row>
    <row r="59" spans="2:37">
      <c r="B59" s="85" t="s">
        <v>37</v>
      </c>
      <c r="C59" s="116" t="s">
        <v>38</v>
      </c>
      <c r="G59" s="1"/>
      <c r="I59">
        <v>7</v>
      </c>
      <c r="J59" s="26">
        <f t="shared" si="45"/>
        <v>19393.748069369769</v>
      </c>
      <c r="K59" s="24">
        <f t="shared" si="46"/>
        <v>2149.4802664605313</v>
      </c>
      <c r="L59" s="24">
        <f t="shared" si="47"/>
        <v>9969.1990269188773</v>
      </c>
      <c r="M59" s="24">
        <v>0</v>
      </c>
      <c r="N59" s="48"/>
      <c r="O59" s="32">
        <f t="shared" si="2"/>
        <v>10082.99055914864</v>
      </c>
      <c r="P59" s="32">
        <f t="shared" si="16"/>
        <v>5430.2332505867962</v>
      </c>
      <c r="Q59" s="32">
        <f t="shared" si="17"/>
        <v>4652.7573085618442</v>
      </c>
      <c r="R59" s="45">
        <f t="shared" si="20"/>
        <v>1298603.2228322693</v>
      </c>
      <c r="S59" s="31">
        <f t="shared" si="3"/>
        <v>1844.835525403565</v>
      </c>
      <c r="T59" s="32">
        <f t="shared" si="35"/>
        <v>0</v>
      </c>
      <c r="U59" s="32">
        <f t="shared" si="5"/>
        <v>-2807.9217831582791</v>
      </c>
      <c r="V59" s="32">
        <f t="shared" si="36"/>
        <v>2728.2648235722081</v>
      </c>
      <c r="W59" s="32">
        <f t="shared" si="7"/>
        <v>4433.01242018839</v>
      </c>
      <c r="X59" s="32">
        <f t="shared" si="48"/>
        <v>3473.3812274972747</v>
      </c>
      <c r="Y59" s="102">
        <f t="shared" si="21"/>
        <v>-94492.953543974785</v>
      </c>
      <c r="Z59" s="32">
        <f t="shared" si="22"/>
        <v>-106927.89288041434</v>
      </c>
      <c r="AA59" s="45">
        <f t="shared" si="23"/>
        <v>-106927.89288041439</v>
      </c>
      <c r="AB59" s="1"/>
      <c r="AC59" s="40">
        <f t="shared" si="9"/>
        <v>7275.0687759903612</v>
      </c>
      <c r="AD59" s="40">
        <f t="shared" si="37"/>
        <v>0</v>
      </c>
      <c r="AE59" s="40">
        <f t="shared" si="11"/>
        <v>7275.0687759903612</v>
      </c>
      <c r="AF59" s="40">
        <f t="shared" si="12"/>
        <v>2728.2648235722081</v>
      </c>
      <c r="AG59" s="40">
        <f t="shared" si="13"/>
        <v>14516.00297933703</v>
      </c>
      <c r="AH59" s="40">
        <f t="shared" si="49"/>
        <v>11373.668166844673</v>
      </c>
      <c r="AI59" s="106">
        <f t="shared" si="24"/>
        <v>-1137973.8206888509</v>
      </c>
      <c r="AJ59" s="40">
        <f t="shared" si="18"/>
        <v>447636.58787276084</v>
      </c>
      <c r="AK59" s="108">
        <f t="shared" si="19"/>
        <v>-1080191.7133276763</v>
      </c>
    </row>
    <row r="60" spans="2:37">
      <c r="B60" s="25" t="s">
        <v>32</v>
      </c>
      <c r="C60" s="86">
        <v>0</v>
      </c>
      <c r="D60" s="50"/>
      <c r="E60" s="50"/>
      <c r="G60" s="1"/>
      <c r="I60">
        <v>8</v>
      </c>
      <c r="J60" s="26">
        <f t="shared" si="45"/>
        <v>17765.265407056275</v>
      </c>
      <c r="K60" s="24">
        <f t="shared" si="46"/>
        <v>2149.4802664605313</v>
      </c>
      <c r="L60" s="24">
        <f t="shared" si="47"/>
        <v>9969.1990269188773</v>
      </c>
      <c r="M60" s="24">
        <v>0</v>
      </c>
      <c r="N60" s="48"/>
      <c r="O60" s="32">
        <f t="shared" si="2"/>
        <v>10082.99055914864</v>
      </c>
      <c r="P60" s="32">
        <f t="shared" si="16"/>
        <v>5410.8467618011218</v>
      </c>
      <c r="Q60" s="32">
        <f t="shared" si="17"/>
        <v>4672.1437973475186</v>
      </c>
      <c r="R60" s="45">
        <f t="shared" si="20"/>
        <v>1293931.0790349217</v>
      </c>
      <c r="S60" s="31">
        <f t="shared" si="3"/>
        <v>235.73935187574534</v>
      </c>
      <c r="T60" s="32">
        <f t="shared" si="35"/>
        <v>0</v>
      </c>
      <c r="U60" s="32">
        <f t="shared" si="5"/>
        <v>-4436.4044454717732</v>
      </c>
      <c r="V60" s="32">
        <f t="shared" si="36"/>
        <v>2728.2648235722081</v>
      </c>
      <c r="W60" s="32">
        <f t="shared" si="7"/>
        <v>2804.5297578748959</v>
      </c>
      <c r="X60" s="32">
        <f t="shared" si="48"/>
        <v>2197.4224499344327</v>
      </c>
      <c r="Y60" s="102">
        <f t="shared" si="21"/>
        <v>-92295.531094040358</v>
      </c>
      <c r="Z60" s="32">
        <f t="shared" si="22"/>
        <v>-104123.36312253943</v>
      </c>
      <c r="AA60" s="45">
        <f t="shared" si="23"/>
        <v>-104123.36312253949</v>
      </c>
      <c r="AB60" s="1"/>
      <c r="AC60" s="40">
        <f t="shared" si="9"/>
        <v>5646.5861136768672</v>
      </c>
      <c r="AD60" s="40">
        <f t="shared" si="37"/>
        <v>0</v>
      </c>
      <c r="AE60" s="40">
        <f t="shared" si="11"/>
        <v>5646.5861136768672</v>
      </c>
      <c r="AF60" s="40">
        <f t="shared" si="12"/>
        <v>2728.2648235722081</v>
      </c>
      <c r="AG60" s="40">
        <f t="shared" si="13"/>
        <v>12887.520317023536</v>
      </c>
      <c r="AH60" s="40">
        <f t="shared" si="49"/>
        <v>10097.70938928183</v>
      </c>
      <c r="AI60" s="106">
        <f t="shared" si="24"/>
        <v>-1127876.111299569</v>
      </c>
      <c r="AJ60" s="40">
        <f t="shared" si="18"/>
        <v>460524.1081897844</v>
      </c>
      <c r="AK60" s="108">
        <f t="shared" si="19"/>
        <v>-1067304.1930106527</v>
      </c>
    </row>
    <row r="61" spans="2:37">
      <c r="B61" s="25" t="s">
        <v>33</v>
      </c>
      <c r="C61" s="86">
        <v>0.14000000000000001</v>
      </c>
      <c r="G61" s="1"/>
      <c r="I61">
        <v>9</v>
      </c>
      <c r="J61" s="26">
        <f t="shared" si="45"/>
        <v>15840.694987958514</v>
      </c>
      <c r="K61" s="24">
        <f t="shared" si="46"/>
        <v>2149.4802664605313</v>
      </c>
      <c r="L61" s="24">
        <f t="shared" si="47"/>
        <v>9969.1990269188773</v>
      </c>
      <c r="M61" s="24">
        <v>0</v>
      </c>
      <c r="N61" s="48"/>
      <c r="O61" s="32">
        <f t="shared" si="2"/>
        <v>10082.99055914864</v>
      </c>
      <c r="P61" s="32">
        <f t="shared" si="16"/>
        <v>5391.3794959788402</v>
      </c>
      <c r="Q61" s="32">
        <f t="shared" si="17"/>
        <v>4691.6110631698002</v>
      </c>
      <c r="R61" s="45">
        <f t="shared" si="20"/>
        <v>1289239.4679717519</v>
      </c>
      <c r="S61" s="31">
        <f t="shared" si="3"/>
        <v>-1669.3638013997361</v>
      </c>
      <c r="T61" s="32">
        <f t="shared" si="35"/>
        <v>0</v>
      </c>
      <c r="U61" s="32">
        <f t="shared" si="5"/>
        <v>-6360.9748645695363</v>
      </c>
      <c r="V61" s="32">
        <f t="shared" si="36"/>
        <v>2728.2648235722081</v>
      </c>
      <c r="W61" s="32">
        <f t="shared" si="7"/>
        <v>879.95933877713287</v>
      </c>
      <c r="X61" s="32">
        <f t="shared" si="48"/>
        <v>689.47116736016687</v>
      </c>
      <c r="Y61" s="102">
        <f t="shared" si="21"/>
        <v>-91606.059926680187</v>
      </c>
      <c r="Z61" s="32">
        <f t="shared" si="22"/>
        <v>-103243.4037837623</v>
      </c>
      <c r="AA61" s="45">
        <f t="shared" si="23"/>
        <v>-103243.40378376236</v>
      </c>
      <c r="AB61" s="1"/>
      <c r="AC61" s="40">
        <f t="shared" si="9"/>
        <v>3722.0156945791041</v>
      </c>
      <c r="AD61" s="40">
        <f t="shared" si="37"/>
        <v>0</v>
      </c>
      <c r="AE61" s="40">
        <f t="shared" si="11"/>
        <v>3722.0156945791041</v>
      </c>
      <c r="AF61" s="40">
        <f t="shared" si="12"/>
        <v>2728.2648235722081</v>
      </c>
      <c r="AG61" s="40">
        <f t="shared" si="13"/>
        <v>10962.949897925773</v>
      </c>
      <c r="AH61" s="40">
        <f t="shared" si="49"/>
        <v>8589.7581067075644</v>
      </c>
      <c r="AI61" s="106">
        <f t="shared" si="24"/>
        <v>-1119286.3531928614</v>
      </c>
      <c r="AJ61" s="40">
        <f t="shared" si="18"/>
        <v>471487.05808771017</v>
      </c>
      <c r="AK61" s="108">
        <f t="shared" si="19"/>
        <v>-1056341.2431127268</v>
      </c>
    </row>
    <row r="62" spans="2:37">
      <c r="B62" s="25" t="s">
        <v>34</v>
      </c>
      <c r="C62" s="86">
        <v>0.3</v>
      </c>
      <c r="G62" s="1"/>
      <c r="I62">
        <v>10</v>
      </c>
      <c r="J62" s="26">
        <f t="shared" si="45"/>
        <v>11014.46455237489</v>
      </c>
      <c r="K62" s="24">
        <f t="shared" si="46"/>
        <v>2149.4802664605313</v>
      </c>
      <c r="L62" s="24">
        <f t="shared" si="47"/>
        <v>9969.1990269188773</v>
      </c>
      <c r="M62" s="24">
        <v>0</v>
      </c>
      <c r="N62" s="48"/>
      <c r="O62" s="32">
        <f t="shared" si="2"/>
        <v>10082.99055914864</v>
      </c>
      <c r="P62" s="32">
        <f t="shared" si="16"/>
        <v>5371.8311165489667</v>
      </c>
      <c r="Q62" s="32">
        <f t="shared" si="17"/>
        <v>4711.1594425996736</v>
      </c>
      <c r="R62" s="45">
        <f t="shared" si="20"/>
        <v>1284528.3085291523</v>
      </c>
      <c r="S62" s="31">
        <f t="shared" si="3"/>
        <v>-6476.0458575534867</v>
      </c>
      <c r="T62" s="32">
        <f t="shared" si="35"/>
        <v>0</v>
      </c>
      <c r="U62" s="32">
        <f t="shared" si="5"/>
        <v>-11187.20530015316</v>
      </c>
      <c r="V62" s="32">
        <f t="shared" si="36"/>
        <v>2728.2648235722081</v>
      </c>
      <c r="W62" s="32">
        <f t="shared" si="7"/>
        <v>-3946.2710968064912</v>
      </c>
      <c r="X62" s="32">
        <f t="shared" si="48"/>
        <v>-3092.0066643260707</v>
      </c>
      <c r="Y62" s="102">
        <f t="shared" si="21"/>
        <v>-94698.066591006253</v>
      </c>
      <c r="Z62" s="32">
        <f t="shared" si="22"/>
        <v>-107189.6748805688</v>
      </c>
      <c r="AA62" s="45">
        <f t="shared" si="23"/>
        <v>-107189.67488056885</v>
      </c>
      <c r="AB62" s="1"/>
      <c r="AC62" s="40">
        <f t="shared" si="9"/>
        <v>-1104.21474100452</v>
      </c>
      <c r="AD62" s="40">
        <f t="shared" si="37"/>
        <v>0</v>
      </c>
      <c r="AE62" s="40">
        <f t="shared" si="11"/>
        <v>-1104.21474100452</v>
      </c>
      <c r="AF62" s="40">
        <f t="shared" si="12"/>
        <v>2728.2648235722081</v>
      </c>
      <c r="AG62" s="40">
        <f t="shared" si="13"/>
        <v>6136.7194623421492</v>
      </c>
      <c r="AH62" s="40">
        <f t="shared" si="49"/>
        <v>4808.2802750213268</v>
      </c>
      <c r="AI62" s="106">
        <f t="shared" si="24"/>
        <v>-1114478.0729178402</v>
      </c>
      <c r="AJ62" s="40">
        <f t="shared" si="18"/>
        <v>477623.77755005233</v>
      </c>
      <c r="AK62" s="108">
        <f t="shared" si="19"/>
        <v>-1050204.5236503847</v>
      </c>
    </row>
    <row r="63" spans="2:37">
      <c r="B63" s="25" t="s">
        <v>35</v>
      </c>
      <c r="C63" s="86">
        <v>0.41</v>
      </c>
      <c r="G63" s="1"/>
      <c r="I63">
        <v>11</v>
      </c>
      <c r="J63" s="26">
        <f t="shared" si="45"/>
        <v>5980.9726870422801</v>
      </c>
      <c r="K63" s="24">
        <f t="shared" si="46"/>
        <v>2149.4802664605313</v>
      </c>
      <c r="L63" s="24">
        <f t="shared" si="47"/>
        <v>9969.1990269188773</v>
      </c>
      <c r="M63" s="24">
        <v>0</v>
      </c>
      <c r="N63" s="48"/>
      <c r="O63" s="32">
        <f t="shared" si="2"/>
        <v>10082.99055914864</v>
      </c>
      <c r="P63" s="32">
        <f t="shared" si="16"/>
        <v>5352.2012855381345</v>
      </c>
      <c r="Q63" s="32">
        <f t="shared" si="17"/>
        <v>4730.7892736105059</v>
      </c>
      <c r="R63" s="45">
        <f t="shared" si="20"/>
        <v>1279797.5192555417</v>
      </c>
      <c r="S63" s="31">
        <f t="shared" si="3"/>
        <v>-11489.907891875264</v>
      </c>
      <c r="T63" s="32">
        <f t="shared" si="35"/>
        <v>0</v>
      </c>
      <c r="U63" s="32">
        <f t="shared" si="5"/>
        <v>-16220.69716548577</v>
      </c>
      <c r="V63" s="32">
        <f t="shared" si="36"/>
        <v>2728.2648235722081</v>
      </c>
      <c r="W63" s="32">
        <f t="shared" si="7"/>
        <v>-8979.7629621391006</v>
      </c>
      <c r="X63" s="32">
        <f t="shared" si="48"/>
        <v>-7035.8792495203033</v>
      </c>
      <c r="Y63" s="102">
        <f t="shared" si="21"/>
        <v>-101733.94584052656</v>
      </c>
      <c r="Z63" s="32">
        <f t="shared" si="22"/>
        <v>-116169.43784270789</v>
      </c>
      <c r="AA63" s="45">
        <f t="shared" si="23"/>
        <v>-116169.43784270795</v>
      </c>
      <c r="AB63" s="1"/>
      <c r="AC63" s="40">
        <f t="shared" si="9"/>
        <v>-6137.7066063371285</v>
      </c>
      <c r="AD63" s="40">
        <f t="shared" si="37"/>
        <v>0</v>
      </c>
      <c r="AE63" s="40">
        <f t="shared" si="11"/>
        <v>-6137.7066063371285</v>
      </c>
      <c r="AF63" s="40">
        <f t="shared" si="12"/>
        <v>2728.2648235722081</v>
      </c>
      <c r="AG63" s="40">
        <f t="shared" si="13"/>
        <v>1103.2275970095416</v>
      </c>
      <c r="AH63" s="40">
        <f t="shared" si="49"/>
        <v>864.40768982709596</v>
      </c>
      <c r="AI63" s="106">
        <f t="shared" si="24"/>
        <v>-1113613.6652280132</v>
      </c>
      <c r="AJ63" s="40">
        <f t="shared" si="18"/>
        <v>478727.00514706189</v>
      </c>
      <c r="AK63" s="108">
        <f t="shared" si="19"/>
        <v>-1049101.2960533751</v>
      </c>
    </row>
    <row r="64" spans="2:37" ht="15" thickBot="1">
      <c r="B64" s="65" t="s">
        <v>36</v>
      </c>
      <c r="C64" s="87">
        <v>0.45</v>
      </c>
      <c r="G64" s="1"/>
      <c r="I64">
        <v>12</v>
      </c>
      <c r="J64" s="26">
        <f t="shared" si="45"/>
        <v>5033.4918653326113</v>
      </c>
      <c r="K64" s="24">
        <f t="shared" si="46"/>
        <v>2149.4802664605313</v>
      </c>
      <c r="L64" s="24">
        <f t="shared" si="47"/>
        <v>9969.1990269188773</v>
      </c>
      <c r="M64" s="24">
        <v>0</v>
      </c>
      <c r="N64" s="48"/>
      <c r="O64" s="32">
        <f t="shared" si="2"/>
        <v>10082.99055914864</v>
      </c>
      <c r="P64" s="32">
        <f t="shared" si="16"/>
        <v>5332.4896635647574</v>
      </c>
      <c r="Q64" s="32">
        <f t="shared" si="17"/>
        <v>4750.500895583883</v>
      </c>
      <c r="R64" s="45">
        <f t="shared" si="20"/>
        <v>1275047.018359958</v>
      </c>
      <c r="S64" s="31">
        <f t="shared" si="3"/>
        <v>-12417.677091611555</v>
      </c>
      <c r="T64" s="32">
        <f t="shared" si="35"/>
        <v>0</v>
      </c>
      <c r="U64" s="32">
        <f t="shared" si="5"/>
        <v>-17168.177987195439</v>
      </c>
      <c r="V64" s="32">
        <f t="shared" si="36"/>
        <v>2728.2648235722081</v>
      </c>
      <c r="W64" s="32">
        <f t="shared" si="7"/>
        <v>-9927.2437838487695</v>
      </c>
      <c r="X64" s="32">
        <f t="shared" si="48"/>
        <v>-7778.2552655568652</v>
      </c>
      <c r="Y64" s="102">
        <f t="shared" si="21"/>
        <v>-109512.20110608343</v>
      </c>
      <c r="Z64" s="32">
        <f t="shared" si="22"/>
        <v>-126096.68162655666</v>
      </c>
      <c r="AA64" s="45">
        <f t="shared" si="23"/>
        <v>-126096.68162655672</v>
      </c>
      <c r="AB64" s="1"/>
      <c r="AC64" s="40">
        <f t="shared" si="9"/>
        <v>-7085.1874280467973</v>
      </c>
      <c r="AD64" s="40">
        <f t="shared" si="37"/>
        <v>0</v>
      </c>
      <c r="AE64" s="40">
        <f t="shared" si="11"/>
        <v>-7085.1874280467973</v>
      </c>
      <c r="AF64" s="40">
        <f t="shared" si="12"/>
        <v>2728.2648235722081</v>
      </c>
      <c r="AG64" s="40">
        <f t="shared" si="13"/>
        <v>155.74677529987275</v>
      </c>
      <c r="AH64" s="40">
        <f t="shared" si="49"/>
        <v>122.03167379053377</v>
      </c>
      <c r="AI64" s="106">
        <f t="shared" si="24"/>
        <v>-1113491.6335542228</v>
      </c>
      <c r="AJ64" s="40">
        <f t="shared" si="18"/>
        <v>478882.75192236179</v>
      </c>
      <c r="AK64" s="108">
        <f t="shared" si="19"/>
        <v>-1048945.5492780753</v>
      </c>
    </row>
    <row r="65" spans="2:37">
      <c r="F65" s="132" t="s">
        <v>88</v>
      </c>
      <c r="G65" s="1">
        <f>SUM(S65:S76)</f>
        <v>-33302.454693356267</v>
      </c>
      <c r="H65">
        <v>2020</v>
      </c>
      <c r="I65">
        <v>1</v>
      </c>
      <c r="J65" s="26">
        <f t="shared" ref="J65:J76" si="50">C23*$C$43*$D$43</f>
        <v>5411.7084440937033</v>
      </c>
      <c r="K65" s="24">
        <f t="shared" ref="K65:K76" si="51">$K$64*$C$8</f>
        <v>2213.9646744543475</v>
      </c>
      <c r="L65" s="24">
        <f t="shared" ref="L65:L76" si="52">(($C$5-SUM($L$5:$L$64))*0.15)/12</f>
        <v>8473.8191728810489</v>
      </c>
      <c r="M65" s="24">
        <v>0</v>
      </c>
      <c r="N65" s="48"/>
      <c r="O65" s="32">
        <f t="shared" si="2"/>
        <v>10082.99055914864</v>
      </c>
      <c r="P65" s="32">
        <f t="shared" si="16"/>
        <v>5312.6959098331581</v>
      </c>
      <c r="Q65" s="32">
        <f t="shared" si="17"/>
        <v>4770.2946493154823</v>
      </c>
      <c r="R65" s="45">
        <f t="shared" si="20"/>
        <v>1270276.7237106424</v>
      </c>
      <c r="S65" s="31">
        <f t="shared" si="3"/>
        <v>-10588.771313074853</v>
      </c>
      <c r="T65" s="32">
        <f t="shared" si="35"/>
        <v>0</v>
      </c>
      <c r="U65" s="32">
        <f t="shared" si="5"/>
        <v>-15359.065962390334</v>
      </c>
      <c r="V65" s="32">
        <f t="shared" si="36"/>
        <v>2728.2648235722081</v>
      </c>
      <c r="W65" s="32">
        <f t="shared" si="7"/>
        <v>-9613.5116130814931</v>
      </c>
      <c r="X65" s="32">
        <f t="shared" ref="X65:X76" si="53">W65/(1+$C$18)^6</f>
        <v>-7173.7503814264328</v>
      </c>
      <c r="Y65" s="102">
        <f t="shared" si="21"/>
        <v>-116685.95148750987</v>
      </c>
      <c r="Z65" s="32">
        <f t="shared" si="22"/>
        <v>-135710.19323963815</v>
      </c>
      <c r="AA65" s="45">
        <f t="shared" si="23"/>
        <v>-135710.1932396382</v>
      </c>
      <c r="AB65" s="1"/>
      <c r="AC65" s="40">
        <f t="shared" si="9"/>
        <v>-5276.0754032416935</v>
      </c>
      <c r="AD65" s="40">
        <f t="shared" si="37"/>
        <v>0</v>
      </c>
      <c r="AE65" s="40">
        <f t="shared" si="11"/>
        <v>-5276.0754032416935</v>
      </c>
      <c r="AF65" s="40">
        <f t="shared" si="12"/>
        <v>2728.2648235722081</v>
      </c>
      <c r="AG65" s="40">
        <f t="shared" si="13"/>
        <v>469.47894606714726</v>
      </c>
      <c r="AH65" s="40">
        <f t="shared" ref="AH65:AH76" si="54">AG65/(1+$C$18)^6</f>
        <v>350.33241795204225</v>
      </c>
      <c r="AI65" s="106">
        <f t="shared" si="24"/>
        <v>-1113141.3011362706</v>
      </c>
      <c r="AJ65" s="40">
        <f t="shared" si="18"/>
        <v>479352.23086842895</v>
      </c>
      <c r="AK65" s="108">
        <f t="shared" si="19"/>
        <v>-1048476.0703320082</v>
      </c>
    </row>
    <row r="66" spans="2:37">
      <c r="F66" s="17" t="s">
        <v>31</v>
      </c>
      <c r="G66">
        <v>6</v>
      </c>
      <c r="I66">
        <v>2</v>
      </c>
      <c r="J66" s="26">
        <f t="shared" si="50"/>
        <v>8282.0068453809727</v>
      </c>
      <c r="K66" s="24">
        <f t="shared" si="51"/>
        <v>2213.9646744543475</v>
      </c>
      <c r="L66" s="24">
        <f t="shared" si="52"/>
        <v>8473.8191728810489</v>
      </c>
      <c r="M66" s="24">
        <v>0</v>
      </c>
      <c r="N66" s="48"/>
      <c r="O66" s="32">
        <f t="shared" si="2"/>
        <v>10082.99055914864</v>
      </c>
      <c r="P66" s="32">
        <f t="shared" si="16"/>
        <v>5292.819682127677</v>
      </c>
      <c r="Q66" s="32">
        <f t="shared" si="17"/>
        <v>4790.1708770209634</v>
      </c>
      <c r="R66" s="45">
        <f t="shared" si="20"/>
        <v>1265486.5528336214</v>
      </c>
      <c r="S66" s="31">
        <f t="shared" si="3"/>
        <v>-7698.5966840821011</v>
      </c>
      <c r="T66" s="32">
        <f t="shared" si="35"/>
        <v>0</v>
      </c>
      <c r="U66" s="32">
        <f t="shared" si="5"/>
        <v>-12488.767561103065</v>
      </c>
      <c r="V66" s="32">
        <f t="shared" si="36"/>
        <v>2728.2648235722081</v>
      </c>
      <c r="W66" s="32">
        <f t="shared" si="7"/>
        <v>-6743.2132117942238</v>
      </c>
      <c r="X66" s="32">
        <f t="shared" si="53"/>
        <v>-5031.8895214443746</v>
      </c>
      <c r="Y66" s="102">
        <f t="shared" si="21"/>
        <v>-121717.84100895424</v>
      </c>
      <c r="Z66" s="32">
        <f t="shared" si="22"/>
        <v>-142453.40645143238</v>
      </c>
      <c r="AA66" s="45">
        <f t="shared" si="23"/>
        <v>-142453.40645143244</v>
      </c>
      <c r="AB66" s="1"/>
      <c r="AC66" s="40">
        <f t="shared" si="9"/>
        <v>-2405.7770019544241</v>
      </c>
      <c r="AD66" s="40">
        <f t="shared" si="37"/>
        <v>0</v>
      </c>
      <c r="AE66" s="40">
        <f t="shared" si="11"/>
        <v>-2405.7770019544241</v>
      </c>
      <c r="AF66" s="40">
        <f t="shared" si="12"/>
        <v>2728.2648235722081</v>
      </c>
      <c r="AG66" s="40">
        <f t="shared" si="13"/>
        <v>3339.7773473544166</v>
      </c>
      <c r="AH66" s="40">
        <f t="shared" si="54"/>
        <v>2492.1932779341</v>
      </c>
      <c r="AI66" s="106">
        <f t="shared" si="24"/>
        <v>-1110649.1078583365</v>
      </c>
      <c r="AJ66" s="40">
        <f t="shared" si="18"/>
        <v>482692.00821578334</v>
      </c>
      <c r="AK66" s="108">
        <f t="shared" si="19"/>
        <v>-1045136.2929846537</v>
      </c>
    </row>
    <row r="67" spans="2:37">
      <c r="B67" s="146" t="s">
        <v>50</v>
      </c>
      <c r="C67" s="146"/>
      <c r="D67" s="146"/>
      <c r="E67" s="146"/>
      <c r="F67" s="13" t="s">
        <v>30</v>
      </c>
      <c r="G67" s="1">
        <f>G55+G65</f>
        <v>-592844.73143505468</v>
      </c>
      <c r="I67">
        <v>3</v>
      </c>
      <c r="J67" s="26">
        <f t="shared" si="50"/>
        <v>14844.824544157591</v>
      </c>
      <c r="K67" s="24">
        <f t="shared" si="51"/>
        <v>2213.9646744543475</v>
      </c>
      <c r="L67" s="24">
        <f t="shared" si="52"/>
        <v>8473.8191728810489</v>
      </c>
      <c r="M67" s="24">
        <v>0</v>
      </c>
      <c r="N67" s="48"/>
      <c r="O67" s="32">
        <f t="shared" si="2"/>
        <v>10082.99055914864</v>
      </c>
      <c r="P67" s="32">
        <f t="shared" si="16"/>
        <v>5272.8606368067558</v>
      </c>
      <c r="Q67" s="32">
        <f t="shared" si="17"/>
        <v>4810.1299223418846</v>
      </c>
      <c r="R67" s="45">
        <f t="shared" si="20"/>
        <v>1260676.4229112796</v>
      </c>
      <c r="S67" s="31">
        <f t="shared" si="3"/>
        <v>-1115.8199399845616</v>
      </c>
      <c r="T67" s="32">
        <f t="shared" si="35"/>
        <v>0</v>
      </c>
      <c r="U67" s="32">
        <f t="shared" si="5"/>
        <v>-5925.9498623264462</v>
      </c>
      <c r="V67" s="32">
        <f t="shared" si="36"/>
        <v>2728.2648235722081</v>
      </c>
      <c r="W67" s="32">
        <f t="shared" si="7"/>
        <v>-180.39551301760548</v>
      </c>
      <c r="X67" s="32">
        <f t="shared" si="53"/>
        <v>-134.61390929790039</v>
      </c>
      <c r="Y67" s="102">
        <f t="shared" si="21"/>
        <v>-121852.45491825214</v>
      </c>
      <c r="Z67" s="32">
        <f t="shared" si="22"/>
        <v>-142633.80196444999</v>
      </c>
      <c r="AA67" s="45">
        <f t="shared" si="23"/>
        <v>-142633.80196445005</v>
      </c>
      <c r="AB67" s="1"/>
      <c r="AC67" s="40">
        <f t="shared" si="9"/>
        <v>4157.0406968221941</v>
      </c>
      <c r="AD67" s="40">
        <f t="shared" si="37"/>
        <v>0</v>
      </c>
      <c r="AE67" s="40">
        <f t="shared" si="11"/>
        <v>4157.0406968221941</v>
      </c>
      <c r="AF67" s="40">
        <f t="shared" si="12"/>
        <v>2728.2648235722081</v>
      </c>
      <c r="AG67" s="40">
        <f t="shared" si="13"/>
        <v>9902.5950461310349</v>
      </c>
      <c r="AH67" s="40">
        <f t="shared" si="54"/>
        <v>7389.4688900805741</v>
      </c>
      <c r="AI67" s="106">
        <f t="shared" si="24"/>
        <v>-1103259.6389682561</v>
      </c>
      <c r="AJ67" s="40">
        <f t="shared" si="18"/>
        <v>492594.6032619144</v>
      </c>
      <c r="AK67" s="108">
        <f t="shared" si="19"/>
        <v>-1035233.6979385227</v>
      </c>
    </row>
    <row r="68" spans="2:37" ht="15" thickBot="1">
      <c r="B68" s="1"/>
      <c r="F68" s="18" t="s">
        <v>39</v>
      </c>
      <c r="G68" s="1">
        <v>0</v>
      </c>
      <c r="I68">
        <v>4</v>
      </c>
      <c r="J68" s="26">
        <f t="shared" si="50"/>
        <v>17042.396757643153</v>
      </c>
      <c r="K68" s="24">
        <f t="shared" si="51"/>
        <v>2213.9646744543475</v>
      </c>
      <c r="L68" s="24">
        <f t="shared" si="52"/>
        <v>8473.8191728810489</v>
      </c>
      <c r="M68" s="24">
        <v>0</v>
      </c>
      <c r="N68" s="48"/>
      <c r="O68" s="32">
        <f t="shared" si="2"/>
        <v>10082.99055914864</v>
      </c>
      <c r="P68" s="32">
        <f t="shared" si="16"/>
        <v>5252.818428796998</v>
      </c>
      <c r="Q68" s="32">
        <f t="shared" si="17"/>
        <v>4830.1721303516424</v>
      </c>
      <c r="R68" s="45">
        <f t="shared" si="20"/>
        <v>1255846.2507809279</v>
      </c>
      <c r="S68" s="31">
        <f t="shared" si="3"/>
        <v>1101.7944815107585</v>
      </c>
      <c r="T68" s="32">
        <f t="shared" si="35"/>
        <v>0</v>
      </c>
      <c r="U68" s="32">
        <f t="shared" si="5"/>
        <v>-3728.3776488408839</v>
      </c>
      <c r="V68" s="32">
        <f t="shared" si="36"/>
        <v>2728.2648235722081</v>
      </c>
      <c r="W68" s="32">
        <f t="shared" si="7"/>
        <v>2017.1767004679568</v>
      </c>
      <c r="X68" s="32">
        <f t="shared" si="53"/>
        <v>1505.2483116258602</v>
      </c>
      <c r="Y68" s="102">
        <f t="shared" si="21"/>
        <v>-120347.20660662628</v>
      </c>
      <c r="Z68" s="32">
        <f t="shared" si="22"/>
        <v>-140616.62526398204</v>
      </c>
      <c r="AA68" s="45">
        <f t="shared" si="23"/>
        <v>-140616.6252639821</v>
      </c>
      <c r="AB68" s="1"/>
      <c r="AC68" s="40">
        <f t="shared" si="9"/>
        <v>6354.6129103077565</v>
      </c>
      <c r="AD68" s="40">
        <f t="shared" si="37"/>
        <v>0</v>
      </c>
      <c r="AE68" s="40">
        <f t="shared" si="11"/>
        <v>6354.6129103077565</v>
      </c>
      <c r="AF68" s="40">
        <f t="shared" si="12"/>
        <v>2728.2648235722081</v>
      </c>
      <c r="AG68" s="40">
        <f t="shared" si="13"/>
        <v>12100.167259616597</v>
      </c>
      <c r="AH68" s="40">
        <f t="shared" si="54"/>
        <v>9029.331111004336</v>
      </c>
      <c r="AI68" s="106">
        <f t="shared" si="24"/>
        <v>-1094230.3078572517</v>
      </c>
      <c r="AJ68" s="40">
        <f t="shared" si="18"/>
        <v>504694.770521531</v>
      </c>
      <c r="AK68" s="108">
        <f t="shared" si="19"/>
        <v>-1023133.5306789061</v>
      </c>
    </row>
    <row r="69" spans="2:37">
      <c r="B69" s="139" t="s">
        <v>94</v>
      </c>
      <c r="C69" s="98" t="s">
        <v>48</v>
      </c>
      <c r="D69" s="100" t="s">
        <v>49</v>
      </c>
      <c r="E69" s="93" t="s">
        <v>67</v>
      </c>
      <c r="F69" s="16" t="s">
        <v>90</v>
      </c>
      <c r="G69" s="129">
        <f>$C$60</f>
        <v>0</v>
      </c>
      <c r="I69">
        <v>5</v>
      </c>
      <c r="J69" s="26">
        <f t="shared" si="50"/>
        <v>17640.375591244672</v>
      </c>
      <c r="K69" s="24">
        <f t="shared" si="51"/>
        <v>2213.9646744543475</v>
      </c>
      <c r="L69" s="24">
        <f t="shared" si="52"/>
        <v>8473.8191728810489</v>
      </c>
      <c r="M69" s="24">
        <v>0</v>
      </c>
      <c r="N69" s="48"/>
      <c r="O69" s="32">
        <f t="shared" ref="O69:O132" si="55">-PMT($C$13/12,$C$14,$C$12,0,0)</f>
        <v>10082.99055914864</v>
      </c>
      <c r="P69" s="32">
        <f t="shared" si="16"/>
        <v>5232.6927115871995</v>
      </c>
      <c r="Q69" s="32">
        <f t="shared" si="17"/>
        <v>4850.2978475614409</v>
      </c>
      <c r="R69" s="45">
        <f t="shared" si="20"/>
        <v>1250995.9529333664</v>
      </c>
      <c r="S69" s="31">
        <f t="shared" ref="S69:S132" si="56">J69-K69-L69-M69-P69</f>
        <v>1719.899032322076</v>
      </c>
      <c r="T69" s="32">
        <f t="shared" ref="T69:T100" si="57">S69*$C$60</f>
        <v>0</v>
      </c>
      <c r="U69" s="32">
        <f t="shared" ref="U69:U132" si="58">J69-K69-L69-M69-T69-O69</f>
        <v>-3130.3988152393649</v>
      </c>
      <c r="V69" s="32">
        <f t="shared" ref="V69:V100" si="59">$C$9/120</f>
        <v>2728.2648235722081</v>
      </c>
      <c r="W69" s="32">
        <f t="shared" ref="W69:W132" si="60">U69-V69+L69+M69</f>
        <v>2615.1555340694758</v>
      </c>
      <c r="X69" s="32">
        <f t="shared" si="53"/>
        <v>1951.4693241221257</v>
      </c>
      <c r="Y69" s="102">
        <f t="shared" si="21"/>
        <v>-118395.73728250415</v>
      </c>
      <c r="Z69" s="32">
        <f t="shared" si="22"/>
        <v>-138001.46972991258</v>
      </c>
      <c r="AA69" s="45">
        <f t="shared" si="23"/>
        <v>-138001.46972991264</v>
      </c>
      <c r="AB69" s="1"/>
      <c r="AC69" s="40">
        <f t="shared" ref="AC69:AC132" si="61">J69-K69-L69-M69</f>
        <v>6952.5917439092755</v>
      </c>
      <c r="AD69" s="40">
        <f t="shared" ref="AD69:AD100" si="62">AC69*$C$60</f>
        <v>0</v>
      </c>
      <c r="AE69" s="40">
        <f t="shared" ref="AE69:AE132" si="63">J69-K69-L69-M69-AD69</f>
        <v>6952.5917439092755</v>
      </c>
      <c r="AF69" s="40">
        <f t="shared" ref="AF69:AF132" si="64">V69</f>
        <v>2728.2648235722081</v>
      </c>
      <c r="AG69" s="40">
        <f t="shared" ref="AG69:AG132" si="65">AE69-AF69+L69+M69</f>
        <v>12698.146093218116</v>
      </c>
      <c r="AH69" s="40">
        <f t="shared" si="54"/>
        <v>9475.5521235005999</v>
      </c>
      <c r="AI69" s="106">
        <f t="shared" si="24"/>
        <v>-1084754.7557337512</v>
      </c>
      <c r="AJ69" s="40">
        <f t="shared" si="18"/>
        <v>517392.91661474912</v>
      </c>
      <c r="AK69" s="108">
        <f t="shared" si="19"/>
        <v>-1010435.384585688</v>
      </c>
    </row>
    <row r="70" spans="2:37">
      <c r="B70" s="94" t="s">
        <v>99</v>
      </c>
      <c r="C70" s="99">
        <f>IRR(AM5:AM25)</f>
        <v>3.1294427391119539E-2</v>
      </c>
      <c r="D70" s="136" t="s">
        <v>66</v>
      </c>
      <c r="E70" s="96" t="e">
        <f>IRR(AN5:AN25)</f>
        <v>#NUM!</v>
      </c>
      <c r="G70" s="1"/>
      <c r="I70">
        <v>6</v>
      </c>
      <c r="J70" s="26">
        <f t="shared" si="50"/>
        <v>18387.849133246564</v>
      </c>
      <c r="K70" s="24">
        <f t="shared" si="51"/>
        <v>2213.9646744543475</v>
      </c>
      <c r="L70" s="24">
        <f t="shared" si="52"/>
        <v>8473.8191728810489</v>
      </c>
      <c r="M70" s="24">
        <v>0</v>
      </c>
      <c r="N70" s="48"/>
      <c r="O70" s="32">
        <f t="shared" si="55"/>
        <v>10082.99055914864</v>
      </c>
      <c r="P70" s="32">
        <f t="shared" ref="P70:P133" si="66">($C$13/12)*R69</f>
        <v>5212.4831372223598</v>
      </c>
      <c r="Q70" s="32">
        <f t="shared" ref="Q70:Q133" si="67">O70-P70</f>
        <v>4870.5074219262806</v>
      </c>
      <c r="R70" s="45">
        <f t="shared" si="20"/>
        <v>1246125.44551144</v>
      </c>
      <c r="S70" s="31">
        <f t="shared" si="56"/>
        <v>2487.5821486888071</v>
      </c>
      <c r="T70" s="32">
        <f t="shared" si="57"/>
        <v>0</v>
      </c>
      <c r="U70" s="32">
        <f t="shared" si="58"/>
        <v>-2382.9252732374734</v>
      </c>
      <c r="V70" s="32">
        <f t="shared" si="59"/>
        <v>2728.2648235722081</v>
      </c>
      <c r="W70" s="32">
        <f t="shared" si="60"/>
        <v>3362.6290760713673</v>
      </c>
      <c r="X70" s="32">
        <f t="shared" si="53"/>
        <v>2509.245589742452</v>
      </c>
      <c r="Y70" s="102">
        <f t="shared" ref="Y70:Y133" si="68">Y69+X70</f>
        <v>-115886.4916927617</v>
      </c>
      <c r="Z70" s="32">
        <f t="shared" si="22"/>
        <v>-134638.84065384121</v>
      </c>
      <c r="AA70" s="45">
        <f t="shared" si="23"/>
        <v>-134638.84065384127</v>
      </c>
      <c r="AB70" s="1"/>
      <c r="AC70" s="40">
        <f t="shared" si="61"/>
        <v>7700.0652859111669</v>
      </c>
      <c r="AD70" s="40">
        <f t="shared" si="62"/>
        <v>0</v>
      </c>
      <c r="AE70" s="40">
        <f t="shared" si="63"/>
        <v>7700.0652859111669</v>
      </c>
      <c r="AF70" s="40">
        <f t="shared" si="64"/>
        <v>2728.2648235722081</v>
      </c>
      <c r="AG70" s="40">
        <f t="shared" si="65"/>
        <v>13445.619635220008</v>
      </c>
      <c r="AH70" s="40">
        <f t="shared" si="54"/>
        <v>10033.328389120927</v>
      </c>
      <c r="AI70" s="106">
        <f t="shared" si="24"/>
        <v>-1074721.4273446302</v>
      </c>
      <c r="AJ70" s="40">
        <f t="shared" ref="AJ70:AJ133" si="69">AJ69+AG70</f>
        <v>530838.53624996915</v>
      </c>
      <c r="AK70" s="108">
        <f t="shared" ref="AK70:AK133" si="70">AK69+AG70</f>
        <v>-996989.76495046797</v>
      </c>
    </row>
    <row r="71" spans="2:37">
      <c r="B71" s="94" t="s">
        <v>65</v>
      </c>
      <c r="C71" s="40">
        <f>AI244</f>
        <v>-238676.79276398683</v>
      </c>
      <c r="D71" s="32">
        <f>Y244</f>
        <v>-192092.22710552867</v>
      </c>
      <c r="E71" s="45">
        <f>Y244</f>
        <v>-192092.22710552867</v>
      </c>
      <c r="G71" s="1"/>
      <c r="I71">
        <v>7</v>
      </c>
      <c r="J71" s="26">
        <f t="shared" si="50"/>
        <v>19583.806800449591</v>
      </c>
      <c r="K71" s="24">
        <f t="shared" si="51"/>
        <v>2213.9646744543475</v>
      </c>
      <c r="L71" s="24">
        <f t="shared" si="52"/>
        <v>8473.8191728810489</v>
      </c>
      <c r="M71" s="24">
        <v>0</v>
      </c>
      <c r="N71" s="48"/>
      <c r="O71" s="32">
        <f t="shared" si="55"/>
        <v>10082.99055914864</v>
      </c>
      <c r="P71" s="32">
        <f t="shared" si="66"/>
        <v>5192.1893562976666</v>
      </c>
      <c r="Q71" s="32">
        <f t="shared" si="67"/>
        <v>4890.8012028509738</v>
      </c>
      <c r="R71" s="45">
        <f t="shared" ref="R71:R134" si="71">R70-Q71</f>
        <v>1241234.6443085892</v>
      </c>
      <c r="S71" s="31">
        <f t="shared" si="56"/>
        <v>3703.8335968165293</v>
      </c>
      <c r="T71" s="32">
        <f t="shared" si="57"/>
        <v>0</v>
      </c>
      <c r="U71" s="32">
        <f t="shared" si="58"/>
        <v>-1186.9676060344445</v>
      </c>
      <c r="V71" s="32">
        <f t="shared" si="59"/>
        <v>2728.2648235722081</v>
      </c>
      <c r="W71" s="32">
        <f t="shared" si="60"/>
        <v>4558.5867432743962</v>
      </c>
      <c r="X71" s="32">
        <f t="shared" si="53"/>
        <v>3401.6876147349763</v>
      </c>
      <c r="Y71" s="102">
        <f t="shared" si="68"/>
        <v>-112484.80407802672</v>
      </c>
      <c r="Z71" s="32">
        <f t="shared" ref="Z71:Z134" si="72">Z70+W71</f>
        <v>-130080.25391056681</v>
      </c>
      <c r="AA71" s="45">
        <f t="shared" ref="AA71:AA134" si="73">AA70+W71</f>
        <v>-130080.25391056687</v>
      </c>
      <c r="AB71" s="1"/>
      <c r="AC71" s="40">
        <f t="shared" si="61"/>
        <v>8896.0229531141958</v>
      </c>
      <c r="AD71" s="40">
        <f t="shared" si="62"/>
        <v>0</v>
      </c>
      <c r="AE71" s="40">
        <f t="shared" si="63"/>
        <v>8896.0229531141958</v>
      </c>
      <c r="AF71" s="40">
        <f t="shared" si="64"/>
        <v>2728.2648235722081</v>
      </c>
      <c r="AG71" s="40">
        <f t="shared" si="65"/>
        <v>14641.577302423037</v>
      </c>
      <c r="AH71" s="40">
        <f t="shared" si="54"/>
        <v>10925.770414113451</v>
      </c>
      <c r="AI71" s="106">
        <f t="shared" ref="AI71:AI134" si="74">AI70+AH71</f>
        <v>-1063795.6569305167</v>
      </c>
      <c r="AJ71" s="40">
        <f t="shared" si="69"/>
        <v>545480.11355239223</v>
      </c>
      <c r="AK71" s="108">
        <f t="shared" si="70"/>
        <v>-982348.1876480449</v>
      </c>
    </row>
    <row r="72" spans="2:37">
      <c r="B72" s="137" t="s">
        <v>92</v>
      </c>
      <c r="C72" s="138">
        <f>SUM(AH5:AH244)/C5</f>
        <v>0.84378035635519133</v>
      </c>
      <c r="D72" s="111" t="s">
        <v>66</v>
      </c>
      <c r="E72" s="118" t="e">
        <f>SUM(X5:X244)/(C5-(C5*C11))</f>
        <v>#DIV/0!</v>
      </c>
      <c r="G72" s="1"/>
      <c r="I72">
        <v>8</v>
      </c>
      <c r="J72" s="26">
        <f t="shared" si="50"/>
        <v>17939.365008045428</v>
      </c>
      <c r="K72" s="24">
        <f t="shared" si="51"/>
        <v>2213.9646744543475</v>
      </c>
      <c r="L72" s="24">
        <f t="shared" si="52"/>
        <v>8473.8191728810489</v>
      </c>
      <c r="M72" s="24">
        <v>0</v>
      </c>
      <c r="N72" s="48"/>
      <c r="O72" s="32">
        <f t="shared" si="55"/>
        <v>10082.99055914864</v>
      </c>
      <c r="P72" s="32">
        <f t="shared" si="66"/>
        <v>5171.8110179524547</v>
      </c>
      <c r="Q72" s="32">
        <f t="shared" si="67"/>
        <v>4911.1795411961857</v>
      </c>
      <c r="R72" s="45">
        <f t="shared" si="71"/>
        <v>1236323.464767393</v>
      </c>
      <c r="S72" s="31">
        <f t="shared" si="56"/>
        <v>2079.7701427575767</v>
      </c>
      <c r="T72" s="32">
        <f t="shared" si="57"/>
        <v>0</v>
      </c>
      <c r="U72" s="32">
        <f t="shared" si="58"/>
        <v>-2831.4093984386091</v>
      </c>
      <c r="V72" s="32">
        <f t="shared" si="59"/>
        <v>2728.2648235722081</v>
      </c>
      <c r="W72" s="32">
        <f t="shared" si="60"/>
        <v>2914.1449508702317</v>
      </c>
      <c r="X72" s="32">
        <f t="shared" si="53"/>
        <v>2174.5798303702559</v>
      </c>
      <c r="Y72" s="102">
        <f t="shared" si="68"/>
        <v>-110310.22424765646</v>
      </c>
      <c r="Z72" s="32">
        <f t="shared" si="72"/>
        <v>-127166.10895969658</v>
      </c>
      <c r="AA72" s="45">
        <f t="shared" si="73"/>
        <v>-127166.10895969663</v>
      </c>
      <c r="AB72" s="1"/>
      <c r="AC72" s="40">
        <f t="shared" si="61"/>
        <v>7251.5811607100313</v>
      </c>
      <c r="AD72" s="40">
        <f t="shared" si="62"/>
        <v>0</v>
      </c>
      <c r="AE72" s="40">
        <f t="shared" si="63"/>
        <v>7251.5811607100313</v>
      </c>
      <c r="AF72" s="40">
        <f t="shared" si="64"/>
        <v>2728.2648235722081</v>
      </c>
      <c r="AG72" s="40">
        <f t="shared" si="65"/>
        <v>12997.135510018872</v>
      </c>
      <c r="AH72" s="40">
        <f t="shared" si="54"/>
        <v>9698.662629748731</v>
      </c>
      <c r="AI72" s="106">
        <f t="shared" si="74"/>
        <v>-1054096.994300768</v>
      </c>
      <c r="AJ72" s="40">
        <f t="shared" si="69"/>
        <v>558477.24906241114</v>
      </c>
      <c r="AK72" s="108">
        <f t="shared" si="70"/>
        <v>-969351.05213802599</v>
      </c>
    </row>
    <row r="73" spans="2:37">
      <c r="B73" s="137" t="s">
        <v>93</v>
      </c>
      <c r="C73" s="138">
        <f>(COUNTIF(AK5:AK244,"&lt;"&amp;0)+ABS(INDEX(AK5:AK244,COUNTIF(AK5:AK244,"&lt;"&amp;0))/INDEX(AG5:AG244,COUNTIF(AK5:AK244,"&lt;"&amp;0)+1)))/12</f>
        <v>14.470472613590493</v>
      </c>
      <c r="D73" s="111" t="s">
        <v>66</v>
      </c>
      <c r="E73" s="118" t="e">
        <f>(COUNTIF(AA5:AA244,"&lt;"&amp;0)+ABS(INDEX(AA5:AA244,COUNTIF(AA5:AA244,"&lt;"&amp;0))/INDEX(W5:W244,COUNTIF(AA5:AA244,"&lt;"&amp;0)+1)))/12</f>
        <v>#REF!</v>
      </c>
      <c r="G73" s="1"/>
      <c r="I73">
        <v>9</v>
      </c>
      <c r="J73" s="26">
        <f t="shared" si="50"/>
        <v>15995.933798840506</v>
      </c>
      <c r="K73" s="24">
        <f t="shared" si="51"/>
        <v>2213.9646744543475</v>
      </c>
      <c r="L73" s="24">
        <f t="shared" si="52"/>
        <v>8473.8191728810489</v>
      </c>
      <c r="M73" s="24">
        <v>0</v>
      </c>
      <c r="N73" s="48"/>
      <c r="O73" s="32">
        <f t="shared" si="55"/>
        <v>10082.99055914864</v>
      </c>
      <c r="P73" s="32">
        <f t="shared" si="66"/>
        <v>5151.3477698641373</v>
      </c>
      <c r="Q73" s="32">
        <f t="shared" si="67"/>
        <v>4931.6427892845031</v>
      </c>
      <c r="R73" s="45">
        <f t="shared" si="71"/>
        <v>1231391.8219781085</v>
      </c>
      <c r="S73" s="31">
        <f t="shared" si="56"/>
        <v>156.80218164097187</v>
      </c>
      <c r="T73" s="32">
        <f t="shared" si="57"/>
        <v>0</v>
      </c>
      <c r="U73" s="32">
        <f t="shared" si="58"/>
        <v>-4774.8406076435313</v>
      </c>
      <c r="V73" s="32">
        <f t="shared" si="59"/>
        <v>2728.2648235722081</v>
      </c>
      <c r="W73" s="32">
        <f t="shared" si="60"/>
        <v>970.7137416653095</v>
      </c>
      <c r="X73" s="32">
        <f t="shared" si="53"/>
        <v>724.36153975740388</v>
      </c>
      <c r="Y73" s="102">
        <f t="shared" si="68"/>
        <v>-109585.86270789905</v>
      </c>
      <c r="Z73" s="32">
        <f t="shared" si="72"/>
        <v>-126195.39521803126</v>
      </c>
      <c r="AA73" s="45">
        <f t="shared" si="73"/>
        <v>-126195.39521803132</v>
      </c>
      <c r="AB73" s="1"/>
      <c r="AC73" s="40">
        <f t="shared" si="61"/>
        <v>5308.1499515051091</v>
      </c>
      <c r="AD73" s="40">
        <f t="shared" si="62"/>
        <v>0</v>
      </c>
      <c r="AE73" s="40">
        <f t="shared" si="63"/>
        <v>5308.1499515051091</v>
      </c>
      <c r="AF73" s="40">
        <f t="shared" si="64"/>
        <v>2728.2648235722081</v>
      </c>
      <c r="AG73" s="40">
        <f t="shared" si="65"/>
        <v>11053.70430081395</v>
      </c>
      <c r="AH73" s="40">
        <f t="shared" si="54"/>
        <v>8248.4443391358782</v>
      </c>
      <c r="AI73" s="106">
        <f t="shared" si="74"/>
        <v>-1045848.5499616321</v>
      </c>
      <c r="AJ73" s="40">
        <f t="shared" si="69"/>
        <v>569530.9533632251</v>
      </c>
      <c r="AK73" s="108">
        <f t="shared" si="70"/>
        <v>-958297.34783721203</v>
      </c>
    </row>
    <row r="74" spans="2:37" ht="15" thickBot="1">
      <c r="B74" s="97" t="s">
        <v>98</v>
      </c>
      <c r="C74" s="142">
        <f>(AJ244-C5)/C5</f>
        <v>0.36980588784985619</v>
      </c>
      <c r="D74" s="143" t="s">
        <v>66</v>
      </c>
      <c r="E74" s="144" t="e">
        <f>(Z244-(C5-C5*C11))/(C5-C5*C11)</f>
        <v>#DIV/0!</v>
      </c>
      <c r="G74" s="1"/>
      <c r="I74">
        <v>10</v>
      </c>
      <c r="J74" s="26">
        <f t="shared" si="50"/>
        <v>11122.406304988164</v>
      </c>
      <c r="K74" s="24">
        <f t="shared" si="51"/>
        <v>2213.9646744543475</v>
      </c>
      <c r="L74" s="24">
        <f t="shared" si="52"/>
        <v>8473.8191728810489</v>
      </c>
      <c r="M74" s="24">
        <v>0</v>
      </c>
      <c r="N74" s="48"/>
      <c r="O74" s="32">
        <f t="shared" si="55"/>
        <v>10082.99055914864</v>
      </c>
      <c r="P74" s="32">
        <f t="shared" si="66"/>
        <v>5130.7992582421184</v>
      </c>
      <c r="Q74" s="32">
        <f t="shared" si="67"/>
        <v>4952.191300906522</v>
      </c>
      <c r="R74" s="45">
        <f t="shared" si="71"/>
        <v>1226439.630677202</v>
      </c>
      <c r="S74" s="31">
        <f t="shared" si="56"/>
        <v>-4696.1768005893509</v>
      </c>
      <c r="T74" s="32">
        <f t="shared" si="57"/>
        <v>0</v>
      </c>
      <c r="U74" s="32">
        <f t="shared" si="58"/>
        <v>-9648.3681014958729</v>
      </c>
      <c r="V74" s="32">
        <f t="shared" si="59"/>
        <v>2728.2648235722081</v>
      </c>
      <c r="W74" s="32">
        <f t="shared" si="60"/>
        <v>-3902.8137521870322</v>
      </c>
      <c r="X74" s="32">
        <f t="shared" si="53"/>
        <v>-2912.3397120871314</v>
      </c>
      <c r="Y74" s="102">
        <f t="shared" si="68"/>
        <v>-112498.20241998619</v>
      </c>
      <c r="Z74" s="32">
        <f t="shared" si="72"/>
        <v>-130098.2089702183</v>
      </c>
      <c r="AA74" s="45">
        <f t="shared" si="73"/>
        <v>-130098.20897021836</v>
      </c>
      <c r="AB74" s="1"/>
      <c r="AC74" s="40">
        <f t="shared" si="61"/>
        <v>434.62245765276748</v>
      </c>
      <c r="AD74" s="40">
        <f t="shared" si="62"/>
        <v>0</v>
      </c>
      <c r="AE74" s="40">
        <f t="shared" si="63"/>
        <v>434.62245765276748</v>
      </c>
      <c r="AF74" s="40">
        <f t="shared" si="64"/>
        <v>2728.2648235722081</v>
      </c>
      <c r="AG74" s="40">
        <f t="shared" si="65"/>
        <v>6180.1768069616082</v>
      </c>
      <c r="AH74" s="40">
        <f t="shared" si="54"/>
        <v>4611.7430872913437</v>
      </c>
      <c r="AI74" s="106">
        <f t="shared" si="74"/>
        <v>-1041236.8068743407</v>
      </c>
      <c r="AJ74" s="40">
        <f t="shared" si="69"/>
        <v>575711.13017018675</v>
      </c>
      <c r="AK74" s="108">
        <f t="shared" si="70"/>
        <v>-952117.17103025038</v>
      </c>
    </row>
    <row r="75" spans="2:37">
      <c r="B75" s="133"/>
      <c r="C75" s="140"/>
      <c r="D75" s="141"/>
      <c r="E75" s="6"/>
      <c r="G75" s="1"/>
      <c r="I75">
        <v>11</v>
      </c>
      <c r="J75" s="26">
        <f t="shared" si="50"/>
        <v>6039.5862193752937</v>
      </c>
      <c r="K75" s="24">
        <f t="shared" si="51"/>
        <v>2213.9646744543475</v>
      </c>
      <c r="L75" s="24">
        <f t="shared" si="52"/>
        <v>8473.8191728810489</v>
      </c>
      <c r="M75" s="24">
        <v>0</v>
      </c>
      <c r="N75" s="48"/>
      <c r="O75" s="32">
        <f t="shared" si="55"/>
        <v>10082.99055914864</v>
      </c>
      <c r="P75" s="32">
        <f t="shared" si="66"/>
        <v>5110.165127821675</v>
      </c>
      <c r="Q75" s="32">
        <f t="shared" si="67"/>
        <v>4972.8254313269654</v>
      </c>
      <c r="R75" s="45">
        <f t="shared" si="71"/>
        <v>1221466.8052458751</v>
      </c>
      <c r="S75" s="31">
        <f t="shared" si="56"/>
        <v>-9758.3627557817781</v>
      </c>
      <c r="T75" s="32">
        <f t="shared" si="57"/>
        <v>0</v>
      </c>
      <c r="U75" s="32">
        <f t="shared" si="58"/>
        <v>-14731.188187108743</v>
      </c>
      <c r="V75" s="32">
        <f t="shared" si="59"/>
        <v>2728.2648235722081</v>
      </c>
      <c r="W75" s="32">
        <f t="shared" si="60"/>
        <v>-8985.6338377999018</v>
      </c>
      <c r="X75" s="32">
        <f t="shared" si="53"/>
        <v>-6705.2183183053567</v>
      </c>
      <c r="Y75" s="102">
        <f t="shared" si="68"/>
        <v>-119203.42073829155</v>
      </c>
      <c r="Z75" s="32">
        <f t="shared" si="72"/>
        <v>-139083.84280801821</v>
      </c>
      <c r="AA75" s="45">
        <f t="shared" si="73"/>
        <v>-139083.84280801826</v>
      </c>
      <c r="AB75" s="1"/>
      <c r="AC75" s="40">
        <f t="shared" si="61"/>
        <v>-4648.1976279601022</v>
      </c>
      <c r="AD75" s="40">
        <f t="shared" si="62"/>
        <v>0</v>
      </c>
      <c r="AE75" s="40">
        <f t="shared" si="63"/>
        <v>-4648.1976279601022</v>
      </c>
      <c r="AF75" s="40">
        <f t="shared" si="64"/>
        <v>2728.2648235722081</v>
      </c>
      <c r="AG75" s="40">
        <f t="shared" si="65"/>
        <v>1097.3567213487386</v>
      </c>
      <c r="AH75" s="40">
        <f t="shared" si="54"/>
        <v>818.86448107311821</v>
      </c>
      <c r="AI75" s="106">
        <f t="shared" si="74"/>
        <v>-1040417.9423932676</v>
      </c>
      <c r="AJ75" s="40">
        <f t="shared" si="69"/>
        <v>576808.48689153546</v>
      </c>
      <c r="AK75" s="108">
        <f t="shared" si="70"/>
        <v>-951019.81430890167</v>
      </c>
    </row>
    <row r="76" spans="2:37">
      <c r="G76" s="1"/>
      <c r="I76">
        <v>12</v>
      </c>
      <c r="J76" s="26">
        <f t="shared" si="50"/>
        <v>5082.8200856128706</v>
      </c>
      <c r="K76" s="24">
        <f t="shared" si="51"/>
        <v>2213.9646744543475</v>
      </c>
      <c r="L76" s="24">
        <f t="shared" si="52"/>
        <v>8473.8191728810489</v>
      </c>
      <c r="M76" s="24">
        <v>0</v>
      </c>
      <c r="N76" s="48"/>
      <c r="O76" s="32">
        <f t="shared" si="55"/>
        <v>10082.99055914864</v>
      </c>
      <c r="P76" s="32">
        <f t="shared" si="66"/>
        <v>5089.4450218578131</v>
      </c>
      <c r="Q76" s="32">
        <f t="shared" si="67"/>
        <v>4993.5455372908273</v>
      </c>
      <c r="R76" s="45">
        <f t="shared" si="71"/>
        <v>1216473.2597085843</v>
      </c>
      <c r="S76" s="31">
        <f t="shared" si="56"/>
        <v>-10694.408783580338</v>
      </c>
      <c r="T76" s="32">
        <f t="shared" si="57"/>
        <v>0</v>
      </c>
      <c r="U76" s="32">
        <f t="shared" si="58"/>
        <v>-15687.954320871166</v>
      </c>
      <c r="V76" s="32">
        <f t="shared" si="59"/>
        <v>2728.2648235722081</v>
      </c>
      <c r="W76" s="32">
        <f t="shared" si="60"/>
        <v>-9942.3999715623249</v>
      </c>
      <c r="X76" s="32">
        <f t="shared" si="53"/>
        <v>-7419.1719382993761</v>
      </c>
      <c r="Y76" s="102">
        <f t="shared" si="68"/>
        <v>-126622.59267659092</v>
      </c>
      <c r="Z76" s="32">
        <f t="shared" si="72"/>
        <v>-149026.24277958053</v>
      </c>
      <c r="AA76" s="45">
        <f t="shared" si="73"/>
        <v>-149026.24277958059</v>
      </c>
      <c r="AB76" s="1"/>
      <c r="AC76" s="40">
        <f t="shared" si="61"/>
        <v>-5604.9637617225253</v>
      </c>
      <c r="AD76" s="40">
        <f t="shared" si="62"/>
        <v>0</v>
      </c>
      <c r="AE76" s="40">
        <f t="shared" si="63"/>
        <v>-5604.9637617225253</v>
      </c>
      <c r="AF76" s="40">
        <f t="shared" si="64"/>
        <v>2728.2648235722081</v>
      </c>
      <c r="AG76" s="40">
        <f t="shared" si="65"/>
        <v>140.59058758631545</v>
      </c>
      <c r="AH76" s="40">
        <f t="shared" si="54"/>
        <v>104.91086107909892</v>
      </c>
      <c r="AI76" s="106">
        <f t="shared" si="74"/>
        <v>-1040313.0315321885</v>
      </c>
      <c r="AJ76" s="40">
        <f t="shared" si="69"/>
        <v>576949.07747912174</v>
      </c>
      <c r="AK76" s="108">
        <f t="shared" si="70"/>
        <v>-950879.22372131539</v>
      </c>
    </row>
    <row r="77" spans="2:37">
      <c r="F77" s="132" t="s">
        <v>88</v>
      </c>
      <c r="G77" s="1">
        <f>SUM(S77:S88)</f>
        <v>-14307.606626878871</v>
      </c>
      <c r="H77">
        <v>2021</v>
      </c>
      <c r="I77">
        <v>1</v>
      </c>
      <c r="J77" s="26">
        <f t="shared" ref="J77:J88" si="75">C23*$C$44*$D$44</f>
        <v>5464.7431868458216</v>
      </c>
      <c r="K77" s="24">
        <f t="shared" ref="K77:K88" si="76">$K$76*$C$8</f>
        <v>2280.383614687978</v>
      </c>
      <c r="L77" s="24">
        <f t="shared" ref="L77:L88" si="77">(($C$5-SUM($L$5:$L$76))*0.15)/12</f>
        <v>7202.746296948887</v>
      </c>
      <c r="M77" s="24">
        <v>0</v>
      </c>
      <c r="N77" s="48"/>
      <c r="O77" s="32">
        <f t="shared" si="55"/>
        <v>10082.99055914864</v>
      </c>
      <c r="P77" s="32">
        <f t="shared" si="66"/>
        <v>5068.6385821191016</v>
      </c>
      <c r="Q77" s="32">
        <f t="shared" si="67"/>
        <v>5014.3519770295388</v>
      </c>
      <c r="R77" s="45">
        <f t="shared" si="71"/>
        <v>1211458.9077315547</v>
      </c>
      <c r="S77" s="31">
        <f t="shared" si="56"/>
        <v>-9087.0253069101454</v>
      </c>
      <c r="T77" s="32">
        <f t="shared" si="57"/>
        <v>0</v>
      </c>
      <c r="U77" s="32">
        <f t="shared" si="58"/>
        <v>-14101.377283939684</v>
      </c>
      <c r="V77" s="32">
        <f t="shared" si="59"/>
        <v>2728.2648235722081</v>
      </c>
      <c r="W77" s="32">
        <f t="shared" si="60"/>
        <v>-9626.8958105630045</v>
      </c>
      <c r="X77" s="32">
        <f t="shared" ref="X77:X88" si="78">W77/(1+$C$18)^7</f>
        <v>-6841.6551196750097</v>
      </c>
      <c r="Y77" s="102">
        <f t="shared" si="68"/>
        <v>-133464.24779626593</v>
      </c>
      <c r="Z77" s="32">
        <f t="shared" si="72"/>
        <v>-158653.13859014353</v>
      </c>
      <c r="AA77" s="45">
        <f t="shared" si="73"/>
        <v>-158653.13859014359</v>
      </c>
      <c r="AB77" s="1"/>
      <c r="AC77" s="40">
        <f t="shared" si="61"/>
        <v>-4018.3867247910434</v>
      </c>
      <c r="AD77" s="40">
        <f t="shared" si="62"/>
        <v>0</v>
      </c>
      <c r="AE77" s="40">
        <f t="shared" si="63"/>
        <v>-4018.3867247910434</v>
      </c>
      <c r="AF77" s="40">
        <f t="shared" si="64"/>
        <v>2728.2648235722081</v>
      </c>
      <c r="AG77" s="40">
        <f t="shared" si="65"/>
        <v>456.09474858563499</v>
      </c>
      <c r="AH77" s="40">
        <f t="shared" ref="AH77:AH88" si="79">AG77/(1+$C$18)^7</f>
        <v>324.13802259020241</v>
      </c>
      <c r="AI77" s="106">
        <f t="shared" si="74"/>
        <v>-1039988.8935095983</v>
      </c>
      <c r="AJ77" s="40">
        <f t="shared" si="69"/>
        <v>577405.17222770734</v>
      </c>
      <c r="AK77" s="108">
        <f t="shared" si="70"/>
        <v>-950423.12897272978</v>
      </c>
    </row>
    <row r="78" spans="2:37">
      <c r="F78" s="17" t="s">
        <v>31</v>
      </c>
      <c r="G78">
        <v>7</v>
      </c>
      <c r="I78">
        <v>2</v>
      </c>
      <c r="J78" s="26">
        <f t="shared" si="75"/>
        <v>8363.1705124657055</v>
      </c>
      <c r="K78" s="24">
        <f t="shared" si="76"/>
        <v>2280.383614687978</v>
      </c>
      <c r="L78" s="24">
        <f t="shared" si="77"/>
        <v>7202.746296948887</v>
      </c>
      <c r="M78" s="24">
        <v>0</v>
      </c>
      <c r="N78" s="48"/>
      <c r="O78" s="32">
        <f t="shared" si="55"/>
        <v>10082.99055914864</v>
      </c>
      <c r="P78" s="32">
        <f t="shared" si="66"/>
        <v>5047.7454488814783</v>
      </c>
      <c r="Q78" s="32">
        <f t="shared" si="67"/>
        <v>5035.2451102671621</v>
      </c>
      <c r="R78" s="45">
        <f t="shared" si="71"/>
        <v>1206423.6626212876</v>
      </c>
      <c r="S78" s="31">
        <f t="shared" si="56"/>
        <v>-6167.7048480526382</v>
      </c>
      <c r="T78" s="32">
        <f t="shared" si="57"/>
        <v>0</v>
      </c>
      <c r="U78" s="32">
        <f t="shared" si="58"/>
        <v>-11202.949958319801</v>
      </c>
      <c r="V78" s="32">
        <f t="shared" si="59"/>
        <v>2728.2648235722081</v>
      </c>
      <c r="W78" s="32">
        <f t="shared" si="60"/>
        <v>-6728.4684849431223</v>
      </c>
      <c r="X78" s="32">
        <f t="shared" si="78"/>
        <v>-4781.7969326179809</v>
      </c>
      <c r="Y78" s="102">
        <f t="shared" si="68"/>
        <v>-138246.04472888392</v>
      </c>
      <c r="Z78" s="32">
        <f t="shared" si="72"/>
        <v>-165381.60707508665</v>
      </c>
      <c r="AA78" s="45">
        <f t="shared" si="73"/>
        <v>-165381.60707508671</v>
      </c>
      <c r="AB78" s="1"/>
      <c r="AC78" s="40">
        <f t="shared" si="61"/>
        <v>-1119.9593991711599</v>
      </c>
      <c r="AD78" s="40">
        <f t="shared" si="62"/>
        <v>0</v>
      </c>
      <c r="AE78" s="40">
        <f t="shared" si="63"/>
        <v>-1119.9593991711599</v>
      </c>
      <c r="AF78" s="40">
        <f t="shared" si="64"/>
        <v>2728.2648235722081</v>
      </c>
      <c r="AG78" s="40">
        <f t="shared" si="65"/>
        <v>3354.5220742055189</v>
      </c>
      <c r="AH78" s="40">
        <f t="shared" si="79"/>
        <v>2383.9962096472323</v>
      </c>
      <c r="AI78" s="106">
        <f t="shared" si="74"/>
        <v>-1037604.8972999511</v>
      </c>
      <c r="AJ78" s="40">
        <f t="shared" si="69"/>
        <v>580759.69430191291</v>
      </c>
      <c r="AK78" s="108">
        <f t="shared" si="70"/>
        <v>-947068.60689852422</v>
      </c>
    </row>
    <row r="79" spans="2:37">
      <c r="F79" s="13" t="s">
        <v>30</v>
      </c>
      <c r="G79" s="1">
        <f>G67+G77-G5</f>
        <v>-429589.19612635346</v>
      </c>
      <c r="I79">
        <v>3</v>
      </c>
      <c r="J79" s="26">
        <f t="shared" si="75"/>
        <v>14990.303824690336</v>
      </c>
      <c r="K79" s="24">
        <f t="shared" si="76"/>
        <v>2280.383614687978</v>
      </c>
      <c r="L79" s="24">
        <f t="shared" si="77"/>
        <v>7202.746296948887</v>
      </c>
      <c r="M79" s="24">
        <v>0</v>
      </c>
      <c r="N79" s="48"/>
      <c r="O79" s="32">
        <f t="shared" si="55"/>
        <v>10082.99055914864</v>
      </c>
      <c r="P79" s="32">
        <f t="shared" si="66"/>
        <v>5026.7652609220313</v>
      </c>
      <c r="Q79" s="32">
        <f t="shared" si="67"/>
        <v>5056.2252982266091</v>
      </c>
      <c r="R79" s="45">
        <f t="shared" si="71"/>
        <v>1201367.4373230611</v>
      </c>
      <c r="S79" s="31">
        <f t="shared" si="56"/>
        <v>480.40865213143934</v>
      </c>
      <c r="T79" s="32">
        <f t="shared" si="57"/>
        <v>0</v>
      </c>
      <c r="U79" s="32">
        <f t="shared" si="58"/>
        <v>-4575.8166460951697</v>
      </c>
      <c r="V79" s="32">
        <f t="shared" si="59"/>
        <v>2728.2648235722081</v>
      </c>
      <c r="W79" s="32">
        <f t="shared" si="60"/>
        <v>-101.33517271849087</v>
      </c>
      <c r="X79" s="32">
        <f t="shared" si="78"/>
        <v>-72.017015336542684</v>
      </c>
      <c r="Y79" s="102">
        <f t="shared" si="68"/>
        <v>-138318.06174422047</v>
      </c>
      <c r="Z79" s="32">
        <f t="shared" si="72"/>
        <v>-165482.94224780513</v>
      </c>
      <c r="AA79" s="45">
        <f t="shared" si="73"/>
        <v>-165482.94224780519</v>
      </c>
      <c r="AB79" s="1"/>
      <c r="AC79" s="40">
        <f t="shared" si="61"/>
        <v>5507.1739130534706</v>
      </c>
      <c r="AD79" s="40">
        <f t="shared" si="62"/>
        <v>0</v>
      </c>
      <c r="AE79" s="40">
        <f t="shared" si="63"/>
        <v>5507.1739130534706</v>
      </c>
      <c r="AF79" s="40">
        <f t="shared" si="64"/>
        <v>2728.2648235722081</v>
      </c>
      <c r="AG79" s="40">
        <f t="shared" si="65"/>
        <v>9981.6553864301495</v>
      </c>
      <c r="AH79" s="40">
        <f t="shared" si="79"/>
        <v>7093.7761269286702</v>
      </c>
      <c r="AI79" s="106">
        <f t="shared" si="74"/>
        <v>-1030511.1211730224</v>
      </c>
      <c r="AJ79" s="40">
        <f t="shared" si="69"/>
        <v>590741.34968834301</v>
      </c>
      <c r="AK79" s="108">
        <f t="shared" si="70"/>
        <v>-937086.95151209412</v>
      </c>
    </row>
    <row r="80" spans="2:37">
      <c r="F80" s="18" t="s">
        <v>39</v>
      </c>
      <c r="G80" s="1">
        <v>0</v>
      </c>
      <c r="I80">
        <v>4</v>
      </c>
      <c r="J80" s="26">
        <f t="shared" si="75"/>
        <v>17209.412245868058</v>
      </c>
      <c r="K80" s="24">
        <f t="shared" si="76"/>
        <v>2280.383614687978</v>
      </c>
      <c r="L80" s="24">
        <f t="shared" si="77"/>
        <v>7202.746296948887</v>
      </c>
      <c r="M80" s="24">
        <v>0</v>
      </c>
      <c r="N80" s="48"/>
      <c r="O80" s="32">
        <f t="shared" si="55"/>
        <v>10082.99055914864</v>
      </c>
      <c r="P80" s="32">
        <f t="shared" si="66"/>
        <v>5005.697655512754</v>
      </c>
      <c r="Q80" s="32">
        <f t="shared" si="67"/>
        <v>5077.2929036358864</v>
      </c>
      <c r="R80" s="45">
        <f t="shared" si="71"/>
        <v>1196290.1444194252</v>
      </c>
      <c r="S80" s="31">
        <f t="shared" si="56"/>
        <v>2720.5846787184382</v>
      </c>
      <c r="T80" s="32">
        <f t="shared" si="57"/>
        <v>0</v>
      </c>
      <c r="U80" s="32">
        <f t="shared" si="58"/>
        <v>-2356.7082249174482</v>
      </c>
      <c r="V80" s="32">
        <f t="shared" si="59"/>
        <v>2728.2648235722081</v>
      </c>
      <c r="W80" s="32">
        <f t="shared" si="60"/>
        <v>2117.7732484592307</v>
      </c>
      <c r="X80" s="32">
        <f t="shared" si="78"/>
        <v>1505.0619091289943</v>
      </c>
      <c r="Y80" s="102">
        <f t="shared" si="68"/>
        <v>-136812.99983509147</v>
      </c>
      <c r="Z80" s="32">
        <f t="shared" si="72"/>
        <v>-163365.16899934589</v>
      </c>
      <c r="AA80" s="45">
        <f t="shared" si="73"/>
        <v>-163365.16899934594</v>
      </c>
      <c r="AB80" s="1"/>
      <c r="AC80" s="40">
        <f t="shared" si="61"/>
        <v>7726.2823342311922</v>
      </c>
      <c r="AD80" s="40">
        <f t="shared" si="62"/>
        <v>0</v>
      </c>
      <c r="AE80" s="40">
        <f t="shared" si="63"/>
        <v>7726.2823342311922</v>
      </c>
      <c r="AF80" s="40">
        <f t="shared" si="64"/>
        <v>2728.2648235722081</v>
      </c>
      <c r="AG80" s="40">
        <f t="shared" si="65"/>
        <v>12200.763807607871</v>
      </c>
      <c r="AH80" s="40">
        <f t="shared" si="79"/>
        <v>8670.8550513942064</v>
      </c>
      <c r="AI80" s="106">
        <f t="shared" si="74"/>
        <v>-1021840.2661216282</v>
      </c>
      <c r="AJ80" s="40">
        <f t="shared" si="69"/>
        <v>602942.11349595082</v>
      </c>
      <c r="AK80" s="108">
        <f t="shared" si="70"/>
        <v>-924886.18770448631</v>
      </c>
    </row>
    <row r="81" spans="6:37">
      <c r="F81" s="16" t="s">
        <v>90</v>
      </c>
      <c r="G81" s="129">
        <f>$C$60</f>
        <v>0</v>
      </c>
      <c r="I81">
        <v>5</v>
      </c>
      <c r="J81" s="26">
        <f t="shared" si="75"/>
        <v>17813.251272038866</v>
      </c>
      <c r="K81" s="24">
        <f t="shared" si="76"/>
        <v>2280.383614687978</v>
      </c>
      <c r="L81" s="24">
        <f t="shared" si="77"/>
        <v>7202.746296948887</v>
      </c>
      <c r="M81" s="24">
        <v>0</v>
      </c>
      <c r="N81" s="48"/>
      <c r="O81" s="32">
        <f t="shared" si="55"/>
        <v>10082.99055914864</v>
      </c>
      <c r="P81" s="32">
        <f t="shared" si="66"/>
        <v>4984.5422684142713</v>
      </c>
      <c r="Q81" s="32">
        <f t="shared" si="67"/>
        <v>5098.448290734369</v>
      </c>
      <c r="R81" s="45">
        <f t="shared" si="71"/>
        <v>1191191.6961286908</v>
      </c>
      <c r="S81" s="31">
        <f t="shared" si="56"/>
        <v>3345.57909198773</v>
      </c>
      <c r="T81" s="32">
        <f t="shared" si="57"/>
        <v>0</v>
      </c>
      <c r="U81" s="32">
        <f t="shared" si="58"/>
        <v>-1752.8691987466391</v>
      </c>
      <c r="V81" s="32">
        <f t="shared" si="59"/>
        <v>2728.2648235722081</v>
      </c>
      <c r="W81" s="32">
        <f t="shared" si="60"/>
        <v>2721.6122746300398</v>
      </c>
      <c r="X81" s="32">
        <f t="shared" si="78"/>
        <v>1934.1990314325421</v>
      </c>
      <c r="Y81" s="102">
        <f t="shared" si="68"/>
        <v>-134878.80080365893</v>
      </c>
      <c r="Z81" s="32">
        <f t="shared" si="72"/>
        <v>-160643.55672471583</v>
      </c>
      <c r="AA81" s="45">
        <f t="shared" si="73"/>
        <v>-160643.55672471589</v>
      </c>
      <c r="AB81" s="1"/>
      <c r="AC81" s="40">
        <f t="shared" si="61"/>
        <v>8330.1213604020013</v>
      </c>
      <c r="AD81" s="40">
        <f t="shared" si="62"/>
        <v>0</v>
      </c>
      <c r="AE81" s="40">
        <f t="shared" si="63"/>
        <v>8330.1213604020013</v>
      </c>
      <c r="AF81" s="40">
        <f t="shared" si="64"/>
        <v>2728.2648235722081</v>
      </c>
      <c r="AG81" s="40">
        <f t="shared" si="65"/>
        <v>12804.602833778681</v>
      </c>
      <c r="AH81" s="40">
        <f t="shared" si="79"/>
        <v>9099.9921736977558</v>
      </c>
      <c r="AI81" s="106">
        <f t="shared" si="74"/>
        <v>-1012740.2739479304</v>
      </c>
      <c r="AJ81" s="40">
        <f t="shared" si="69"/>
        <v>615746.71632972953</v>
      </c>
      <c r="AK81" s="108">
        <f t="shared" si="70"/>
        <v>-912081.58487070759</v>
      </c>
    </row>
    <row r="82" spans="6:37">
      <c r="G82" s="1"/>
      <c r="I82">
        <v>6</v>
      </c>
      <c r="J82" s="26">
        <f t="shared" si="75"/>
        <v>18568.050054752377</v>
      </c>
      <c r="K82" s="24">
        <f t="shared" si="76"/>
        <v>2280.383614687978</v>
      </c>
      <c r="L82" s="24">
        <f t="shared" si="77"/>
        <v>7202.746296948887</v>
      </c>
      <c r="M82" s="24">
        <v>0</v>
      </c>
      <c r="N82" s="48"/>
      <c r="O82" s="32">
        <f t="shared" si="55"/>
        <v>10082.99055914864</v>
      </c>
      <c r="P82" s="32">
        <f t="shared" si="66"/>
        <v>4963.2987338695448</v>
      </c>
      <c r="Q82" s="32">
        <f t="shared" si="67"/>
        <v>5119.6918252790956</v>
      </c>
      <c r="R82" s="45">
        <f t="shared" si="71"/>
        <v>1186072.0043034118</v>
      </c>
      <c r="S82" s="31">
        <f t="shared" si="56"/>
        <v>4121.6214092459677</v>
      </c>
      <c r="T82" s="32">
        <f t="shared" si="57"/>
        <v>0</v>
      </c>
      <c r="U82" s="32">
        <f t="shared" si="58"/>
        <v>-998.07041603312791</v>
      </c>
      <c r="V82" s="32">
        <f t="shared" si="59"/>
        <v>2728.2648235722081</v>
      </c>
      <c r="W82" s="32">
        <f t="shared" si="60"/>
        <v>3476.411057343551</v>
      </c>
      <c r="X82" s="32">
        <f t="shared" si="78"/>
        <v>2470.6204343119766</v>
      </c>
      <c r="Y82" s="102">
        <f t="shared" si="68"/>
        <v>-132408.18036934696</v>
      </c>
      <c r="Z82" s="32">
        <f t="shared" si="72"/>
        <v>-157167.14566737227</v>
      </c>
      <c r="AA82" s="45">
        <f t="shared" si="73"/>
        <v>-157167.14566737233</v>
      </c>
      <c r="AB82" s="1"/>
      <c r="AC82" s="40">
        <f t="shared" si="61"/>
        <v>9084.9201431155125</v>
      </c>
      <c r="AD82" s="40">
        <f t="shared" si="62"/>
        <v>0</v>
      </c>
      <c r="AE82" s="40">
        <f t="shared" si="63"/>
        <v>9084.9201431155125</v>
      </c>
      <c r="AF82" s="40">
        <f t="shared" si="64"/>
        <v>2728.2648235722081</v>
      </c>
      <c r="AG82" s="40">
        <f t="shared" si="65"/>
        <v>13559.401616492192</v>
      </c>
      <c r="AH82" s="40">
        <f t="shared" si="79"/>
        <v>9636.4135765771898</v>
      </c>
      <c r="AI82" s="106">
        <f t="shared" si="74"/>
        <v>-1003103.8603713532</v>
      </c>
      <c r="AJ82" s="40">
        <f t="shared" si="69"/>
        <v>629306.11794622173</v>
      </c>
      <c r="AK82" s="108">
        <f t="shared" si="70"/>
        <v>-898522.1832542154</v>
      </c>
    </row>
    <row r="83" spans="6:37">
      <c r="G83" s="1"/>
      <c r="I83">
        <v>7</v>
      </c>
      <c r="J83" s="26">
        <f t="shared" si="75"/>
        <v>19775.728107093997</v>
      </c>
      <c r="K83" s="24">
        <f t="shared" si="76"/>
        <v>2280.383614687978</v>
      </c>
      <c r="L83" s="24">
        <f t="shared" si="77"/>
        <v>7202.746296948887</v>
      </c>
      <c r="M83" s="24">
        <v>0</v>
      </c>
      <c r="N83" s="48"/>
      <c r="O83" s="32">
        <f t="shared" si="55"/>
        <v>10082.99055914864</v>
      </c>
      <c r="P83" s="32">
        <f t="shared" si="66"/>
        <v>4941.9666845975489</v>
      </c>
      <c r="Q83" s="32">
        <f t="shared" si="67"/>
        <v>5141.0238745510915</v>
      </c>
      <c r="R83" s="45">
        <f t="shared" si="71"/>
        <v>1180930.9804288608</v>
      </c>
      <c r="S83" s="31">
        <f t="shared" si="56"/>
        <v>5350.6315108595836</v>
      </c>
      <c r="T83" s="32">
        <f t="shared" si="57"/>
        <v>0</v>
      </c>
      <c r="U83" s="32">
        <f t="shared" si="58"/>
        <v>209.60763630849215</v>
      </c>
      <c r="V83" s="32">
        <f t="shared" si="59"/>
        <v>2728.2648235722081</v>
      </c>
      <c r="W83" s="32">
        <f t="shared" si="60"/>
        <v>4684.089109685171</v>
      </c>
      <c r="X83" s="32">
        <f t="shared" si="78"/>
        <v>3328.8946789190736</v>
      </c>
      <c r="Y83" s="102">
        <f t="shared" si="68"/>
        <v>-129079.28569042789</v>
      </c>
      <c r="Z83" s="32">
        <f t="shared" si="72"/>
        <v>-152483.05655768709</v>
      </c>
      <c r="AA83" s="45">
        <f t="shared" si="73"/>
        <v>-152483.05655768714</v>
      </c>
      <c r="AB83" s="1"/>
      <c r="AC83" s="40">
        <f t="shared" si="61"/>
        <v>10292.598195457133</v>
      </c>
      <c r="AD83" s="40">
        <f t="shared" si="62"/>
        <v>0</v>
      </c>
      <c r="AE83" s="40">
        <f t="shared" si="63"/>
        <v>10292.598195457133</v>
      </c>
      <c r="AF83" s="40">
        <f t="shared" si="64"/>
        <v>2728.2648235722081</v>
      </c>
      <c r="AG83" s="40">
        <f t="shared" si="65"/>
        <v>14767.079668833812</v>
      </c>
      <c r="AH83" s="40">
        <f t="shared" si="79"/>
        <v>10494.687821184287</v>
      </c>
      <c r="AI83" s="106">
        <f t="shared" si="74"/>
        <v>-992609.17255016894</v>
      </c>
      <c r="AJ83" s="40">
        <f t="shared" si="69"/>
        <v>644073.19761505548</v>
      </c>
      <c r="AK83" s="108">
        <f t="shared" si="70"/>
        <v>-883755.10358538164</v>
      </c>
    </row>
    <row r="84" spans="6:37">
      <c r="G84" s="1"/>
      <c r="I84">
        <v>8</v>
      </c>
      <c r="J84" s="26">
        <f t="shared" si="75"/>
        <v>18115.170785124272</v>
      </c>
      <c r="K84" s="24">
        <f t="shared" si="76"/>
        <v>2280.383614687978</v>
      </c>
      <c r="L84" s="24">
        <f t="shared" si="77"/>
        <v>7202.746296948887</v>
      </c>
      <c r="M84" s="24">
        <v>0</v>
      </c>
      <c r="N84" s="48"/>
      <c r="O84" s="32">
        <f t="shared" si="55"/>
        <v>10082.99055914864</v>
      </c>
      <c r="P84" s="32">
        <f t="shared" si="66"/>
        <v>4920.5457517869199</v>
      </c>
      <c r="Q84" s="32">
        <f t="shared" si="67"/>
        <v>5162.4448073617204</v>
      </c>
      <c r="R84" s="45">
        <f t="shared" si="71"/>
        <v>1175768.5356214989</v>
      </c>
      <c r="S84" s="31">
        <f t="shared" si="56"/>
        <v>3711.4951217004873</v>
      </c>
      <c r="T84" s="32">
        <f t="shared" si="57"/>
        <v>0</v>
      </c>
      <c r="U84" s="32">
        <f t="shared" si="58"/>
        <v>-1450.9496856612332</v>
      </c>
      <c r="V84" s="32">
        <f t="shared" si="59"/>
        <v>2728.2648235722081</v>
      </c>
      <c r="W84" s="32">
        <f t="shared" si="60"/>
        <v>3023.5317877154457</v>
      </c>
      <c r="X84" s="32">
        <f t="shared" si="78"/>
        <v>2148.7675925843168</v>
      </c>
      <c r="Y84" s="102">
        <f t="shared" si="68"/>
        <v>-126930.51809784357</v>
      </c>
      <c r="Z84" s="32">
        <f t="shared" si="72"/>
        <v>-149459.52476997164</v>
      </c>
      <c r="AA84" s="45">
        <f t="shared" si="73"/>
        <v>-149459.5247699717</v>
      </c>
      <c r="AB84" s="1"/>
      <c r="AC84" s="40">
        <f t="shared" si="61"/>
        <v>8632.0408734874072</v>
      </c>
      <c r="AD84" s="40">
        <f t="shared" si="62"/>
        <v>0</v>
      </c>
      <c r="AE84" s="40">
        <f t="shared" si="63"/>
        <v>8632.0408734874072</v>
      </c>
      <c r="AF84" s="40">
        <f t="shared" si="64"/>
        <v>2728.2648235722081</v>
      </c>
      <c r="AG84" s="40">
        <f t="shared" si="65"/>
        <v>13106.522346864087</v>
      </c>
      <c r="AH84" s="40">
        <f t="shared" si="79"/>
        <v>9314.5607348495305</v>
      </c>
      <c r="AI84" s="106">
        <f t="shared" si="74"/>
        <v>-983294.6118153194</v>
      </c>
      <c r="AJ84" s="40">
        <f t="shared" si="69"/>
        <v>657179.71996191959</v>
      </c>
      <c r="AK84" s="108">
        <f t="shared" si="70"/>
        <v>-870648.58123851754</v>
      </c>
    </row>
    <row r="85" spans="6:37">
      <c r="G85" s="1"/>
      <c r="I85">
        <v>9</v>
      </c>
      <c r="J85" s="26">
        <f t="shared" si="75"/>
        <v>16152.693950069142</v>
      </c>
      <c r="K85" s="24">
        <f t="shared" si="76"/>
        <v>2280.383614687978</v>
      </c>
      <c r="L85" s="24">
        <f t="shared" si="77"/>
        <v>7202.746296948887</v>
      </c>
      <c r="M85" s="24">
        <v>0</v>
      </c>
      <c r="N85" s="48"/>
      <c r="O85" s="32">
        <f t="shared" si="55"/>
        <v>10082.99055914864</v>
      </c>
      <c r="P85" s="32">
        <f t="shared" si="66"/>
        <v>4899.035565089579</v>
      </c>
      <c r="Q85" s="32">
        <f t="shared" si="67"/>
        <v>5183.9549940590614</v>
      </c>
      <c r="R85" s="45">
        <f t="shared" si="71"/>
        <v>1170584.5806274398</v>
      </c>
      <c r="S85" s="31">
        <f t="shared" si="56"/>
        <v>1770.5284733426979</v>
      </c>
      <c r="T85" s="32">
        <f t="shared" si="57"/>
        <v>0</v>
      </c>
      <c r="U85" s="32">
        <f t="shared" si="58"/>
        <v>-3413.4265207163635</v>
      </c>
      <c r="V85" s="32">
        <f t="shared" si="59"/>
        <v>2728.2648235722081</v>
      </c>
      <c r="W85" s="32">
        <f t="shared" si="60"/>
        <v>1061.0549526603154</v>
      </c>
      <c r="X85" s="32">
        <f t="shared" si="78"/>
        <v>754.07194509778594</v>
      </c>
      <c r="Y85" s="102">
        <f t="shared" si="68"/>
        <v>-126176.44615274578</v>
      </c>
      <c r="Z85" s="32">
        <f t="shared" si="72"/>
        <v>-148398.46981731133</v>
      </c>
      <c r="AA85" s="45">
        <f t="shared" si="73"/>
        <v>-148398.46981731139</v>
      </c>
      <c r="AB85" s="1"/>
      <c r="AC85" s="40">
        <f t="shared" si="61"/>
        <v>6669.5640384322769</v>
      </c>
      <c r="AD85" s="40">
        <f t="shared" si="62"/>
        <v>0</v>
      </c>
      <c r="AE85" s="40">
        <f t="shared" si="63"/>
        <v>6669.5640384322769</v>
      </c>
      <c r="AF85" s="40">
        <f t="shared" si="64"/>
        <v>2728.2648235722081</v>
      </c>
      <c r="AG85" s="40">
        <f t="shared" si="65"/>
        <v>11144.045511808956</v>
      </c>
      <c r="AH85" s="40">
        <f t="shared" si="79"/>
        <v>7919.8650873629986</v>
      </c>
      <c r="AI85" s="106">
        <f t="shared" si="74"/>
        <v>-975374.74672795634</v>
      </c>
      <c r="AJ85" s="40">
        <f t="shared" si="69"/>
        <v>668323.76547372853</v>
      </c>
      <c r="AK85" s="108">
        <f t="shared" si="70"/>
        <v>-859504.53572670859</v>
      </c>
    </row>
    <row r="86" spans="6:37">
      <c r="G86" s="1"/>
      <c r="I86">
        <v>10</v>
      </c>
      <c r="J86" s="26">
        <f t="shared" si="75"/>
        <v>11231.405886777049</v>
      </c>
      <c r="K86" s="24">
        <f t="shared" si="76"/>
        <v>2280.383614687978</v>
      </c>
      <c r="L86" s="24">
        <f t="shared" si="77"/>
        <v>7202.746296948887</v>
      </c>
      <c r="M86" s="24">
        <v>0</v>
      </c>
      <c r="N86" s="48"/>
      <c r="O86" s="32">
        <f t="shared" si="55"/>
        <v>10082.99055914864</v>
      </c>
      <c r="P86" s="32">
        <f t="shared" si="66"/>
        <v>4877.4357526143322</v>
      </c>
      <c r="Q86" s="32">
        <f t="shared" si="67"/>
        <v>5205.5548065343082</v>
      </c>
      <c r="R86" s="45">
        <f t="shared" si="71"/>
        <v>1165379.0258209056</v>
      </c>
      <c r="S86" s="31">
        <f t="shared" si="56"/>
        <v>-3129.1597774741485</v>
      </c>
      <c r="T86" s="32">
        <f t="shared" si="57"/>
        <v>0</v>
      </c>
      <c r="U86" s="32">
        <f t="shared" si="58"/>
        <v>-8334.7145840084559</v>
      </c>
      <c r="V86" s="32">
        <f t="shared" si="59"/>
        <v>2728.2648235722081</v>
      </c>
      <c r="W86" s="32">
        <f t="shared" si="60"/>
        <v>-3860.233110631777</v>
      </c>
      <c r="X86" s="32">
        <f t="shared" si="78"/>
        <v>-2743.3956016761276</v>
      </c>
      <c r="Y86" s="102">
        <f t="shared" si="68"/>
        <v>-128919.8417544219</v>
      </c>
      <c r="Z86" s="32">
        <f t="shared" si="72"/>
        <v>-152258.70292794312</v>
      </c>
      <c r="AA86" s="45">
        <f t="shared" si="73"/>
        <v>-152258.70292794317</v>
      </c>
      <c r="AB86" s="1"/>
      <c r="AC86" s="40">
        <f t="shared" si="61"/>
        <v>1748.2759751401836</v>
      </c>
      <c r="AD86" s="40">
        <f t="shared" si="62"/>
        <v>0</v>
      </c>
      <c r="AE86" s="40">
        <f t="shared" si="63"/>
        <v>1748.2759751401836</v>
      </c>
      <c r="AF86" s="40">
        <f t="shared" si="64"/>
        <v>2728.2648235722081</v>
      </c>
      <c r="AG86" s="40">
        <f t="shared" si="65"/>
        <v>6222.7574485168625</v>
      </c>
      <c r="AH86" s="40">
        <f t="shared" si="79"/>
        <v>4422.3975405890842</v>
      </c>
      <c r="AI86" s="106">
        <f t="shared" si="74"/>
        <v>-970952.34918736725</v>
      </c>
      <c r="AJ86" s="40">
        <f t="shared" si="69"/>
        <v>674546.52292224544</v>
      </c>
      <c r="AK86" s="108">
        <f t="shared" si="70"/>
        <v>-853281.77827819169</v>
      </c>
    </row>
    <row r="87" spans="6:37">
      <c r="G87" s="1"/>
      <c r="I87">
        <v>11</v>
      </c>
      <c r="J87" s="26">
        <f t="shared" si="75"/>
        <v>6098.7741643251711</v>
      </c>
      <c r="K87" s="24">
        <f t="shared" si="76"/>
        <v>2280.383614687978</v>
      </c>
      <c r="L87" s="24">
        <f t="shared" si="77"/>
        <v>7202.746296948887</v>
      </c>
      <c r="M87" s="24">
        <v>0</v>
      </c>
      <c r="N87" s="48"/>
      <c r="O87" s="32">
        <f t="shared" si="55"/>
        <v>10082.99055914864</v>
      </c>
      <c r="P87" s="32">
        <f t="shared" si="66"/>
        <v>4855.7459409204403</v>
      </c>
      <c r="Q87" s="32">
        <f t="shared" si="67"/>
        <v>5227.2446182282001</v>
      </c>
      <c r="R87" s="45">
        <f t="shared" si="71"/>
        <v>1160151.7812026774</v>
      </c>
      <c r="S87" s="31">
        <f t="shared" si="56"/>
        <v>-8240.1016882321346</v>
      </c>
      <c r="T87" s="32">
        <f t="shared" si="57"/>
        <v>0</v>
      </c>
      <c r="U87" s="32">
        <f t="shared" si="58"/>
        <v>-13467.346306460335</v>
      </c>
      <c r="V87" s="32">
        <f t="shared" si="59"/>
        <v>2728.2648235722081</v>
      </c>
      <c r="W87" s="32">
        <f t="shared" si="60"/>
        <v>-8992.864833083655</v>
      </c>
      <c r="X87" s="32">
        <f t="shared" si="78"/>
        <v>-6391.0611412562848</v>
      </c>
      <c r="Y87" s="102">
        <f t="shared" si="68"/>
        <v>-135310.90289567818</v>
      </c>
      <c r="Z87" s="32">
        <f t="shared" si="72"/>
        <v>-161251.56776102676</v>
      </c>
      <c r="AA87" s="45">
        <f t="shared" si="73"/>
        <v>-161251.56776102682</v>
      </c>
      <c r="AB87" s="1"/>
      <c r="AC87" s="40">
        <f t="shared" si="61"/>
        <v>-3384.3557473116939</v>
      </c>
      <c r="AD87" s="40">
        <f t="shared" si="62"/>
        <v>0</v>
      </c>
      <c r="AE87" s="40">
        <f t="shared" si="63"/>
        <v>-3384.3557473116939</v>
      </c>
      <c r="AF87" s="40">
        <f t="shared" si="64"/>
        <v>2728.2648235722081</v>
      </c>
      <c r="AG87" s="40">
        <f t="shared" si="65"/>
        <v>1090.1257260649845</v>
      </c>
      <c r="AH87" s="40">
        <f t="shared" si="79"/>
        <v>774.73200100892757</v>
      </c>
      <c r="AI87" s="106">
        <f t="shared" si="74"/>
        <v>-970177.61718635831</v>
      </c>
      <c r="AJ87" s="40">
        <f t="shared" si="69"/>
        <v>675636.64864831045</v>
      </c>
      <c r="AK87" s="108">
        <f t="shared" si="70"/>
        <v>-852191.65255212667</v>
      </c>
    </row>
    <row r="88" spans="6:37">
      <c r="G88" s="1"/>
      <c r="I88">
        <v>12</v>
      </c>
      <c r="J88" s="26">
        <f t="shared" si="75"/>
        <v>5132.6317224518771</v>
      </c>
      <c r="K88" s="24">
        <f t="shared" si="76"/>
        <v>2280.383614687978</v>
      </c>
      <c r="L88" s="24">
        <f t="shared" si="77"/>
        <v>7202.746296948887</v>
      </c>
      <c r="M88" s="24">
        <v>0</v>
      </c>
      <c r="N88" s="48"/>
      <c r="O88" s="32">
        <f t="shared" si="55"/>
        <v>10082.99055914864</v>
      </c>
      <c r="P88" s="32">
        <f t="shared" si="66"/>
        <v>4833.965755011156</v>
      </c>
      <c r="Q88" s="32">
        <f t="shared" si="67"/>
        <v>5249.0248041374844</v>
      </c>
      <c r="R88" s="45">
        <f t="shared" si="71"/>
        <v>1154902.75639854</v>
      </c>
      <c r="S88" s="31">
        <f t="shared" si="56"/>
        <v>-9184.4639441961444</v>
      </c>
      <c r="T88" s="32">
        <f t="shared" si="57"/>
        <v>0</v>
      </c>
      <c r="U88" s="32">
        <f t="shared" si="58"/>
        <v>-14433.488748333628</v>
      </c>
      <c r="V88" s="32">
        <f t="shared" si="59"/>
        <v>2728.2648235722081</v>
      </c>
      <c r="W88" s="32">
        <f t="shared" si="60"/>
        <v>-9959.0072749569481</v>
      </c>
      <c r="X88" s="32">
        <f t="shared" si="78"/>
        <v>-7077.6805369419599</v>
      </c>
      <c r="Y88" s="102">
        <f t="shared" si="68"/>
        <v>-142388.58343262016</v>
      </c>
      <c r="Z88" s="32">
        <f t="shared" si="72"/>
        <v>-171210.5750359837</v>
      </c>
      <c r="AA88" s="45">
        <f t="shared" si="73"/>
        <v>-171210.57503598375</v>
      </c>
      <c r="AB88" s="1"/>
      <c r="AC88" s="40">
        <f t="shared" si="61"/>
        <v>-4350.4981891849875</v>
      </c>
      <c r="AD88" s="40">
        <f t="shared" si="62"/>
        <v>0</v>
      </c>
      <c r="AE88" s="40">
        <f t="shared" si="63"/>
        <v>-4350.4981891849875</v>
      </c>
      <c r="AF88" s="40">
        <f t="shared" si="64"/>
        <v>2728.2648235722081</v>
      </c>
      <c r="AG88" s="40">
        <f t="shared" si="65"/>
        <v>123.98328419169138</v>
      </c>
      <c r="AH88" s="40">
        <f t="shared" si="79"/>
        <v>88.112605323252097</v>
      </c>
      <c r="AI88" s="106">
        <f t="shared" si="74"/>
        <v>-970089.50458103511</v>
      </c>
      <c r="AJ88" s="40">
        <f t="shared" si="69"/>
        <v>675760.63193250215</v>
      </c>
      <c r="AK88" s="108">
        <f t="shared" si="70"/>
        <v>-852067.66926793498</v>
      </c>
    </row>
    <row r="89" spans="6:37">
      <c r="F89" s="132" t="s">
        <v>88</v>
      </c>
      <c r="G89" s="1">
        <f>SUM(S89:S100)</f>
        <v>2543.8326991993727</v>
      </c>
      <c r="H89">
        <v>2022</v>
      </c>
      <c r="I89">
        <v>1</v>
      </c>
      <c r="J89" s="26">
        <f t="shared" ref="J89:J100" si="80">C23*$C$45*$D$45</f>
        <v>5518.2976700769113</v>
      </c>
      <c r="K89" s="24">
        <f t="shared" ref="K89:K100" si="81">$K$88*$C$8</f>
        <v>2348.7951231286174</v>
      </c>
      <c r="L89" s="24">
        <f t="shared" ref="L89:L100" si="82">(($C$5-SUM($L$5:$L$88))*0.15)/12</f>
        <v>6122.3343524065567</v>
      </c>
      <c r="M89" s="24">
        <v>0</v>
      </c>
      <c r="N89" s="48"/>
      <c r="O89" s="32">
        <f t="shared" si="55"/>
        <v>10082.99055914864</v>
      </c>
      <c r="P89" s="32">
        <f t="shared" si="66"/>
        <v>4812.0948183272503</v>
      </c>
      <c r="Q89" s="32">
        <f t="shared" si="67"/>
        <v>5270.8957408213901</v>
      </c>
      <c r="R89" s="45">
        <f t="shared" si="71"/>
        <v>1149631.8606577185</v>
      </c>
      <c r="S89" s="31">
        <f t="shared" si="56"/>
        <v>-7764.9266237855136</v>
      </c>
      <c r="T89" s="32">
        <f t="shared" si="57"/>
        <v>0</v>
      </c>
      <c r="U89" s="32">
        <f t="shared" si="58"/>
        <v>-13035.822364606904</v>
      </c>
      <c r="V89" s="32">
        <f t="shared" si="59"/>
        <v>2728.2648235722081</v>
      </c>
      <c r="W89" s="32">
        <f t="shared" si="60"/>
        <v>-9641.752835772555</v>
      </c>
      <c r="X89" s="32">
        <f t="shared" ref="X89:X100" si="83">W89/(1+$C$18)^8</f>
        <v>-6525.9178382025812</v>
      </c>
      <c r="Y89" s="102">
        <f t="shared" si="68"/>
        <v>-148914.50127082274</v>
      </c>
      <c r="Z89" s="32">
        <f t="shared" si="72"/>
        <v>-180852.32787175625</v>
      </c>
      <c r="AA89" s="45">
        <f t="shared" si="73"/>
        <v>-180852.32787175631</v>
      </c>
      <c r="AB89" s="1"/>
      <c r="AC89" s="40">
        <f t="shared" si="61"/>
        <v>-2952.8318054582628</v>
      </c>
      <c r="AD89" s="40">
        <f t="shared" si="62"/>
        <v>0</v>
      </c>
      <c r="AE89" s="40">
        <f t="shared" si="63"/>
        <v>-2952.8318054582628</v>
      </c>
      <c r="AF89" s="40">
        <f t="shared" si="64"/>
        <v>2728.2648235722081</v>
      </c>
      <c r="AG89" s="40">
        <f t="shared" si="65"/>
        <v>441.23772337608534</v>
      </c>
      <c r="AH89" s="40">
        <f t="shared" ref="AH89:AH100" si="84">AG89/(1+$C$18)^8</f>
        <v>298.64705919285996</v>
      </c>
      <c r="AI89" s="106">
        <f t="shared" si="74"/>
        <v>-969790.85752184223</v>
      </c>
      <c r="AJ89" s="40">
        <f t="shared" si="69"/>
        <v>676201.86965587828</v>
      </c>
      <c r="AK89" s="108">
        <f t="shared" si="70"/>
        <v>-851626.43154455884</v>
      </c>
    </row>
    <row r="90" spans="6:37">
      <c r="F90" s="17" t="s">
        <v>31</v>
      </c>
      <c r="G90">
        <v>8</v>
      </c>
      <c r="I90">
        <v>2</v>
      </c>
      <c r="J90" s="26">
        <f t="shared" si="80"/>
        <v>8445.1295834878692</v>
      </c>
      <c r="K90" s="24">
        <f t="shared" si="81"/>
        <v>2348.7951231286174</v>
      </c>
      <c r="L90" s="24">
        <f t="shared" si="82"/>
        <v>6122.3343524065567</v>
      </c>
      <c r="M90" s="24">
        <v>0</v>
      </c>
      <c r="N90" s="48"/>
      <c r="O90" s="32">
        <f t="shared" si="55"/>
        <v>10082.99055914864</v>
      </c>
      <c r="P90" s="32">
        <f t="shared" si="66"/>
        <v>4790.1327527404937</v>
      </c>
      <c r="Q90" s="32">
        <f t="shared" si="67"/>
        <v>5292.8578064081466</v>
      </c>
      <c r="R90" s="45">
        <f t="shared" si="71"/>
        <v>1144339.0028513104</v>
      </c>
      <c r="S90" s="31">
        <f t="shared" si="56"/>
        <v>-4816.1326447877982</v>
      </c>
      <c r="T90" s="32">
        <f t="shared" si="57"/>
        <v>0</v>
      </c>
      <c r="U90" s="32">
        <f t="shared" si="58"/>
        <v>-10108.990451195945</v>
      </c>
      <c r="V90" s="32">
        <f t="shared" si="59"/>
        <v>2728.2648235722081</v>
      </c>
      <c r="W90" s="32">
        <f t="shared" si="60"/>
        <v>-6714.9209223615962</v>
      </c>
      <c r="X90" s="32">
        <f t="shared" si="83"/>
        <v>-4544.9227931643063</v>
      </c>
      <c r="Y90" s="102">
        <f t="shared" si="68"/>
        <v>-153459.42406398704</v>
      </c>
      <c r="Z90" s="32">
        <f t="shared" si="72"/>
        <v>-187567.24879411786</v>
      </c>
      <c r="AA90" s="45">
        <f t="shared" si="73"/>
        <v>-187567.24879411791</v>
      </c>
      <c r="AB90" s="1"/>
      <c r="AC90" s="40">
        <f t="shared" si="61"/>
        <v>-25.999892047304456</v>
      </c>
      <c r="AD90" s="40">
        <f t="shared" si="62"/>
        <v>0</v>
      </c>
      <c r="AE90" s="40">
        <f t="shared" si="63"/>
        <v>-25.999892047304456</v>
      </c>
      <c r="AF90" s="40">
        <f t="shared" si="64"/>
        <v>2728.2648235722081</v>
      </c>
      <c r="AG90" s="40">
        <f t="shared" si="65"/>
        <v>3368.0696367870441</v>
      </c>
      <c r="AH90" s="40">
        <f t="shared" si="84"/>
        <v>2279.6421042311349</v>
      </c>
      <c r="AI90" s="106">
        <f t="shared" si="74"/>
        <v>-967511.21541761106</v>
      </c>
      <c r="AJ90" s="40">
        <f t="shared" si="69"/>
        <v>679569.93929266534</v>
      </c>
      <c r="AK90" s="108">
        <f t="shared" si="70"/>
        <v>-848258.36190777179</v>
      </c>
    </row>
    <row r="91" spans="6:37">
      <c r="F91" s="13" t="s">
        <v>30</v>
      </c>
      <c r="G91" s="1">
        <f>G79-(G5-G89)</f>
        <v>-249482.22149157399</v>
      </c>
      <c r="I91">
        <v>3</v>
      </c>
      <c r="J91" s="26">
        <f t="shared" si="80"/>
        <v>15137.208802172299</v>
      </c>
      <c r="K91" s="24">
        <f t="shared" si="81"/>
        <v>2348.7951231286174</v>
      </c>
      <c r="L91" s="24">
        <f t="shared" si="82"/>
        <v>6122.3343524065567</v>
      </c>
      <c r="M91" s="24">
        <v>0</v>
      </c>
      <c r="N91" s="48"/>
      <c r="O91" s="32">
        <f t="shared" si="55"/>
        <v>10082.99055914864</v>
      </c>
      <c r="P91" s="32">
        <f t="shared" si="66"/>
        <v>4768.0791785471265</v>
      </c>
      <c r="Q91" s="32">
        <f t="shared" si="67"/>
        <v>5314.9113806015139</v>
      </c>
      <c r="R91" s="45">
        <f t="shared" si="71"/>
        <v>1139024.0914707088</v>
      </c>
      <c r="S91" s="31">
        <f t="shared" si="56"/>
        <v>1898.0001480899991</v>
      </c>
      <c r="T91" s="32">
        <f t="shared" si="57"/>
        <v>0</v>
      </c>
      <c r="U91" s="32">
        <f t="shared" si="58"/>
        <v>-3416.9112325115148</v>
      </c>
      <c r="V91" s="32">
        <f t="shared" si="59"/>
        <v>2728.2648235722081</v>
      </c>
      <c r="W91" s="32">
        <f t="shared" si="60"/>
        <v>-22.841703677166151</v>
      </c>
      <c r="X91" s="32">
        <f t="shared" si="83"/>
        <v>-15.460164144501455</v>
      </c>
      <c r="Y91" s="102">
        <f t="shared" si="68"/>
        <v>-153474.88422813153</v>
      </c>
      <c r="Z91" s="32">
        <f t="shared" si="72"/>
        <v>-187590.09049779503</v>
      </c>
      <c r="AA91" s="45">
        <f t="shared" si="73"/>
        <v>-187590.09049779508</v>
      </c>
      <c r="AB91" s="1"/>
      <c r="AC91" s="40">
        <f t="shared" si="61"/>
        <v>6666.0793266371256</v>
      </c>
      <c r="AD91" s="40">
        <f t="shared" si="62"/>
        <v>0</v>
      </c>
      <c r="AE91" s="40">
        <f t="shared" si="63"/>
        <v>6666.0793266371256</v>
      </c>
      <c r="AF91" s="40">
        <f t="shared" si="64"/>
        <v>2728.2648235722081</v>
      </c>
      <c r="AG91" s="40">
        <f t="shared" si="65"/>
        <v>10060.148855471474</v>
      </c>
      <c r="AH91" s="40">
        <f t="shared" si="84"/>
        <v>6809.1047332509397</v>
      </c>
      <c r="AI91" s="106">
        <f t="shared" si="74"/>
        <v>-960702.11068436014</v>
      </c>
      <c r="AJ91" s="40">
        <f t="shared" si="69"/>
        <v>689630.08814813686</v>
      </c>
      <c r="AK91" s="108">
        <f t="shared" si="70"/>
        <v>-838198.21305230027</v>
      </c>
    </row>
    <row r="92" spans="6:37">
      <c r="F92" s="18" t="s">
        <v>39</v>
      </c>
      <c r="G92" s="1">
        <v>0</v>
      </c>
      <c r="I92">
        <v>4</v>
      </c>
      <c r="J92" s="26">
        <f t="shared" si="80"/>
        <v>17378.064485877567</v>
      </c>
      <c r="K92" s="24">
        <f t="shared" si="81"/>
        <v>2348.7951231286174</v>
      </c>
      <c r="L92" s="24">
        <f t="shared" si="82"/>
        <v>6122.3343524065567</v>
      </c>
      <c r="M92" s="24">
        <v>0</v>
      </c>
      <c r="N92" s="48"/>
      <c r="O92" s="32">
        <f t="shared" si="55"/>
        <v>10082.99055914864</v>
      </c>
      <c r="P92" s="32">
        <f t="shared" si="66"/>
        <v>4745.9337144612864</v>
      </c>
      <c r="Q92" s="32">
        <f t="shared" si="67"/>
        <v>5337.056844687354</v>
      </c>
      <c r="R92" s="45">
        <f t="shared" si="71"/>
        <v>1133687.0346260215</v>
      </c>
      <c r="S92" s="31">
        <f t="shared" si="56"/>
        <v>4161.0012958811067</v>
      </c>
      <c r="T92" s="32">
        <f t="shared" si="57"/>
        <v>0</v>
      </c>
      <c r="U92" s="32">
        <f t="shared" si="58"/>
        <v>-1176.0555488062473</v>
      </c>
      <c r="V92" s="32">
        <f t="shared" si="59"/>
        <v>2728.2648235722081</v>
      </c>
      <c r="W92" s="32">
        <f t="shared" si="60"/>
        <v>2218.0139800281013</v>
      </c>
      <c r="X92" s="32">
        <f t="shared" si="83"/>
        <v>1501.2391672129295</v>
      </c>
      <c r="Y92" s="102">
        <f t="shared" si="68"/>
        <v>-151973.64506091861</v>
      </c>
      <c r="Z92" s="32">
        <f t="shared" si="72"/>
        <v>-185372.07651776692</v>
      </c>
      <c r="AA92" s="45">
        <f t="shared" si="73"/>
        <v>-185372.07651776698</v>
      </c>
      <c r="AB92" s="1"/>
      <c r="AC92" s="40">
        <f t="shared" si="61"/>
        <v>8906.9350103423931</v>
      </c>
      <c r="AD92" s="40">
        <f t="shared" si="62"/>
        <v>0</v>
      </c>
      <c r="AE92" s="40">
        <f t="shared" si="63"/>
        <v>8906.9350103423931</v>
      </c>
      <c r="AF92" s="40">
        <f t="shared" si="64"/>
        <v>2728.2648235722081</v>
      </c>
      <c r="AG92" s="40">
        <f t="shared" si="65"/>
        <v>12301.004539176742</v>
      </c>
      <c r="AH92" s="40">
        <f t="shared" si="84"/>
        <v>8325.80406460837</v>
      </c>
      <c r="AI92" s="106">
        <f t="shared" si="74"/>
        <v>-952376.30661975173</v>
      </c>
      <c r="AJ92" s="40">
        <f t="shared" si="69"/>
        <v>701931.09268731356</v>
      </c>
      <c r="AK92" s="108">
        <f t="shared" si="70"/>
        <v>-825897.20851312357</v>
      </c>
    </row>
    <row r="93" spans="6:37">
      <c r="F93" s="16" t="s">
        <v>90</v>
      </c>
      <c r="G93" s="129">
        <f>$C$60</f>
        <v>0</v>
      </c>
      <c r="I93">
        <v>5</v>
      </c>
      <c r="J93" s="26">
        <f t="shared" si="80"/>
        <v>17987.821134504848</v>
      </c>
      <c r="K93" s="24">
        <f t="shared" si="81"/>
        <v>2348.7951231286174</v>
      </c>
      <c r="L93" s="24">
        <f t="shared" si="82"/>
        <v>6122.3343524065567</v>
      </c>
      <c r="M93" s="24">
        <v>0</v>
      </c>
      <c r="N93" s="48"/>
      <c r="O93" s="32">
        <f t="shared" si="55"/>
        <v>10082.99055914864</v>
      </c>
      <c r="P93" s="32">
        <f t="shared" si="66"/>
        <v>4723.6959776084232</v>
      </c>
      <c r="Q93" s="32">
        <f t="shared" si="67"/>
        <v>5359.2945815402172</v>
      </c>
      <c r="R93" s="45">
        <f t="shared" si="71"/>
        <v>1128327.7400444814</v>
      </c>
      <c r="S93" s="31">
        <f t="shared" si="56"/>
        <v>4792.9956813612507</v>
      </c>
      <c r="T93" s="32">
        <f t="shared" si="57"/>
        <v>0</v>
      </c>
      <c r="U93" s="32">
        <f t="shared" si="58"/>
        <v>-566.29890017896651</v>
      </c>
      <c r="V93" s="32">
        <f t="shared" si="59"/>
        <v>2728.2648235722081</v>
      </c>
      <c r="W93" s="32">
        <f t="shared" si="60"/>
        <v>2827.7706286553821</v>
      </c>
      <c r="X93" s="32">
        <f t="shared" si="83"/>
        <v>1913.9464682625685</v>
      </c>
      <c r="Y93" s="102">
        <f t="shared" si="68"/>
        <v>-150059.69859265606</v>
      </c>
      <c r="Z93" s="32">
        <f t="shared" si="72"/>
        <v>-182544.30588911154</v>
      </c>
      <c r="AA93" s="45">
        <f t="shared" si="73"/>
        <v>-182544.30588911159</v>
      </c>
      <c r="AB93" s="1"/>
      <c r="AC93" s="40">
        <f t="shared" si="61"/>
        <v>9516.6916589696739</v>
      </c>
      <c r="AD93" s="40">
        <f t="shared" si="62"/>
        <v>0</v>
      </c>
      <c r="AE93" s="40">
        <f t="shared" si="63"/>
        <v>9516.6916589696739</v>
      </c>
      <c r="AF93" s="40">
        <f t="shared" si="64"/>
        <v>2728.2648235722081</v>
      </c>
      <c r="AG93" s="40">
        <f t="shared" si="65"/>
        <v>12910.761187804022</v>
      </c>
      <c r="AH93" s="40">
        <f t="shared" si="84"/>
        <v>8738.5113656580106</v>
      </c>
      <c r="AI93" s="106">
        <f t="shared" si="74"/>
        <v>-943637.79525409371</v>
      </c>
      <c r="AJ93" s="40">
        <f t="shared" si="69"/>
        <v>714841.85387511761</v>
      </c>
      <c r="AK93" s="108">
        <f t="shared" si="70"/>
        <v>-812986.44732531952</v>
      </c>
    </row>
    <row r="94" spans="6:37">
      <c r="G94" s="1"/>
      <c r="I94">
        <v>6</v>
      </c>
      <c r="J94" s="26">
        <f t="shared" si="80"/>
        <v>18750.016945288953</v>
      </c>
      <c r="K94" s="24">
        <f t="shared" si="81"/>
        <v>2348.7951231286174</v>
      </c>
      <c r="L94" s="24">
        <f t="shared" si="82"/>
        <v>6122.3343524065567</v>
      </c>
      <c r="M94" s="24">
        <v>0</v>
      </c>
      <c r="N94" s="48"/>
      <c r="O94" s="32">
        <f t="shared" si="55"/>
        <v>10082.99055914864</v>
      </c>
      <c r="P94" s="32">
        <f t="shared" si="66"/>
        <v>4701.3655835186719</v>
      </c>
      <c r="Q94" s="32">
        <f t="shared" si="67"/>
        <v>5381.6249756299685</v>
      </c>
      <c r="R94" s="45">
        <f t="shared" si="71"/>
        <v>1122946.1150688513</v>
      </c>
      <c r="S94" s="31">
        <f t="shared" si="56"/>
        <v>5577.5218862351076</v>
      </c>
      <c r="T94" s="32">
        <f t="shared" si="57"/>
        <v>0</v>
      </c>
      <c r="U94" s="32">
        <f t="shared" si="58"/>
        <v>195.89691060513906</v>
      </c>
      <c r="V94" s="32">
        <f t="shared" si="59"/>
        <v>2728.2648235722081</v>
      </c>
      <c r="W94" s="32">
        <f t="shared" si="60"/>
        <v>3589.9664394394877</v>
      </c>
      <c r="X94" s="32">
        <f t="shared" si="83"/>
        <v>2429.8305945746206</v>
      </c>
      <c r="Y94" s="102">
        <f t="shared" si="68"/>
        <v>-147629.86799808143</v>
      </c>
      <c r="Z94" s="32">
        <f t="shared" si="72"/>
        <v>-178954.33944967206</v>
      </c>
      <c r="AA94" s="45">
        <f t="shared" si="73"/>
        <v>-178954.33944967212</v>
      </c>
      <c r="AB94" s="1"/>
      <c r="AC94" s="40">
        <f t="shared" si="61"/>
        <v>10278.887469753779</v>
      </c>
      <c r="AD94" s="40">
        <f t="shared" si="62"/>
        <v>0</v>
      </c>
      <c r="AE94" s="40">
        <f t="shared" si="63"/>
        <v>10278.887469753779</v>
      </c>
      <c r="AF94" s="40">
        <f t="shared" si="64"/>
        <v>2728.2648235722081</v>
      </c>
      <c r="AG94" s="40">
        <f t="shared" si="65"/>
        <v>13672.956998588128</v>
      </c>
      <c r="AH94" s="40">
        <f t="shared" si="84"/>
        <v>9254.3954919700627</v>
      </c>
      <c r="AI94" s="106">
        <f t="shared" si="74"/>
        <v>-934383.39976212359</v>
      </c>
      <c r="AJ94" s="40">
        <f t="shared" si="69"/>
        <v>728514.81087370578</v>
      </c>
      <c r="AK94" s="108">
        <f t="shared" si="70"/>
        <v>-799313.49032673135</v>
      </c>
    </row>
    <row r="95" spans="6:37">
      <c r="G95" s="1"/>
      <c r="I95">
        <v>7</v>
      </c>
      <c r="J95" s="26">
        <f t="shared" si="80"/>
        <v>19969.530242543518</v>
      </c>
      <c r="K95" s="24">
        <f t="shared" si="81"/>
        <v>2348.7951231286174</v>
      </c>
      <c r="L95" s="24">
        <f t="shared" si="82"/>
        <v>6122.3343524065567</v>
      </c>
      <c r="M95" s="24">
        <v>0</v>
      </c>
      <c r="N95" s="48"/>
      <c r="O95" s="32">
        <f t="shared" si="55"/>
        <v>10082.99055914864</v>
      </c>
      <c r="P95" s="32">
        <f t="shared" si="66"/>
        <v>4678.9421461202137</v>
      </c>
      <c r="Q95" s="32">
        <f t="shared" si="67"/>
        <v>5404.0484130284267</v>
      </c>
      <c r="R95" s="45">
        <f t="shared" si="71"/>
        <v>1117542.0666558228</v>
      </c>
      <c r="S95" s="31">
        <f t="shared" si="56"/>
        <v>6819.458620888131</v>
      </c>
      <c r="T95" s="32">
        <f t="shared" si="57"/>
        <v>0</v>
      </c>
      <c r="U95" s="32">
        <f t="shared" si="58"/>
        <v>1415.4102078597043</v>
      </c>
      <c r="V95" s="32">
        <f t="shared" si="59"/>
        <v>2728.2648235722081</v>
      </c>
      <c r="W95" s="32">
        <f t="shared" si="60"/>
        <v>4809.4797366940529</v>
      </c>
      <c r="X95" s="32">
        <f t="shared" si="83"/>
        <v>3255.2451966739013</v>
      </c>
      <c r="Y95" s="102">
        <f t="shared" si="68"/>
        <v>-144374.62280140753</v>
      </c>
      <c r="Z95" s="32">
        <f t="shared" si="72"/>
        <v>-174144.85971297801</v>
      </c>
      <c r="AA95" s="45">
        <f t="shared" si="73"/>
        <v>-174144.85971297807</v>
      </c>
      <c r="AB95" s="1"/>
      <c r="AC95" s="40">
        <f t="shared" si="61"/>
        <v>11498.400767008345</v>
      </c>
      <c r="AD95" s="40">
        <f t="shared" si="62"/>
        <v>0</v>
      </c>
      <c r="AE95" s="40">
        <f t="shared" si="63"/>
        <v>11498.400767008345</v>
      </c>
      <c r="AF95" s="40">
        <f t="shared" si="64"/>
        <v>2728.2648235722081</v>
      </c>
      <c r="AG95" s="40">
        <f t="shared" si="65"/>
        <v>14892.470295842693</v>
      </c>
      <c r="AH95" s="40">
        <f t="shared" si="84"/>
        <v>10079.810094069342</v>
      </c>
      <c r="AI95" s="106">
        <f t="shared" si="74"/>
        <v>-924303.58966805425</v>
      </c>
      <c r="AJ95" s="40">
        <f t="shared" si="69"/>
        <v>743407.28116954851</v>
      </c>
      <c r="AK95" s="108">
        <f t="shared" si="70"/>
        <v>-784421.02003088861</v>
      </c>
    </row>
    <row r="96" spans="6:37">
      <c r="G96" s="1"/>
      <c r="I96">
        <v>8</v>
      </c>
      <c r="J96" s="26">
        <f t="shared" si="80"/>
        <v>18292.69945881849</v>
      </c>
      <c r="K96" s="24">
        <f t="shared" si="81"/>
        <v>2348.7951231286174</v>
      </c>
      <c r="L96" s="24">
        <f t="shared" si="82"/>
        <v>6122.3343524065567</v>
      </c>
      <c r="M96" s="24">
        <v>0</v>
      </c>
      <c r="N96" s="48"/>
      <c r="O96" s="32">
        <f t="shared" si="55"/>
        <v>10082.99055914864</v>
      </c>
      <c r="P96" s="32">
        <f t="shared" si="66"/>
        <v>4656.4252777325946</v>
      </c>
      <c r="Q96" s="32">
        <f t="shared" si="67"/>
        <v>5426.5652814160458</v>
      </c>
      <c r="R96" s="45">
        <f t="shared" si="71"/>
        <v>1112115.5013744067</v>
      </c>
      <c r="S96" s="31">
        <f t="shared" si="56"/>
        <v>5165.1447055507215</v>
      </c>
      <c r="T96" s="32">
        <f t="shared" si="57"/>
        <v>0</v>
      </c>
      <c r="U96" s="32">
        <f t="shared" si="58"/>
        <v>-261.42057586532428</v>
      </c>
      <c r="V96" s="32">
        <f t="shared" si="59"/>
        <v>2728.2648235722081</v>
      </c>
      <c r="W96" s="32">
        <f t="shared" si="60"/>
        <v>3132.6489529690243</v>
      </c>
      <c r="X96" s="32">
        <f t="shared" si="83"/>
        <v>2120.3001187873892</v>
      </c>
      <c r="Y96" s="102">
        <f t="shared" si="68"/>
        <v>-142254.32268262014</v>
      </c>
      <c r="Z96" s="32">
        <f t="shared" si="72"/>
        <v>-171012.21076000898</v>
      </c>
      <c r="AA96" s="45">
        <f t="shared" si="73"/>
        <v>-171012.21076000904</v>
      </c>
      <c r="AB96" s="1"/>
      <c r="AC96" s="40">
        <f t="shared" si="61"/>
        <v>9821.5699832833161</v>
      </c>
      <c r="AD96" s="40">
        <f t="shared" si="62"/>
        <v>0</v>
      </c>
      <c r="AE96" s="40">
        <f t="shared" si="63"/>
        <v>9821.5699832833161</v>
      </c>
      <c r="AF96" s="40">
        <f t="shared" si="64"/>
        <v>2728.2648235722081</v>
      </c>
      <c r="AG96" s="40">
        <f t="shared" si="65"/>
        <v>13215.639512117665</v>
      </c>
      <c r="AH96" s="40">
        <f t="shared" si="84"/>
        <v>8944.86501618283</v>
      </c>
      <c r="AI96" s="106">
        <f t="shared" si="74"/>
        <v>-915358.72465187137</v>
      </c>
      <c r="AJ96" s="40">
        <f t="shared" si="69"/>
        <v>756622.92068166623</v>
      </c>
      <c r="AK96" s="108">
        <f t="shared" si="70"/>
        <v>-771205.38051877089</v>
      </c>
    </row>
    <row r="97" spans="6:37">
      <c r="G97" s="1"/>
      <c r="I97">
        <v>9</v>
      </c>
      <c r="J97" s="26">
        <f t="shared" si="80"/>
        <v>16310.990350779821</v>
      </c>
      <c r="K97" s="24">
        <f t="shared" si="81"/>
        <v>2348.7951231286174</v>
      </c>
      <c r="L97" s="24">
        <f t="shared" si="82"/>
        <v>6122.3343524065567</v>
      </c>
      <c r="M97" s="24">
        <v>0</v>
      </c>
      <c r="N97" s="48"/>
      <c r="O97" s="32">
        <f t="shared" si="55"/>
        <v>10082.99055914864</v>
      </c>
      <c r="P97" s="32">
        <f t="shared" si="66"/>
        <v>4633.8145890600281</v>
      </c>
      <c r="Q97" s="32">
        <f t="shared" si="67"/>
        <v>5449.1759700886123</v>
      </c>
      <c r="R97" s="45">
        <f t="shared" si="71"/>
        <v>1106666.325404318</v>
      </c>
      <c r="S97" s="31">
        <f t="shared" si="56"/>
        <v>3206.046286184619</v>
      </c>
      <c r="T97" s="32">
        <f t="shared" si="57"/>
        <v>0</v>
      </c>
      <c r="U97" s="32">
        <f t="shared" si="58"/>
        <v>-2243.1296839039933</v>
      </c>
      <c r="V97" s="32">
        <f t="shared" si="59"/>
        <v>2728.2648235722081</v>
      </c>
      <c r="W97" s="32">
        <f t="shared" si="60"/>
        <v>1150.9398449303553</v>
      </c>
      <c r="X97" s="32">
        <f t="shared" si="83"/>
        <v>779.00139037605788</v>
      </c>
      <c r="Y97" s="102">
        <f t="shared" si="68"/>
        <v>-141475.32129224407</v>
      </c>
      <c r="Z97" s="32">
        <f t="shared" si="72"/>
        <v>-169861.27091507864</v>
      </c>
      <c r="AA97" s="45">
        <f t="shared" si="73"/>
        <v>-169861.2709150787</v>
      </c>
      <c r="AB97" s="1"/>
      <c r="AC97" s="40">
        <f t="shared" si="61"/>
        <v>7839.8608752446471</v>
      </c>
      <c r="AD97" s="40">
        <f t="shared" si="62"/>
        <v>0</v>
      </c>
      <c r="AE97" s="40">
        <f t="shared" si="63"/>
        <v>7839.8608752446471</v>
      </c>
      <c r="AF97" s="40">
        <f t="shared" si="64"/>
        <v>2728.2648235722081</v>
      </c>
      <c r="AG97" s="40">
        <f t="shared" si="65"/>
        <v>11233.930404078996</v>
      </c>
      <c r="AH97" s="40">
        <f t="shared" si="84"/>
        <v>7603.5662877714994</v>
      </c>
      <c r="AI97" s="106">
        <f t="shared" si="74"/>
        <v>-907755.15836409992</v>
      </c>
      <c r="AJ97" s="40">
        <f t="shared" si="69"/>
        <v>767856.85108574526</v>
      </c>
      <c r="AK97" s="108">
        <f t="shared" si="70"/>
        <v>-759971.45011469186</v>
      </c>
    </row>
    <row r="98" spans="6:37">
      <c r="G98" s="1"/>
      <c r="I98">
        <v>10</v>
      </c>
      <c r="J98" s="26">
        <f t="shared" si="80"/>
        <v>11341.473664467463</v>
      </c>
      <c r="K98" s="24">
        <f t="shared" si="81"/>
        <v>2348.7951231286174</v>
      </c>
      <c r="L98" s="24">
        <f t="shared" si="82"/>
        <v>6122.3343524065567</v>
      </c>
      <c r="M98" s="24">
        <v>0</v>
      </c>
      <c r="N98" s="48"/>
      <c r="O98" s="32">
        <f t="shared" si="55"/>
        <v>10082.99055914864</v>
      </c>
      <c r="P98" s="32">
        <f t="shared" si="66"/>
        <v>4611.1096891846582</v>
      </c>
      <c r="Q98" s="32">
        <f t="shared" si="67"/>
        <v>5471.8808699639821</v>
      </c>
      <c r="R98" s="45">
        <f t="shared" si="71"/>
        <v>1101194.4445343541</v>
      </c>
      <c r="S98" s="31">
        <f t="shared" si="56"/>
        <v>-1740.7655002523688</v>
      </c>
      <c r="T98" s="32">
        <f t="shared" si="57"/>
        <v>0</v>
      </c>
      <c r="U98" s="32">
        <f t="shared" si="58"/>
        <v>-7212.646370216351</v>
      </c>
      <c r="V98" s="32">
        <f t="shared" si="59"/>
        <v>2728.2648235722081</v>
      </c>
      <c r="W98" s="32">
        <f t="shared" si="60"/>
        <v>-3818.5768413820024</v>
      </c>
      <c r="X98" s="32">
        <f t="shared" si="83"/>
        <v>-2584.563113178514</v>
      </c>
      <c r="Y98" s="102">
        <f t="shared" si="68"/>
        <v>-144059.88440542258</v>
      </c>
      <c r="Z98" s="32">
        <f t="shared" si="72"/>
        <v>-173679.84775646063</v>
      </c>
      <c r="AA98" s="45">
        <f t="shared" si="73"/>
        <v>-173679.84775646069</v>
      </c>
      <c r="AB98" s="1"/>
      <c r="AC98" s="40">
        <f t="shared" si="61"/>
        <v>2870.3441889322894</v>
      </c>
      <c r="AD98" s="40">
        <f t="shared" si="62"/>
        <v>0</v>
      </c>
      <c r="AE98" s="40">
        <f t="shared" si="63"/>
        <v>2870.3441889322894</v>
      </c>
      <c r="AF98" s="40">
        <f t="shared" si="64"/>
        <v>2728.2648235722081</v>
      </c>
      <c r="AG98" s="40">
        <f t="shared" si="65"/>
        <v>6264.413717766638</v>
      </c>
      <c r="AH98" s="40">
        <f t="shared" si="84"/>
        <v>4240.0017842169273</v>
      </c>
      <c r="AI98" s="106">
        <f t="shared" si="74"/>
        <v>-903515.15657988295</v>
      </c>
      <c r="AJ98" s="40">
        <f t="shared" si="69"/>
        <v>774121.26480351191</v>
      </c>
      <c r="AK98" s="108">
        <f t="shared" si="70"/>
        <v>-753707.03639692522</v>
      </c>
    </row>
    <row r="99" spans="6:37">
      <c r="G99" s="1"/>
      <c r="I99">
        <v>11</v>
      </c>
      <c r="J99" s="26">
        <f t="shared" si="80"/>
        <v>6158.5421511355589</v>
      </c>
      <c r="K99" s="24">
        <f t="shared" si="81"/>
        <v>2348.7951231286174</v>
      </c>
      <c r="L99" s="24">
        <f t="shared" si="82"/>
        <v>6122.3343524065567</v>
      </c>
      <c r="M99" s="24">
        <v>0</v>
      </c>
      <c r="N99" s="48"/>
      <c r="O99" s="32">
        <f t="shared" si="55"/>
        <v>10082.99055914864</v>
      </c>
      <c r="P99" s="32">
        <f t="shared" si="66"/>
        <v>4588.3101855598088</v>
      </c>
      <c r="Q99" s="32">
        <f t="shared" si="67"/>
        <v>5494.6803735888316</v>
      </c>
      <c r="R99" s="45">
        <f t="shared" si="71"/>
        <v>1095699.7641607653</v>
      </c>
      <c r="S99" s="31">
        <f t="shared" si="56"/>
        <v>-6900.8975099594245</v>
      </c>
      <c r="T99" s="32">
        <f t="shared" si="57"/>
        <v>0</v>
      </c>
      <c r="U99" s="32">
        <f t="shared" si="58"/>
        <v>-12395.577883548256</v>
      </c>
      <c r="V99" s="32">
        <f t="shared" si="59"/>
        <v>2728.2648235722081</v>
      </c>
      <c r="W99" s="32">
        <f t="shared" si="60"/>
        <v>-9001.5083547139075</v>
      </c>
      <c r="X99" s="32">
        <f t="shared" si="83"/>
        <v>-6092.575172100459</v>
      </c>
      <c r="Y99" s="102">
        <f t="shared" si="68"/>
        <v>-150152.45957752303</v>
      </c>
      <c r="Z99" s="32">
        <f t="shared" si="72"/>
        <v>-182681.35611117454</v>
      </c>
      <c r="AA99" s="45">
        <f t="shared" si="73"/>
        <v>-182681.35611117459</v>
      </c>
      <c r="AB99" s="1"/>
      <c r="AC99" s="40">
        <f t="shared" si="61"/>
        <v>-2312.5873243996152</v>
      </c>
      <c r="AD99" s="40">
        <f t="shared" si="62"/>
        <v>0</v>
      </c>
      <c r="AE99" s="40">
        <f t="shared" si="63"/>
        <v>-2312.5873243996152</v>
      </c>
      <c r="AF99" s="40">
        <f t="shared" si="64"/>
        <v>2728.2648235722081</v>
      </c>
      <c r="AG99" s="40">
        <f t="shared" si="65"/>
        <v>1081.4822044347329</v>
      </c>
      <c r="AH99" s="40">
        <f t="shared" si="84"/>
        <v>731.98972529498292</v>
      </c>
      <c r="AI99" s="106">
        <f t="shared" si="74"/>
        <v>-902783.16685458797</v>
      </c>
      <c r="AJ99" s="40">
        <f t="shared" si="69"/>
        <v>775202.7470079466</v>
      </c>
      <c r="AK99" s="108">
        <f t="shared" si="70"/>
        <v>-752625.55419249053</v>
      </c>
    </row>
    <row r="100" spans="6:37">
      <c r="G100" s="1"/>
      <c r="I100">
        <v>12</v>
      </c>
      <c r="J100" s="26">
        <f t="shared" si="80"/>
        <v>5182.9315133319051</v>
      </c>
      <c r="K100" s="24">
        <f t="shared" si="81"/>
        <v>2348.7951231286174</v>
      </c>
      <c r="L100" s="24">
        <f t="shared" si="82"/>
        <v>6122.3343524065567</v>
      </c>
      <c r="M100" s="24">
        <v>0</v>
      </c>
      <c r="N100" s="48"/>
      <c r="O100" s="32">
        <f t="shared" si="55"/>
        <v>10082.99055914864</v>
      </c>
      <c r="P100" s="32">
        <f t="shared" si="66"/>
        <v>4565.4156840031892</v>
      </c>
      <c r="Q100" s="32">
        <f t="shared" si="67"/>
        <v>5517.5748751454512</v>
      </c>
      <c r="R100" s="45">
        <f t="shared" si="71"/>
        <v>1090182.1892856199</v>
      </c>
      <c r="S100" s="31">
        <f t="shared" si="56"/>
        <v>-7853.6136462064587</v>
      </c>
      <c r="T100" s="32">
        <f t="shared" si="57"/>
        <v>0</v>
      </c>
      <c r="U100" s="32">
        <f t="shared" si="58"/>
        <v>-13371.188521351909</v>
      </c>
      <c r="V100" s="32">
        <f t="shared" si="59"/>
        <v>2728.2648235722081</v>
      </c>
      <c r="W100" s="32">
        <f t="shared" si="60"/>
        <v>-9977.1189925175604</v>
      </c>
      <c r="X100" s="32">
        <f t="shared" si="83"/>
        <v>-6752.9068537798839</v>
      </c>
      <c r="Y100" s="102">
        <f t="shared" si="68"/>
        <v>-156905.36643130291</v>
      </c>
      <c r="Z100" s="32">
        <f t="shared" si="72"/>
        <v>-192658.47510369209</v>
      </c>
      <c r="AA100" s="45">
        <f t="shared" si="73"/>
        <v>-192658.47510369215</v>
      </c>
      <c r="AB100" s="1"/>
      <c r="AC100" s="40">
        <f t="shared" si="61"/>
        <v>-3288.1979622032691</v>
      </c>
      <c r="AD100" s="40">
        <f t="shared" si="62"/>
        <v>0</v>
      </c>
      <c r="AE100" s="40">
        <f t="shared" si="63"/>
        <v>-3288.1979622032691</v>
      </c>
      <c r="AF100" s="40">
        <f t="shared" si="64"/>
        <v>2728.2648235722081</v>
      </c>
      <c r="AG100" s="40">
        <f t="shared" si="65"/>
        <v>105.87156663107999</v>
      </c>
      <c r="AH100" s="40">
        <f t="shared" si="84"/>
        <v>71.65804361555783</v>
      </c>
      <c r="AI100" s="106">
        <f t="shared" si="74"/>
        <v>-902711.50881097245</v>
      </c>
      <c r="AJ100" s="40">
        <f t="shared" si="69"/>
        <v>775308.61857457773</v>
      </c>
      <c r="AK100" s="108">
        <f t="shared" si="70"/>
        <v>-752519.68262585939</v>
      </c>
    </row>
    <row r="101" spans="6:37">
      <c r="F101" s="132" t="s">
        <v>88</v>
      </c>
      <c r="G101" s="1">
        <f>SUM(S101:S112)</f>
        <v>17602.327853508497</v>
      </c>
      <c r="H101">
        <v>2023</v>
      </c>
      <c r="I101">
        <v>1</v>
      </c>
      <c r="J101" s="26">
        <f t="shared" ref="J101:J112" si="85">C23*$C$46*$D$46</f>
        <v>5572.376987243666</v>
      </c>
      <c r="K101" s="24">
        <f t="shared" ref="K101:K112" si="86">$K$100*$C$8</f>
        <v>2419.2589768224761</v>
      </c>
      <c r="L101" s="24">
        <f t="shared" ref="L101:L112" si="87">(($C$5-SUM($L$5:$L$100))*0.15)/12</f>
        <v>5203.9841995455581</v>
      </c>
      <c r="M101" s="24">
        <v>0</v>
      </c>
      <c r="N101" s="48"/>
      <c r="O101" s="32">
        <f t="shared" si="55"/>
        <v>10082.99055914864</v>
      </c>
      <c r="P101" s="32">
        <f t="shared" si="66"/>
        <v>4542.4257886900832</v>
      </c>
      <c r="Q101" s="32">
        <f t="shared" si="67"/>
        <v>5540.5647704585572</v>
      </c>
      <c r="R101" s="45">
        <f t="shared" si="71"/>
        <v>1084641.6245151614</v>
      </c>
      <c r="S101" s="31">
        <f t="shared" si="56"/>
        <v>-6593.2919778144515</v>
      </c>
      <c r="T101" s="32">
        <f t="shared" ref="T101:T112" si="88">S101*$C$60</f>
        <v>0</v>
      </c>
      <c r="U101" s="32">
        <f t="shared" si="58"/>
        <v>-12133.856748273009</v>
      </c>
      <c r="V101" s="32">
        <f t="shared" ref="V101:V124" si="89">$C$9/120</f>
        <v>2728.2648235722081</v>
      </c>
      <c r="W101" s="32">
        <f t="shared" si="60"/>
        <v>-9658.1373722996577</v>
      </c>
      <c r="X101" s="32">
        <f t="shared" ref="X101:X112" si="90">W101/(1+$C$18)^9</f>
        <v>-6225.7214642406871</v>
      </c>
      <c r="Y101" s="102">
        <f t="shared" si="68"/>
        <v>-163131.08789554361</v>
      </c>
      <c r="Z101" s="32">
        <f t="shared" si="72"/>
        <v>-202316.61247599174</v>
      </c>
      <c r="AA101" s="45">
        <f t="shared" si="73"/>
        <v>-202316.6124759918</v>
      </c>
      <c r="AB101" s="1"/>
      <c r="AC101" s="40">
        <f t="shared" si="61"/>
        <v>-2050.8661891243682</v>
      </c>
      <c r="AD101" s="40">
        <f t="shared" ref="AD101:AD112" si="91">AC101*$C$60</f>
        <v>0</v>
      </c>
      <c r="AE101" s="40">
        <f t="shared" si="63"/>
        <v>-2050.8661891243682</v>
      </c>
      <c r="AF101" s="40">
        <f t="shared" si="64"/>
        <v>2728.2648235722081</v>
      </c>
      <c r="AG101" s="40">
        <f t="shared" si="65"/>
        <v>424.85318684898175</v>
      </c>
      <c r="AH101" s="40">
        <f t="shared" ref="AH101:AH112" si="92">AG101/(1+$C$18)^9</f>
        <v>273.86415232639945</v>
      </c>
      <c r="AI101" s="106">
        <f t="shared" si="74"/>
        <v>-902437.64465864608</v>
      </c>
      <c r="AJ101" s="40">
        <f t="shared" si="69"/>
        <v>775733.47176142677</v>
      </c>
      <c r="AK101" s="108">
        <f t="shared" si="70"/>
        <v>-752094.82943901035</v>
      </c>
    </row>
    <row r="102" spans="6:37">
      <c r="F102" s="17" t="s">
        <v>31</v>
      </c>
      <c r="G102">
        <v>9</v>
      </c>
      <c r="I102">
        <v>2</v>
      </c>
      <c r="J102" s="26">
        <f t="shared" si="85"/>
        <v>8527.8918534060504</v>
      </c>
      <c r="K102" s="24">
        <f t="shared" si="86"/>
        <v>2419.2589768224761</v>
      </c>
      <c r="L102" s="24">
        <f t="shared" si="87"/>
        <v>5203.9841995455581</v>
      </c>
      <c r="M102" s="24">
        <v>0</v>
      </c>
      <c r="N102" s="48"/>
      <c r="O102" s="32">
        <f t="shared" si="55"/>
        <v>10082.99055914864</v>
      </c>
      <c r="P102" s="32">
        <f t="shared" si="66"/>
        <v>4519.3401021465061</v>
      </c>
      <c r="Q102" s="32">
        <f t="shared" si="67"/>
        <v>5563.6504570021343</v>
      </c>
      <c r="R102" s="45">
        <f t="shared" si="71"/>
        <v>1079077.9740581592</v>
      </c>
      <c r="S102" s="31">
        <f t="shared" si="56"/>
        <v>-3614.69142510849</v>
      </c>
      <c r="T102" s="32">
        <f t="shared" si="88"/>
        <v>0</v>
      </c>
      <c r="U102" s="32">
        <f t="shared" si="58"/>
        <v>-9178.3418821106243</v>
      </c>
      <c r="V102" s="32">
        <f t="shared" si="89"/>
        <v>2728.2648235722081</v>
      </c>
      <c r="W102" s="32">
        <f t="shared" si="60"/>
        <v>-6702.6225061372743</v>
      </c>
      <c r="X102" s="32">
        <f t="shared" si="90"/>
        <v>-4320.5702294981647</v>
      </c>
      <c r="Y102" s="102">
        <f t="shared" si="68"/>
        <v>-167451.65812504178</v>
      </c>
      <c r="Z102" s="32">
        <f t="shared" si="72"/>
        <v>-209019.23498212901</v>
      </c>
      <c r="AA102" s="45">
        <f t="shared" si="73"/>
        <v>-209019.23498212907</v>
      </c>
      <c r="AB102" s="1"/>
      <c r="AC102" s="40">
        <f t="shared" si="61"/>
        <v>904.6486770380161</v>
      </c>
      <c r="AD102" s="40">
        <f t="shared" si="91"/>
        <v>0</v>
      </c>
      <c r="AE102" s="40">
        <f t="shared" si="63"/>
        <v>904.6486770380161</v>
      </c>
      <c r="AF102" s="40">
        <f t="shared" si="64"/>
        <v>2728.2648235722081</v>
      </c>
      <c r="AG102" s="40">
        <f t="shared" si="65"/>
        <v>3380.3680530113661</v>
      </c>
      <c r="AH102" s="40">
        <f t="shared" si="92"/>
        <v>2179.0153870689223</v>
      </c>
      <c r="AI102" s="106">
        <f t="shared" si="74"/>
        <v>-900258.62927157711</v>
      </c>
      <c r="AJ102" s="40">
        <f t="shared" si="69"/>
        <v>779113.83981443814</v>
      </c>
      <c r="AK102" s="108">
        <f t="shared" si="70"/>
        <v>-748714.46138599899</v>
      </c>
    </row>
    <row r="103" spans="6:37">
      <c r="F103" s="13" t="s">
        <v>30</v>
      </c>
      <c r="G103" s="1">
        <f>G91-(G17+G101)</f>
        <v>-127013.9586172119</v>
      </c>
      <c r="I103">
        <v>3</v>
      </c>
      <c r="J103" s="26">
        <f t="shared" si="85"/>
        <v>15285.553448433589</v>
      </c>
      <c r="K103" s="24">
        <f t="shared" si="86"/>
        <v>2419.2589768224761</v>
      </c>
      <c r="L103" s="24">
        <f t="shared" si="87"/>
        <v>5203.9841995455581</v>
      </c>
      <c r="M103" s="24">
        <v>0</v>
      </c>
      <c r="N103" s="48"/>
      <c r="O103" s="32">
        <f t="shared" si="55"/>
        <v>10082.99055914864</v>
      </c>
      <c r="P103" s="32">
        <f t="shared" si="66"/>
        <v>4496.1582252423295</v>
      </c>
      <c r="Q103" s="32">
        <f t="shared" si="67"/>
        <v>5586.8323339063109</v>
      </c>
      <c r="R103" s="45">
        <f t="shared" si="71"/>
        <v>1073491.1417242528</v>
      </c>
      <c r="S103" s="31">
        <f t="shared" si="56"/>
        <v>3166.1520468232247</v>
      </c>
      <c r="T103" s="32">
        <f t="shared" si="88"/>
        <v>0</v>
      </c>
      <c r="U103" s="32">
        <f t="shared" si="58"/>
        <v>-2420.6802870830861</v>
      </c>
      <c r="V103" s="32">
        <f t="shared" si="89"/>
        <v>2728.2648235722081</v>
      </c>
      <c r="W103" s="32">
        <f t="shared" si="60"/>
        <v>55.039088890263884</v>
      </c>
      <c r="X103" s="32">
        <f t="shared" si="90"/>
        <v>35.478687439168006</v>
      </c>
      <c r="Y103" s="102">
        <f t="shared" si="68"/>
        <v>-167416.17943760261</v>
      </c>
      <c r="Z103" s="32">
        <f t="shared" si="72"/>
        <v>-208964.19589323874</v>
      </c>
      <c r="AA103" s="45">
        <f t="shared" si="73"/>
        <v>-208964.19589323879</v>
      </c>
      <c r="AB103" s="1"/>
      <c r="AC103" s="40">
        <f t="shared" si="61"/>
        <v>7662.3102720655543</v>
      </c>
      <c r="AD103" s="40">
        <f t="shared" si="91"/>
        <v>0</v>
      </c>
      <c r="AE103" s="40">
        <f t="shared" si="63"/>
        <v>7662.3102720655543</v>
      </c>
      <c r="AF103" s="40">
        <f t="shared" si="64"/>
        <v>2728.2648235722081</v>
      </c>
      <c r="AG103" s="40">
        <f t="shared" si="65"/>
        <v>10138.029648038904</v>
      </c>
      <c r="AH103" s="40">
        <f t="shared" si="92"/>
        <v>6535.064304006255</v>
      </c>
      <c r="AI103" s="106">
        <f t="shared" si="74"/>
        <v>-893723.56496757083</v>
      </c>
      <c r="AJ103" s="40">
        <f t="shared" si="69"/>
        <v>789251.86946247704</v>
      </c>
      <c r="AK103" s="108">
        <f t="shared" si="70"/>
        <v>-738576.43173796008</v>
      </c>
    </row>
    <row r="104" spans="6:37">
      <c r="F104" s="18" t="s">
        <v>39</v>
      </c>
      <c r="G104" s="1">
        <v>0</v>
      </c>
      <c r="I104">
        <v>4</v>
      </c>
      <c r="J104" s="26">
        <f t="shared" si="85"/>
        <v>17548.369517839168</v>
      </c>
      <c r="K104" s="24">
        <f t="shared" si="86"/>
        <v>2419.2589768224761</v>
      </c>
      <c r="L104" s="24">
        <f t="shared" si="87"/>
        <v>5203.9841995455581</v>
      </c>
      <c r="M104" s="24">
        <v>0</v>
      </c>
      <c r="N104" s="48"/>
      <c r="O104" s="32">
        <f t="shared" si="55"/>
        <v>10082.99055914864</v>
      </c>
      <c r="P104" s="32">
        <f t="shared" si="66"/>
        <v>4472.879757184387</v>
      </c>
      <c r="Q104" s="32">
        <f t="shared" si="67"/>
        <v>5610.1108019642534</v>
      </c>
      <c r="R104" s="45">
        <f t="shared" si="71"/>
        <v>1067881.0309222885</v>
      </c>
      <c r="S104" s="31">
        <f t="shared" si="56"/>
        <v>5452.2465842867487</v>
      </c>
      <c r="T104" s="32">
        <f t="shared" si="88"/>
        <v>0</v>
      </c>
      <c r="U104" s="32">
        <f t="shared" si="58"/>
        <v>-157.86421767750471</v>
      </c>
      <c r="V104" s="32">
        <f t="shared" si="89"/>
        <v>2728.2648235722081</v>
      </c>
      <c r="W104" s="32">
        <f t="shared" si="60"/>
        <v>2317.8551582958453</v>
      </c>
      <c r="X104" s="32">
        <f t="shared" si="90"/>
        <v>1494.1101015389158</v>
      </c>
      <c r="Y104" s="102">
        <f t="shared" si="68"/>
        <v>-165922.06933606369</v>
      </c>
      <c r="Z104" s="32">
        <f t="shared" si="72"/>
        <v>-206646.3407349429</v>
      </c>
      <c r="AA104" s="45">
        <f t="shared" si="73"/>
        <v>-206646.34073494296</v>
      </c>
      <c r="AB104" s="1"/>
      <c r="AC104" s="40">
        <f t="shared" si="61"/>
        <v>9925.1263414711357</v>
      </c>
      <c r="AD104" s="40">
        <f t="shared" si="91"/>
        <v>0</v>
      </c>
      <c r="AE104" s="40">
        <f t="shared" si="63"/>
        <v>9925.1263414711357</v>
      </c>
      <c r="AF104" s="40">
        <f t="shared" si="64"/>
        <v>2728.2648235722081</v>
      </c>
      <c r="AG104" s="40">
        <f t="shared" si="65"/>
        <v>12400.845717444485</v>
      </c>
      <c r="AH104" s="40">
        <f t="shared" si="92"/>
        <v>7993.6957181060025</v>
      </c>
      <c r="AI104" s="106">
        <f t="shared" si="74"/>
        <v>-885729.86924946483</v>
      </c>
      <c r="AJ104" s="40">
        <f t="shared" si="69"/>
        <v>801652.71517992148</v>
      </c>
      <c r="AK104" s="108">
        <f t="shared" si="70"/>
        <v>-726175.58602051565</v>
      </c>
    </row>
    <row r="105" spans="6:37">
      <c r="F105" s="16" t="s">
        <v>90</v>
      </c>
      <c r="G105" s="129">
        <f>$C$60</f>
        <v>0</v>
      </c>
      <c r="I105">
        <v>5</v>
      </c>
      <c r="J105" s="26">
        <f t="shared" si="85"/>
        <v>18164.101781622998</v>
      </c>
      <c r="K105" s="24">
        <f t="shared" si="86"/>
        <v>2419.2589768224761</v>
      </c>
      <c r="L105" s="24">
        <f t="shared" si="87"/>
        <v>5203.9841995455581</v>
      </c>
      <c r="M105" s="24">
        <v>0</v>
      </c>
      <c r="N105" s="48"/>
      <c r="O105" s="32">
        <f t="shared" si="55"/>
        <v>10082.99055914864</v>
      </c>
      <c r="P105" s="32">
        <f t="shared" si="66"/>
        <v>4449.504295509536</v>
      </c>
      <c r="Q105" s="32">
        <f t="shared" si="67"/>
        <v>5633.4862636391044</v>
      </c>
      <c r="R105" s="45">
        <f t="shared" si="71"/>
        <v>1062247.5446586495</v>
      </c>
      <c r="S105" s="31">
        <f t="shared" si="56"/>
        <v>6091.3543097454294</v>
      </c>
      <c r="T105" s="32">
        <f t="shared" si="88"/>
        <v>0</v>
      </c>
      <c r="U105" s="32">
        <f t="shared" si="58"/>
        <v>457.86804610632498</v>
      </c>
      <c r="V105" s="32">
        <f t="shared" si="89"/>
        <v>2728.2648235722081</v>
      </c>
      <c r="W105" s="32">
        <f t="shared" si="60"/>
        <v>2933.587422079675</v>
      </c>
      <c r="X105" s="32">
        <f t="shared" si="90"/>
        <v>1891.0166087769412</v>
      </c>
      <c r="Y105" s="102">
        <f t="shared" si="68"/>
        <v>-164031.05272728676</v>
      </c>
      <c r="Z105" s="32">
        <f t="shared" si="72"/>
        <v>-203712.75331286323</v>
      </c>
      <c r="AA105" s="45">
        <f t="shared" si="73"/>
        <v>-203712.75331286329</v>
      </c>
      <c r="AB105" s="1"/>
      <c r="AC105" s="40">
        <f t="shared" si="61"/>
        <v>10540.858605254965</v>
      </c>
      <c r="AD105" s="40">
        <f t="shared" si="91"/>
        <v>0</v>
      </c>
      <c r="AE105" s="40">
        <f t="shared" si="63"/>
        <v>10540.858605254965</v>
      </c>
      <c r="AF105" s="40">
        <f t="shared" si="64"/>
        <v>2728.2648235722081</v>
      </c>
      <c r="AG105" s="40">
        <f t="shared" si="65"/>
        <v>13016.577981228314</v>
      </c>
      <c r="AH105" s="40">
        <f t="shared" si="92"/>
        <v>8390.6022253440278</v>
      </c>
      <c r="AI105" s="106">
        <f t="shared" si="74"/>
        <v>-877339.26702412078</v>
      </c>
      <c r="AJ105" s="40">
        <f t="shared" si="69"/>
        <v>814669.29316114984</v>
      </c>
      <c r="AK105" s="108">
        <f t="shared" si="70"/>
        <v>-713159.00803928729</v>
      </c>
    </row>
    <row r="106" spans="6:37">
      <c r="G106" s="1"/>
      <c r="I106">
        <v>6</v>
      </c>
      <c r="J106" s="26">
        <f t="shared" si="85"/>
        <v>18933.767111352783</v>
      </c>
      <c r="K106" s="24">
        <f t="shared" si="86"/>
        <v>2419.2589768224761</v>
      </c>
      <c r="L106" s="24">
        <f t="shared" si="87"/>
        <v>5203.9841995455581</v>
      </c>
      <c r="M106" s="24">
        <v>0</v>
      </c>
      <c r="N106" s="48"/>
      <c r="O106" s="32">
        <f t="shared" si="55"/>
        <v>10082.99055914864</v>
      </c>
      <c r="P106" s="32">
        <f t="shared" si="66"/>
        <v>4426.0314360777065</v>
      </c>
      <c r="Q106" s="32">
        <f t="shared" si="67"/>
        <v>5656.9591230709339</v>
      </c>
      <c r="R106" s="45">
        <f t="shared" si="71"/>
        <v>1056590.5855355784</v>
      </c>
      <c r="S106" s="31">
        <f t="shared" si="56"/>
        <v>6884.4924989070441</v>
      </c>
      <c r="T106" s="32">
        <f t="shared" si="88"/>
        <v>0</v>
      </c>
      <c r="U106" s="32">
        <f t="shared" si="58"/>
        <v>1227.5333758361103</v>
      </c>
      <c r="V106" s="32">
        <f t="shared" si="89"/>
        <v>2728.2648235722081</v>
      </c>
      <c r="W106" s="32">
        <f t="shared" si="60"/>
        <v>3703.2527518094603</v>
      </c>
      <c r="X106" s="32">
        <f t="shared" si="90"/>
        <v>2387.1497428244716</v>
      </c>
      <c r="Y106" s="102">
        <f t="shared" si="68"/>
        <v>-161643.9029844623</v>
      </c>
      <c r="Z106" s="32">
        <f t="shared" si="72"/>
        <v>-200009.50056105378</v>
      </c>
      <c r="AA106" s="45">
        <f t="shared" si="73"/>
        <v>-200009.50056105384</v>
      </c>
      <c r="AB106" s="1"/>
      <c r="AC106" s="40">
        <f t="shared" si="61"/>
        <v>11310.523934984751</v>
      </c>
      <c r="AD106" s="40">
        <f t="shared" si="91"/>
        <v>0</v>
      </c>
      <c r="AE106" s="40">
        <f t="shared" si="63"/>
        <v>11310.523934984751</v>
      </c>
      <c r="AF106" s="40">
        <f t="shared" si="64"/>
        <v>2728.2648235722081</v>
      </c>
      <c r="AG106" s="40">
        <f t="shared" si="65"/>
        <v>13786.2433109581</v>
      </c>
      <c r="AH106" s="40">
        <f t="shared" si="92"/>
        <v>8886.7353593915577</v>
      </c>
      <c r="AI106" s="106">
        <f t="shared" si="74"/>
        <v>-868452.53166472923</v>
      </c>
      <c r="AJ106" s="40">
        <f t="shared" si="69"/>
        <v>828455.53647210798</v>
      </c>
      <c r="AK106" s="108">
        <f t="shared" si="70"/>
        <v>-699372.76472832914</v>
      </c>
    </row>
    <row r="107" spans="6:37">
      <c r="G107" s="1"/>
      <c r="I107">
        <v>7</v>
      </c>
      <c r="J107" s="26">
        <f t="shared" si="85"/>
        <v>20165.231638920446</v>
      </c>
      <c r="K107" s="24">
        <f t="shared" si="86"/>
        <v>2419.2589768224761</v>
      </c>
      <c r="L107" s="24">
        <f t="shared" si="87"/>
        <v>5203.9841995455581</v>
      </c>
      <c r="M107" s="24">
        <v>0</v>
      </c>
      <c r="N107" s="48"/>
      <c r="O107" s="32">
        <f t="shared" si="55"/>
        <v>10082.99055914864</v>
      </c>
      <c r="P107" s="32">
        <f t="shared" si="66"/>
        <v>4402.4607730649104</v>
      </c>
      <c r="Q107" s="32">
        <f t="shared" si="67"/>
        <v>5680.52978608373</v>
      </c>
      <c r="R107" s="45">
        <f t="shared" si="71"/>
        <v>1050910.0557494948</v>
      </c>
      <c r="S107" s="31">
        <f t="shared" si="56"/>
        <v>8139.5276894875033</v>
      </c>
      <c r="T107" s="32">
        <f t="shared" si="88"/>
        <v>0</v>
      </c>
      <c r="U107" s="32">
        <f t="shared" si="58"/>
        <v>2458.9979034037733</v>
      </c>
      <c r="V107" s="32">
        <f t="shared" si="89"/>
        <v>2728.2648235722081</v>
      </c>
      <c r="W107" s="32">
        <f t="shared" si="60"/>
        <v>4934.7172793771233</v>
      </c>
      <c r="X107" s="32">
        <f t="shared" si="90"/>
        <v>3180.9627573005246</v>
      </c>
      <c r="Y107" s="102">
        <f t="shared" si="68"/>
        <v>-158462.94022716177</v>
      </c>
      <c r="Z107" s="32">
        <f t="shared" si="72"/>
        <v>-195074.78328167665</v>
      </c>
      <c r="AA107" s="45">
        <f t="shared" si="73"/>
        <v>-195074.7832816767</v>
      </c>
      <c r="AB107" s="1"/>
      <c r="AC107" s="40">
        <f t="shared" si="61"/>
        <v>12541.988462552414</v>
      </c>
      <c r="AD107" s="40">
        <f t="shared" si="91"/>
        <v>0</v>
      </c>
      <c r="AE107" s="40">
        <f t="shared" si="63"/>
        <v>12541.988462552414</v>
      </c>
      <c r="AF107" s="40">
        <f t="shared" si="64"/>
        <v>2728.2648235722081</v>
      </c>
      <c r="AG107" s="40">
        <f t="shared" si="65"/>
        <v>15017.707838525763</v>
      </c>
      <c r="AH107" s="40">
        <f t="shared" si="92"/>
        <v>9680.5483738676103</v>
      </c>
      <c r="AI107" s="106">
        <f t="shared" si="74"/>
        <v>-858771.98329086159</v>
      </c>
      <c r="AJ107" s="40">
        <f t="shared" si="69"/>
        <v>843473.24431063375</v>
      </c>
      <c r="AK107" s="108">
        <f t="shared" si="70"/>
        <v>-684355.05688980338</v>
      </c>
    </row>
    <row r="108" spans="6:37">
      <c r="G108" s="1"/>
      <c r="I108">
        <v>8</v>
      </c>
      <c r="J108" s="26">
        <f t="shared" si="85"/>
        <v>18471.967913514913</v>
      </c>
      <c r="K108" s="24">
        <f t="shared" si="86"/>
        <v>2419.2589768224761</v>
      </c>
      <c r="L108" s="24">
        <f t="shared" si="87"/>
        <v>5203.9841995455581</v>
      </c>
      <c r="M108" s="24">
        <v>0</v>
      </c>
      <c r="N108" s="48"/>
      <c r="O108" s="32">
        <f t="shared" si="55"/>
        <v>10082.99055914864</v>
      </c>
      <c r="P108" s="32">
        <f t="shared" si="66"/>
        <v>4378.7918989562286</v>
      </c>
      <c r="Q108" s="32">
        <f t="shared" si="67"/>
        <v>5704.1986601924118</v>
      </c>
      <c r="R108" s="45">
        <f t="shared" si="71"/>
        <v>1045205.8570893024</v>
      </c>
      <c r="S108" s="31">
        <f t="shared" si="56"/>
        <v>6469.9328381906516</v>
      </c>
      <c r="T108" s="32">
        <f t="shared" si="88"/>
        <v>0</v>
      </c>
      <c r="U108" s="32">
        <f t="shared" si="58"/>
        <v>765.73417799823983</v>
      </c>
      <c r="V108" s="32">
        <f t="shared" si="89"/>
        <v>2728.2648235722081</v>
      </c>
      <c r="W108" s="32">
        <f t="shared" si="60"/>
        <v>3241.4535539715898</v>
      </c>
      <c r="X108" s="32">
        <f t="shared" si="90"/>
        <v>2089.4698623959539</v>
      </c>
      <c r="Y108" s="102">
        <f t="shared" si="68"/>
        <v>-156373.47036476582</v>
      </c>
      <c r="Z108" s="32">
        <f t="shared" si="72"/>
        <v>-191833.32972770504</v>
      </c>
      <c r="AA108" s="45">
        <f t="shared" si="73"/>
        <v>-191833.3297277051</v>
      </c>
      <c r="AB108" s="1"/>
      <c r="AC108" s="40">
        <f t="shared" si="61"/>
        <v>10848.72473714688</v>
      </c>
      <c r="AD108" s="40">
        <f t="shared" si="91"/>
        <v>0</v>
      </c>
      <c r="AE108" s="40">
        <f t="shared" si="63"/>
        <v>10848.72473714688</v>
      </c>
      <c r="AF108" s="40">
        <f t="shared" si="64"/>
        <v>2728.2648235722081</v>
      </c>
      <c r="AG108" s="40">
        <f t="shared" si="65"/>
        <v>13324.444113120229</v>
      </c>
      <c r="AH108" s="40">
        <f t="shared" si="92"/>
        <v>8589.0554789630405</v>
      </c>
      <c r="AI108" s="106">
        <f t="shared" si="74"/>
        <v>-850182.92781189852</v>
      </c>
      <c r="AJ108" s="40">
        <f t="shared" si="69"/>
        <v>856797.68842375395</v>
      </c>
      <c r="AK108" s="108">
        <f t="shared" si="70"/>
        <v>-671030.61277668318</v>
      </c>
    </row>
    <row r="109" spans="6:37">
      <c r="G109" s="1"/>
      <c r="I109">
        <v>9</v>
      </c>
      <c r="J109" s="26">
        <f t="shared" si="85"/>
        <v>16470.838056217464</v>
      </c>
      <c r="K109" s="24">
        <f t="shared" si="86"/>
        <v>2419.2589768224761</v>
      </c>
      <c r="L109" s="24">
        <f t="shared" si="87"/>
        <v>5203.9841995455581</v>
      </c>
      <c r="M109" s="24">
        <v>0</v>
      </c>
      <c r="N109" s="48"/>
      <c r="O109" s="32">
        <f t="shared" si="55"/>
        <v>10082.99055914864</v>
      </c>
      <c r="P109" s="32">
        <f t="shared" si="66"/>
        <v>4355.0244045387599</v>
      </c>
      <c r="Q109" s="32">
        <f t="shared" si="67"/>
        <v>5727.9661546098805</v>
      </c>
      <c r="R109" s="45">
        <f t="shared" si="71"/>
        <v>1039477.8909346925</v>
      </c>
      <c r="S109" s="31">
        <f t="shared" si="56"/>
        <v>4492.570475310672</v>
      </c>
      <c r="T109" s="32">
        <f t="shared" si="88"/>
        <v>0</v>
      </c>
      <c r="U109" s="32">
        <f t="shared" si="58"/>
        <v>-1235.3956792992085</v>
      </c>
      <c r="V109" s="32">
        <f t="shared" si="89"/>
        <v>2728.2648235722081</v>
      </c>
      <c r="W109" s="32">
        <f t="shared" si="60"/>
        <v>1240.3236966741415</v>
      </c>
      <c r="X109" s="32">
        <f t="shared" si="90"/>
        <v>799.52371387237031</v>
      </c>
      <c r="Y109" s="102">
        <f t="shared" si="68"/>
        <v>-155573.94665089346</v>
      </c>
      <c r="Z109" s="32">
        <f t="shared" si="72"/>
        <v>-190593.00603103091</v>
      </c>
      <c r="AA109" s="45">
        <f t="shared" si="73"/>
        <v>-190593.00603103096</v>
      </c>
      <c r="AB109" s="1"/>
      <c r="AC109" s="40">
        <f t="shared" si="61"/>
        <v>8847.5948798494319</v>
      </c>
      <c r="AD109" s="40">
        <f t="shared" si="91"/>
        <v>0</v>
      </c>
      <c r="AE109" s="40">
        <f t="shared" si="63"/>
        <v>8847.5948798494319</v>
      </c>
      <c r="AF109" s="40">
        <f t="shared" si="64"/>
        <v>2728.2648235722081</v>
      </c>
      <c r="AG109" s="40">
        <f t="shared" si="65"/>
        <v>11323.314255822781</v>
      </c>
      <c r="AH109" s="40">
        <f t="shared" si="92"/>
        <v>7299.1093304394562</v>
      </c>
      <c r="AI109" s="106">
        <f t="shared" si="74"/>
        <v>-842883.81848145905</v>
      </c>
      <c r="AJ109" s="40">
        <f t="shared" si="69"/>
        <v>868121.00267957675</v>
      </c>
      <c r="AK109" s="108">
        <f t="shared" si="70"/>
        <v>-659707.29852086038</v>
      </c>
    </row>
    <row r="110" spans="6:37">
      <c r="G110" s="1"/>
      <c r="I110">
        <v>10</v>
      </c>
      <c r="J110" s="26">
        <f t="shared" si="85"/>
        <v>11452.620106379247</v>
      </c>
      <c r="K110" s="24">
        <f t="shared" si="86"/>
        <v>2419.2589768224761</v>
      </c>
      <c r="L110" s="24">
        <f t="shared" si="87"/>
        <v>5203.9841995455581</v>
      </c>
      <c r="M110" s="24">
        <v>0</v>
      </c>
      <c r="N110" s="48"/>
      <c r="O110" s="32">
        <f t="shared" si="55"/>
        <v>10082.99055914864</v>
      </c>
      <c r="P110" s="32">
        <f t="shared" si="66"/>
        <v>4331.1578788945517</v>
      </c>
      <c r="Q110" s="32">
        <f t="shared" si="67"/>
        <v>5751.8326802540887</v>
      </c>
      <c r="R110" s="45">
        <f t="shared" si="71"/>
        <v>1033726.0582544383</v>
      </c>
      <c r="S110" s="31">
        <f t="shared" si="56"/>
        <v>-501.78094888333817</v>
      </c>
      <c r="T110" s="32">
        <f t="shared" si="88"/>
        <v>0</v>
      </c>
      <c r="U110" s="32">
        <f t="shared" si="58"/>
        <v>-6253.6136291374269</v>
      </c>
      <c r="V110" s="32">
        <f t="shared" si="89"/>
        <v>2728.2648235722081</v>
      </c>
      <c r="W110" s="32">
        <f t="shared" si="60"/>
        <v>-3777.8942531640778</v>
      </c>
      <c r="X110" s="32">
        <f t="shared" si="90"/>
        <v>-2435.264320117541</v>
      </c>
      <c r="Y110" s="102">
        <f t="shared" si="68"/>
        <v>-158009.21097101099</v>
      </c>
      <c r="Z110" s="32">
        <f t="shared" si="72"/>
        <v>-194370.90028419497</v>
      </c>
      <c r="AA110" s="45">
        <f t="shared" si="73"/>
        <v>-194370.90028419503</v>
      </c>
      <c r="AB110" s="1"/>
      <c r="AC110" s="40">
        <f t="shared" si="61"/>
        <v>3829.3769300112135</v>
      </c>
      <c r="AD110" s="40">
        <f t="shared" si="91"/>
        <v>0</v>
      </c>
      <c r="AE110" s="40">
        <f t="shared" si="63"/>
        <v>3829.3769300112135</v>
      </c>
      <c r="AF110" s="40">
        <f t="shared" si="64"/>
        <v>2728.2648235722081</v>
      </c>
      <c r="AG110" s="40">
        <f t="shared" si="65"/>
        <v>6305.0963059845635</v>
      </c>
      <c r="AH110" s="40">
        <f t="shared" si="92"/>
        <v>4064.3212964495465</v>
      </c>
      <c r="AI110" s="106">
        <f t="shared" si="74"/>
        <v>-838819.49718500953</v>
      </c>
      <c r="AJ110" s="40">
        <f t="shared" si="69"/>
        <v>874426.09898556129</v>
      </c>
      <c r="AK110" s="108">
        <f t="shared" si="70"/>
        <v>-653402.20221487584</v>
      </c>
    </row>
    <row r="111" spans="6:37">
      <c r="G111" s="1"/>
      <c r="I111">
        <v>11</v>
      </c>
      <c r="J111" s="26">
        <f t="shared" si="85"/>
        <v>6218.8958642166881</v>
      </c>
      <c r="K111" s="24">
        <f t="shared" si="86"/>
        <v>2419.2589768224761</v>
      </c>
      <c r="L111" s="24">
        <f t="shared" si="87"/>
        <v>5203.9841995455581</v>
      </c>
      <c r="M111" s="24">
        <v>0</v>
      </c>
      <c r="N111" s="48"/>
      <c r="O111" s="32">
        <f t="shared" si="55"/>
        <v>10082.99055914864</v>
      </c>
      <c r="P111" s="32">
        <f t="shared" si="66"/>
        <v>4307.191909393493</v>
      </c>
      <c r="Q111" s="32">
        <f t="shared" si="67"/>
        <v>5775.7986497551474</v>
      </c>
      <c r="R111" s="45">
        <f t="shared" si="71"/>
        <v>1027950.2596046831</v>
      </c>
      <c r="S111" s="31">
        <f t="shared" si="56"/>
        <v>-5711.5392215448392</v>
      </c>
      <c r="T111" s="32">
        <f t="shared" si="88"/>
        <v>0</v>
      </c>
      <c r="U111" s="32">
        <f t="shared" si="58"/>
        <v>-11487.337871299987</v>
      </c>
      <c r="V111" s="32">
        <f t="shared" si="89"/>
        <v>2728.2648235722081</v>
      </c>
      <c r="W111" s="32">
        <f t="shared" si="60"/>
        <v>-9011.6184953266384</v>
      </c>
      <c r="X111" s="32">
        <f t="shared" si="90"/>
        <v>-5808.9696316407617</v>
      </c>
      <c r="Y111" s="102">
        <f t="shared" si="68"/>
        <v>-163818.18060265176</v>
      </c>
      <c r="Z111" s="32">
        <f t="shared" si="72"/>
        <v>-203382.5187795216</v>
      </c>
      <c r="AA111" s="45">
        <f t="shared" si="73"/>
        <v>-203382.51877952166</v>
      </c>
      <c r="AB111" s="1"/>
      <c r="AC111" s="40">
        <f t="shared" si="61"/>
        <v>-1404.3473121513462</v>
      </c>
      <c r="AD111" s="40">
        <f t="shared" si="91"/>
        <v>0</v>
      </c>
      <c r="AE111" s="40">
        <f t="shared" si="63"/>
        <v>-1404.3473121513462</v>
      </c>
      <c r="AF111" s="40">
        <f t="shared" si="64"/>
        <v>2728.2648235722081</v>
      </c>
      <c r="AG111" s="40">
        <f t="shared" si="65"/>
        <v>1071.3720638220038</v>
      </c>
      <c r="AH111" s="40">
        <f t="shared" si="92"/>
        <v>690.61598492632663</v>
      </c>
      <c r="AI111" s="106">
        <f t="shared" si="74"/>
        <v>-838128.88120008318</v>
      </c>
      <c r="AJ111" s="40">
        <f t="shared" si="69"/>
        <v>875497.47104938328</v>
      </c>
      <c r="AK111" s="108">
        <f t="shared" si="70"/>
        <v>-652330.83015105384</v>
      </c>
    </row>
    <row r="112" spans="6:37">
      <c r="G112" s="1"/>
      <c r="I112">
        <v>12</v>
      </c>
      <c r="J112" s="26">
        <f t="shared" si="85"/>
        <v>5233.7242421625588</v>
      </c>
      <c r="K112" s="24">
        <f t="shared" si="86"/>
        <v>2419.2589768224761</v>
      </c>
      <c r="L112" s="24">
        <f t="shared" si="87"/>
        <v>5203.9841995455581</v>
      </c>
      <c r="M112" s="24">
        <v>0</v>
      </c>
      <c r="N112" s="48"/>
      <c r="O112" s="32">
        <f t="shared" si="55"/>
        <v>10082.99055914864</v>
      </c>
      <c r="P112" s="32">
        <f t="shared" si="66"/>
        <v>4283.1260816861795</v>
      </c>
      <c r="Q112" s="32">
        <f t="shared" si="67"/>
        <v>5799.8644774624609</v>
      </c>
      <c r="R112" s="45">
        <f t="shared" si="71"/>
        <v>1022150.3951272207</v>
      </c>
      <c r="S112" s="31">
        <f t="shared" si="56"/>
        <v>-6672.645015891655</v>
      </c>
      <c r="T112" s="32">
        <f t="shared" si="88"/>
        <v>0</v>
      </c>
      <c r="U112" s="32">
        <f t="shared" si="58"/>
        <v>-12472.509493354115</v>
      </c>
      <c r="V112" s="32">
        <f t="shared" si="89"/>
        <v>2728.2648235722081</v>
      </c>
      <c r="W112" s="32">
        <f t="shared" si="60"/>
        <v>-9996.7901173807659</v>
      </c>
      <c r="X112" s="32">
        <f t="shared" si="90"/>
        <v>-6444.0200432216016</v>
      </c>
      <c r="Y112" s="102">
        <f t="shared" si="68"/>
        <v>-170262.20064587335</v>
      </c>
      <c r="Z112" s="32">
        <f t="shared" si="72"/>
        <v>-213379.30889690237</v>
      </c>
      <c r="AA112" s="45">
        <f t="shared" si="73"/>
        <v>-213379.30889690242</v>
      </c>
      <c r="AB112" s="1"/>
      <c r="AC112" s="40">
        <f t="shared" si="61"/>
        <v>-2389.5189342054755</v>
      </c>
      <c r="AD112" s="40">
        <f t="shared" si="91"/>
        <v>0</v>
      </c>
      <c r="AE112" s="40">
        <f t="shared" si="63"/>
        <v>-2389.5189342054755</v>
      </c>
      <c r="AF112" s="40">
        <f t="shared" si="64"/>
        <v>2728.2648235722081</v>
      </c>
      <c r="AG112" s="40">
        <f t="shared" si="65"/>
        <v>86.200441767874509</v>
      </c>
      <c r="AH112" s="40">
        <f t="shared" si="92"/>
        <v>55.565573345484935</v>
      </c>
      <c r="AI112" s="106">
        <f t="shared" si="74"/>
        <v>-838073.31562673766</v>
      </c>
      <c r="AJ112" s="40">
        <f t="shared" si="69"/>
        <v>875583.67149115121</v>
      </c>
      <c r="AK112" s="108">
        <f t="shared" si="70"/>
        <v>-652244.62970928592</v>
      </c>
    </row>
    <row r="113" spans="2:37">
      <c r="F113" s="132" t="s">
        <v>88</v>
      </c>
      <c r="G113" s="1">
        <f>SUM(S113:S124)</f>
        <v>31167.246203986368</v>
      </c>
      <c r="H113">
        <v>2024</v>
      </c>
      <c r="I113">
        <v>1</v>
      </c>
      <c r="J113" s="26">
        <f t="shared" ref="J113:J124" si="93">C23*$C$47*$D$47</f>
        <v>5626.9862817186531</v>
      </c>
      <c r="K113" s="24">
        <f t="shared" ref="K113:K124" si="94">$K$112*$C$8</f>
        <v>2491.8367461271505</v>
      </c>
      <c r="L113" s="24">
        <f t="shared" ref="L113:L124" si="95">(($C$5-SUM($L$5:$L$112))*0.15)/12</f>
        <v>4423.3865696137218</v>
      </c>
      <c r="M113" s="24">
        <v>0</v>
      </c>
      <c r="N113" s="48"/>
      <c r="O113" s="32">
        <f t="shared" si="55"/>
        <v>10082.99055914864</v>
      </c>
      <c r="P113" s="32">
        <f t="shared" si="66"/>
        <v>4258.9599796967523</v>
      </c>
      <c r="Q113" s="32">
        <f t="shared" si="67"/>
        <v>5824.0305794518881</v>
      </c>
      <c r="R113" s="45">
        <f t="shared" si="71"/>
        <v>1016326.3645477687</v>
      </c>
      <c r="S113" s="31">
        <f t="shared" si="56"/>
        <v>-5547.197013718971</v>
      </c>
      <c r="T113" s="32">
        <f t="shared" ref="T113:T148" si="96">S113*$C$60</f>
        <v>0</v>
      </c>
      <c r="U113" s="32">
        <f t="shared" si="58"/>
        <v>-11371.227593170859</v>
      </c>
      <c r="V113" s="32">
        <f t="shared" si="89"/>
        <v>2728.2648235722081</v>
      </c>
      <c r="W113" s="32">
        <f t="shared" si="60"/>
        <v>-9676.1058471293454</v>
      </c>
      <c r="X113" s="32">
        <f t="shared" ref="X113:X124" si="97">W113/(1+$C$18)^10</f>
        <v>-5940.2896222159416</v>
      </c>
      <c r="Y113" s="102">
        <f t="shared" si="68"/>
        <v>-176202.49026808928</v>
      </c>
      <c r="Z113" s="32">
        <f t="shared" si="72"/>
        <v>-223055.4147440317</v>
      </c>
      <c r="AA113" s="45">
        <f t="shared" si="73"/>
        <v>-223055.41474403176</v>
      </c>
      <c r="AB113" s="1"/>
      <c r="AC113" s="40">
        <f t="shared" si="61"/>
        <v>-1288.2370340222192</v>
      </c>
      <c r="AD113" s="40">
        <f t="shared" ref="AD113:AD148" si="98">AC113*$C$60</f>
        <v>0</v>
      </c>
      <c r="AE113" s="40">
        <f t="shared" si="63"/>
        <v>-1288.2370340222192</v>
      </c>
      <c r="AF113" s="40">
        <f t="shared" si="64"/>
        <v>2728.2648235722081</v>
      </c>
      <c r="AG113" s="40">
        <f t="shared" si="65"/>
        <v>406.88471201929451</v>
      </c>
      <c r="AH113" s="40">
        <f t="shared" ref="AH113:AH124" si="99">AG113/(1+$C$18)^10</f>
        <v>249.79191737175998</v>
      </c>
      <c r="AI113" s="106">
        <f t="shared" si="74"/>
        <v>-837823.52370936587</v>
      </c>
      <c r="AJ113" s="40">
        <f t="shared" si="69"/>
        <v>875990.55620317045</v>
      </c>
      <c r="AK113" s="108">
        <f t="shared" si="70"/>
        <v>-651837.74499726668</v>
      </c>
    </row>
    <row r="114" spans="2:37">
      <c r="F114" s="17" t="s">
        <v>31</v>
      </c>
      <c r="G114">
        <v>10</v>
      </c>
      <c r="I114">
        <v>2</v>
      </c>
      <c r="J114" s="26">
        <f t="shared" si="93"/>
        <v>8611.4651935694292</v>
      </c>
      <c r="K114" s="24">
        <f t="shared" si="94"/>
        <v>2491.8367461271505</v>
      </c>
      <c r="L114" s="24">
        <f t="shared" si="95"/>
        <v>4423.3865696137218</v>
      </c>
      <c r="M114" s="24">
        <v>0</v>
      </c>
      <c r="N114" s="48"/>
      <c r="O114" s="32">
        <f t="shared" si="55"/>
        <v>10082.99055914864</v>
      </c>
      <c r="P114" s="32">
        <f t="shared" si="66"/>
        <v>4234.6931856157025</v>
      </c>
      <c r="Q114" s="32">
        <f t="shared" si="67"/>
        <v>5848.2973735329379</v>
      </c>
      <c r="R114" s="45">
        <f t="shared" si="71"/>
        <v>1010478.0671742358</v>
      </c>
      <c r="S114" s="31">
        <f t="shared" si="56"/>
        <v>-2538.4513077871452</v>
      </c>
      <c r="T114" s="32">
        <f t="shared" si="96"/>
        <v>0</v>
      </c>
      <c r="U114" s="32">
        <f t="shared" si="58"/>
        <v>-8386.7486813200831</v>
      </c>
      <c r="V114" s="32">
        <f t="shared" si="89"/>
        <v>2728.2648235722081</v>
      </c>
      <c r="W114" s="32">
        <f t="shared" si="60"/>
        <v>-6691.6269352785694</v>
      </c>
      <c r="X114" s="32">
        <f t="shared" si="97"/>
        <v>-4108.0784633178464</v>
      </c>
      <c r="Y114" s="102">
        <f t="shared" si="68"/>
        <v>-180310.56873140714</v>
      </c>
      <c r="Z114" s="32">
        <f t="shared" si="72"/>
        <v>-229747.04167931026</v>
      </c>
      <c r="AA114" s="45">
        <f t="shared" si="73"/>
        <v>-229747.04167931032</v>
      </c>
      <c r="AB114" s="1"/>
      <c r="AC114" s="40">
        <f t="shared" si="61"/>
        <v>1696.2418778285573</v>
      </c>
      <c r="AD114" s="40">
        <f t="shared" si="98"/>
        <v>0</v>
      </c>
      <c r="AE114" s="40">
        <f t="shared" si="63"/>
        <v>1696.2418778285573</v>
      </c>
      <c r="AF114" s="40">
        <f t="shared" si="64"/>
        <v>2728.2648235722081</v>
      </c>
      <c r="AG114" s="40">
        <f t="shared" si="65"/>
        <v>3391.363623870071</v>
      </c>
      <c r="AH114" s="40">
        <f t="shared" si="99"/>
        <v>2082.0030762698552</v>
      </c>
      <c r="AI114" s="106">
        <f t="shared" si="74"/>
        <v>-835741.52063309599</v>
      </c>
      <c r="AJ114" s="40">
        <f t="shared" si="69"/>
        <v>879381.91982704052</v>
      </c>
      <c r="AK114" s="108">
        <f t="shared" si="70"/>
        <v>-648446.38137339661</v>
      </c>
    </row>
    <row r="115" spans="2:37">
      <c r="F115" s="13" t="s">
        <v>30</v>
      </c>
      <c r="G115" s="1">
        <f>G103-(G29+G113)</f>
        <v>-50559.981010255549</v>
      </c>
      <c r="I115">
        <v>3</v>
      </c>
      <c r="J115" s="26">
        <f t="shared" si="93"/>
        <v>15435.351872228239</v>
      </c>
      <c r="K115" s="24">
        <f t="shared" si="94"/>
        <v>2491.8367461271505</v>
      </c>
      <c r="L115" s="24">
        <f t="shared" si="95"/>
        <v>4423.3865696137218</v>
      </c>
      <c r="M115" s="24">
        <v>0</v>
      </c>
      <c r="N115" s="48"/>
      <c r="O115" s="32">
        <f t="shared" si="55"/>
        <v>10082.99055914864</v>
      </c>
      <c r="P115" s="32">
        <f t="shared" si="66"/>
        <v>4210.3252798926496</v>
      </c>
      <c r="Q115" s="32">
        <f t="shared" si="67"/>
        <v>5872.6652792559908</v>
      </c>
      <c r="R115" s="45">
        <f t="shared" si="71"/>
        <v>1004605.4018949799</v>
      </c>
      <c r="S115" s="31">
        <f t="shared" si="56"/>
        <v>4309.8032765947173</v>
      </c>
      <c r="T115" s="32">
        <f t="shared" si="96"/>
        <v>0</v>
      </c>
      <c r="U115" s="32">
        <f t="shared" si="58"/>
        <v>-1562.8620026612734</v>
      </c>
      <c r="V115" s="32">
        <f t="shared" si="89"/>
        <v>2728.2648235722081</v>
      </c>
      <c r="W115" s="32">
        <f t="shared" si="60"/>
        <v>132.25974338024025</v>
      </c>
      <c r="X115" s="32">
        <f t="shared" si="97"/>
        <v>81.196009371029191</v>
      </c>
      <c r="Y115" s="102">
        <f t="shared" si="68"/>
        <v>-180229.37272203612</v>
      </c>
      <c r="Z115" s="32">
        <f t="shared" si="72"/>
        <v>-229614.78193593002</v>
      </c>
      <c r="AA115" s="45">
        <f t="shared" si="73"/>
        <v>-229614.78193593008</v>
      </c>
      <c r="AB115" s="1"/>
      <c r="AC115" s="40">
        <f t="shared" si="61"/>
        <v>8520.128556487367</v>
      </c>
      <c r="AD115" s="40">
        <f t="shared" si="98"/>
        <v>0</v>
      </c>
      <c r="AE115" s="40">
        <f t="shared" si="63"/>
        <v>8520.128556487367</v>
      </c>
      <c r="AF115" s="40">
        <f t="shared" si="64"/>
        <v>2728.2648235722081</v>
      </c>
      <c r="AG115" s="40">
        <f t="shared" si="65"/>
        <v>10215.250302528881</v>
      </c>
      <c r="AH115" s="40">
        <f t="shared" si="99"/>
        <v>6271.2775489587311</v>
      </c>
      <c r="AI115" s="106">
        <f t="shared" si="74"/>
        <v>-829470.24308413721</v>
      </c>
      <c r="AJ115" s="40">
        <f t="shared" si="69"/>
        <v>889597.17012956936</v>
      </c>
      <c r="AK115" s="108">
        <f t="shared" si="70"/>
        <v>-638231.13107086776</v>
      </c>
    </row>
    <row r="116" spans="2:37">
      <c r="F116" s="18" t="s">
        <v>39</v>
      </c>
      <c r="G116" s="1">
        <v>0</v>
      </c>
      <c r="I116">
        <v>4</v>
      </c>
      <c r="J116" s="26">
        <f t="shared" si="93"/>
        <v>17720.34353911399</v>
      </c>
      <c r="K116" s="24">
        <f t="shared" si="94"/>
        <v>2491.8367461271505</v>
      </c>
      <c r="L116" s="24">
        <f t="shared" si="95"/>
        <v>4423.3865696137218</v>
      </c>
      <c r="M116" s="24">
        <v>0</v>
      </c>
      <c r="N116" s="48"/>
      <c r="O116" s="32">
        <f t="shared" si="55"/>
        <v>10082.99055914864</v>
      </c>
      <c r="P116" s="32">
        <f t="shared" si="66"/>
        <v>4185.8558412290831</v>
      </c>
      <c r="Q116" s="32">
        <f t="shared" si="67"/>
        <v>5897.1347179195573</v>
      </c>
      <c r="R116" s="45">
        <f t="shared" si="71"/>
        <v>998708.26717706036</v>
      </c>
      <c r="S116" s="31">
        <f t="shared" si="56"/>
        <v>6619.2643821440352</v>
      </c>
      <c r="T116" s="32">
        <f t="shared" si="96"/>
        <v>0</v>
      </c>
      <c r="U116" s="32">
        <f t="shared" si="58"/>
        <v>722.12966422447789</v>
      </c>
      <c r="V116" s="32">
        <f t="shared" si="89"/>
        <v>2728.2648235722081</v>
      </c>
      <c r="W116" s="32">
        <f t="shared" si="60"/>
        <v>2417.2514102659916</v>
      </c>
      <c r="X116" s="32">
        <f t="shared" si="97"/>
        <v>1483.9826779023838</v>
      </c>
      <c r="Y116" s="102">
        <f t="shared" si="68"/>
        <v>-178745.39004413373</v>
      </c>
      <c r="Z116" s="32">
        <f t="shared" si="72"/>
        <v>-227197.53052566404</v>
      </c>
      <c r="AA116" s="45">
        <f t="shared" si="73"/>
        <v>-227197.5305256641</v>
      </c>
      <c r="AB116" s="1"/>
      <c r="AC116" s="40">
        <f t="shared" si="61"/>
        <v>10805.120223373118</v>
      </c>
      <c r="AD116" s="40">
        <f t="shared" si="98"/>
        <v>0</v>
      </c>
      <c r="AE116" s="40">
        <f t="shared" si="63"/>
        <v>10805.120223373118</v>
      </c>
      <c r="AF116" s="40">
        <f t="shared" si="64"/>
        <v>2728.2648235722081</v>
      </c>
      <c r="AG116" s="40">
        <f t="shared" si="65"/>
        <v>12500.241969414632</v>
      </c>
      <c r="AH116" s="40">
        <f t="shared" si="99"/>
        <v>7674.0642174900859</v>
      </c>
      <c r="AI116" s="106">
        <f t="shared" si="74"/>
        <v>-821796.17886664718</v>
      </c>
      <c r="AJ116" s="40">
        <f t="shared" si="69"/>
        <v>902097.412098984</v>
      </c>
      <c r="AK116" s="108">
        <f t="shared" si="70"/>
        <v>-625730.88910145313</v>
      </c>
    </row>
    <row r="117" spans="2:37">
      <c r="F117" s="16" t="s">
        <v>90</v>
      </c>
      <c r="G117" s="129">
        <f>$C$60</f>
        <v>0</v>
      </c>
      <c r="I117">
        <v>5</v>
      </c>
      <c r="J117" s="26">
        <f t="shared" si="93"/>
        <v>18342.109979082903</v>
      </c>
      <c r="K117" s="24">
        <f t="shared" si="94"/>
        <v>2491.8367461271505</v>
      </c>
      <c r="L117" s="24">
        <f t="shared" si="95"/>
        <v>4423.3865696137218</v>
      </c>
      <c r="M117" s="24">
        <v>0</v>
      </c>
      <c r="N117" s="48"/>
      <c r="O117" s="32">
        <f t="shared" si="55"/>
        <v>10082.99055914864</v>
      </c>
      <c r="P117" s="32">
        <f t="shared" si="66"/>
        <v>4161.284446571085</v>
      </c>
      <c r="Q117" s="32">
        <f t="shared" si="67"/>
        <v>5921.7061125775554</v>
      </c>
      <c r="R117" s="45">
        <f t="shared" si="71"/>
        <v>992786.56106448278</v>
      </c>
      <c r="S117" s="31">
        <f t="shared" si="56"/>
        <v>7265.6022167709461</v>
      </c>
      <c r="T117" s="32">
        <f t="shared" si="96"/>
        <v>0</v>
      </c>
      <c r="U117" s="32">
        <f t="shared" si="58"/>
        <v>1343.8961041933908</v>
      </c>
      <c r="V117" s="32">
        <f t="shared" si="89"/>
        <v>2728.2648235722081</v>
      </c>
      <c r="W117" s="32">
        <f t="shared" si="60"/>
        <v>3039.0178502349045</v>
      </c>
      <c r="X117" s="32">
        <f t="shared" si="97"/>
        <v>1865.6933360061541</v>
      </c>
      <c r="Y117" s="102">
        <f t="shared" si="68"/>
        <v>-176879.69670812757</v>
      </c>
      <c r="Z117" s="32">
        <f t="shared" si="72"/>
        <v>-224158.51267542914</v>
      </c>
      <c r="AA117" s="45">
        <f t="shared" si="73"/>
        <v>-224158.5126754292</v>
      </c>
      <c r="AB117" s="1"/>
      <c r="AC117" s="40">
        <f t="shared" si="61"/>
        <v>11426.886663342031</v>
      </c>
      <c r="AD117" s="40">
        <f t="shared" si="98"/>
        <v>0</v>
      </c>
      <c r="AE117" s="40">
        <f t="shared" si="63"/>
        <v>11426.886663342031</v>
      </c>
      <c r="AF117" s="40">
        <f t="shared" si="64"/>
        <v>2728.2648235722081</v>
      </c>
      <c r="AG117" s="40">
        <f t="shared" si="65"/>
        <v>13122.008409383545</v>
      </c>
      <c r="AH117" s="40">
        <f t="shared" si="99"/>
        <v>8055.7748755938564</v>
      </c>
      <c r="AI117" s="106">
        <f t="shared" si="74"/>
        <v>-813740.40399105335</v>
      </c>
      <c r="AJ117" s="40">
        <f t="shared" si="69"/>
        <v>915219.42050836759</v>
      </c>
      <c r="AK117" s="108">
        <f t="shared" si="70"/>
        <v>-612608.88069206954</v>
      </c>
    </row>
    <row r="118" spans="2:37">
      <c r="G118" s="1"/>
      <c r="I118">
        <v>6</v>
      </c>
      <c r="J118" s="26">
        <f t="shared" si="93"/>
        <v>19119.318029044043</v>
      </c>
      <c r="K118" s="24">
        <f t="shared" si="94"/>
        <v>2491.8367461271505</v>
      </c>
      <c r="L118" s="24">
        <f t="shared" si="95"/>
        <v>4423.3865696137218</v>
      </c>
      <c r="M118" s="24">
        <v>0</v>
      </c>
      <c r="N118" s="48"/>
      <c r="O118" s="32">
        <f t="shared" si="55"/>
        <v>10082.99055914864</v>
      </c>
      <c r="P118" s="32">
        <f t="shared" si="66"/>
        <v>4136.6106711020111</v>
      </c>
      <c r="Q118" s="32">
        <f t="shared" si="67"/>
        <v>5946.3798880466293</v>
      </c>
      <c r="R118" s="45">
        <f t="shared" si="71"/>
        <v>986840.18117643613</v>
      </c>
      <c r="S118" s="31">
        <f t="shared" si="56"/>
        <v>8067.4840422011584</v>
      </c>
      <c r="T118" s="32">
        <f t="shared" si="96"/>
        <v>0</v>
      </c>
      <c r="U118" s="32">
        <f t="shared" si="58"/>
        <v>2121.1041541545292</v>
      </c>
      <c r="V118" s="32">
        <f t="shared" si="89"/>
        <v>2728.2648235722081</v>
      </c>
      <c r="W118" s="32">
        <f t="shared" si="60"/>
        <v>3816.2259001960429</v>
      </c>
      <c r="X118" s="32">
        <f t="shared" si="97"/>
        <v>2342.8316586358656</v>
      </c>
      <c r="Y118" s="102">
        <f t="shared" si="68"/>
        <v>-174536.86504949169</v>
      </c>
      <c r="Z118" s="32">
        <f t="shared" si="72"/>
        <v>-220342.28677523311</v>
      </c>
      <c r="AA118" s="45">
        <f t="shared" si="73"/>
        <v>-220342.28677523317</v>
      </c>
      <c r="AB118" s="1"/>
      <c r="AC118" s="40">
        <f t="shared" si="61"/>
        <v>12204.09471330317</v>
      </c>
      <c r="AD118" s="40">
        <f t="shared" si="98"/>
        <v>0</v>
      </c>
      <c r="AE118" s="40">
        <f t="shared" si="63"/>
        <v>12204.09471330317</v>
      </c>
      <c r="AF118" s="40">
        <f t="shared" si="64"/>
        <v>2728.2648235722081</v>
      </c>
      <c r="AG118" s="40">
        <f t="shared" si="65"/>
        <v>13899.216459344683</v>
      </c>
      <c r="AH118" s="40">
        <f t="shared" si="99"/>
        <v>8532.9131982235667</v>
      </c>
      <c r="AI118" s="106">
        <f t="shared" si="74"/>
        <v>-805207.49079282978</v>
      </c>
      <c r="AJ118" s="40">
        <f t="shared" si="69"/>
        <v>929118.63696771231</v>
      </c>
      <c r="AK118" s="108">
        <f t="shared" si="70"/>
        <v>-598709.66423272481</v>
      </c>
    </row>
    <row r="119" spans="2:37">
      <c r="B119" s="51" t="s">
        <v>77</v>
      </c>
      <c r="G119" s="1"/>
      <c r="I119">
        <v>7</v>
      </c>
      <c r="J119" s="26">
        <f t="shared" si="93"/>
        <v>20362.850908981865</v>
      </c>
      <c r="K119" s="24">
        <f t="shared" si="94"/>
        <v>2491.8367461271505</v>
      </c>
      <c r="L119" s="24">
        <f t="shared" si="95"/>
        <v>4423.3865696137218</v>
      </c>
      <c r="M119" s="24">
        <v>0</v>
      </c>
      <c r="N119" s="48"/>
      <c r="O119" s="32">
        <f t="shared" si="55"/>
        <v>10082.99055914864</v>
      </c>
      <c r="P119" s="32">
        <f t="shared" si="66"/>
        <v>4111.8340882351504</v>
      </c>
      <c r="Q119" s="32">
        <f t="shared" si="67"/>
        <v>5971.15647091349</v>
      </c>
      <c r="R119" s="45">
        <f t="shared" si="71"/>
        <v>980869.02470552269</v>
      </c>
      <c r="S119" s="31">
        <f t="shared" si="56"/>
        <v>9335.7935050058404</v>
      </c>
      <c r="T119" s="32">
        <f t="shared" si="96"/>
        <v>0</v>
      </c>
      <c r="U119" s="32">
        <f t="shared" si="58"/>
        <v>3364.6370340923513</v>
      </c>
      <c r="V119" s="32">
        <f t="shared" si="89"/>
        <v>2728.2648235722081</v>
      </c>
      <c r="W119" s="32">
        <f t="shared" si="60"/>
        <v>5059.758780133865</v>
      </c>
      <c r="X119" s="32">
        <f t="shared" si="97"/>
        <v>3106.2529748434044</v>
      </c>
      <c r="Y119" s="102">
        <f t="shared" si="68"/>
        <v>-171430.61207464829</v>
      </c>
      <c r="Z119" s="32">
        <f t="shared" si="72"/>
        <v>-215282.52799509926</v>
      </c>
      <c r="AA119" s="45">
        <f t="shared" si="73"/>
        <v>-215282.52799509931</v>
      </c>
      <c r="AB119" s="1"/>
      <c r="AC119" s="40">
        <f t="shared" si="61"/>
        <v>13447.627593240992</v>
      </c>
      <c r="AD119" s="40">
        <f t="shared" si="98"/>
        <v>0</v>
      </c>
      <c r="AE119" s="40">
        <f t="shared" si="63"/>
        <v>13447.627593240992</v>
      </c>
      <c r="AF119" s="40">
        <f t="shared" si="64"/>
        <v>2728.2648235722081</v>
      </c>
      <c r="AG119" s="40">
        <f t="shared" si="65"/>
        <v>15142.749339282505</v>
      </c>
      <c r="AH119" s="40">
        <f t="shared" si="99"/>
        <v>9296.3345144311061</v>
      </c>
      <c r="AI119" s="106">
        <f t="shared" si="74"/>
        <v>-795911.1562783987</v>
      </c>
      <c r="AJ119" s="40">
        <f t="shared" si="69"/>
        <v>944261.38630699483</v>
      </c>
      <c r="AK119" s="108">
        <f t="shared" si="70"/>
        <v>-583566.9148934423</v>
      </c>
    </row>
    <row r="120" spans="2:37">
      <c r="G120" s="1"/>
      <c r="I120">
        <v>8</v>
      </c>
      <c r="J120" s="26">
        <f t="shared" si="93"/>
        <v>18652.993199067358</v>
      </c>
      <c r="K120" s="24">
        <f t="shared" si="94"/>
        <v>2491.8367461271505</v>
      </c>
      <c r="L120" s="24">
        <f t="shared" si="95"/>
        <v>4423.3865696137218</v>
      </c>
      <c r="M120" s="24">
        <v>0</v>
      </c>
      <c r="N120" s="48"/>
      <c r="O120" s="32">
        <f t="shared" si="55"/>
        <v>10082.99055914864</v>
      </c>
      <c r="P120" s="32">
        <f t="shared" si="66"/>
        <v>4086.9542696063445</v>
      </c>
      <c r="Q120" s="32">
        <f t="shared" si="67"/>
        <v>5996.0362895422959</v>
      </c>
      <c r="R120" s="45">
        <f t="shared" si="71"/>
        <v>974872.98841598036</v>
      </c>
      <c r="S120" s="31">
        <f t="shared" si="56"/>
        <v>7650.8156137201413</v>
      </c>
      <c r="T120" s="32">
        <f t="shared" si="96"/>
        <v>0</v>
      </c>
      <c r="U120" s="32">
        <f t="shared" si="58"/>
        <v>1654.7793241778454</v>
      </c>
      <c r="V120" s="32">
        <f t="shared" si="89"/>
        <v>2728.2648235722081</v>
      </c>
      <c r="W120" s="32">
        <f t="shared" si="60"/>
        <v>3349.9010702193591</v>
      </c>
      <c r="X120" s="32">
        <f t="shared" si="97"/>
        <v>2056.5486650580383</v>
      </c>
      <c r="Y120" s="102">
        <f t="shared" si="68"/>
        <v>-169374.06340959025</v>
      </c>
      <c r="Z120" s="32">
        <f t="shared" si="72"/>
        <v>-211932.62692487991</v>
      </c>
      <c r="AA120" s="45">
        <f t="shared" si="73"/>
        <v>-211932.62692487997</v>
      </c>
      <c r="AB120" s="1"/>
      <c r="AC120" s="40">
        <f t="shared" si="61"/>
        <v>11737.769883326486</v>
      </c>
      <c r="AD120" s="40">
        <f t="shared" si="98"/>
        <v>0</v>
      </c>
      <c r="AE120" s="40">
        <f t="shared" si="63"/>
        <v>11737.769883326486</v>
      </c>
      <c r="AF120" s="40">
        <f t="shared" si="64"/>
        <v>2728.2648235722081</v>
      </c>
      <c r="AG120" s="40">
        <f t="shared" si="65"/>
        <v>13432.891629367999</v>
      </c>
      <c r="AH120" s="40">
        <f t="shared" si="99"/>
        <v>8246.6302046457404</v>
      </c>
      <c r="AI120" s="106">
        <f t="shared" si="74"/>
        <v>-787664.52607375302</v>
      </c>
      <c r="AJ120" s="40">
        <f t="shared" si="69"/>
        <v>957694.27793636278</v>
      </c>
      <c r="AK120" s="108">
        <f t="shared" si="70"/>
        <v>-570134.02326407435</v>
      </c>
    </row>
    <row r="121" spans="2:37">
      <c r="G121" s="1"/>
      <c r="I121">
        <v>9</v>
      </c>
      <c r="J121" s="26">
        <f t="shared" si="93"/>
        <v>16632.252269168395</v>
      </c>
      <c r="K121" s="24">
        <f t="shared" si="94"/>
        <v>2491.8367461271505</v>
      </c>
      <c r="L121" s="24">
        <f t="shared" si="95"/>
        <v>4423.3865696137218</v>
      </c>
      <c r="M121" s="24">
        <v>0</v>
      </c>
      <c r="N121" s="48"/>
      <c r="O121" s="32">
        <f t="shared" si="55"/>
        <v>10082.99055914864</v>
      </c>
      <c r="P121" s="32">
        <f t="shared" si="66"/>
        <v>4061.970785066585</v>
      </c>
      <c r="Q121" s="32">
        <f t="shared" si="67"/>
        <v>6021.0197740820549</v>
      </c>
      <c r="R121" s="45">
        <f t="shared" si="71"/>
        <v>968851.96864189836</v>
      </c>
      <c r="S121" s="31">
        <f t="shared" si="56"/>
        <v>5655.058168360938</v>
      </c>
      <c r="T121" s="32">
        <f t="shared" si="96"/>
        <v>0</v>
      </c>
      <c r="U121" s="32">
        <f t="shared" si="58"/>
        <v>-365.96160572111694</v>
      </c>
      <c r="V121" s="32">
        <f t="shared" si="89"/>
        <v>2728.2648235722081</v>
      </c>
      <c r="W121" s="32">
        <f t="shared" si="60"/>
        <v>1329.1601403203967</v>
      </c>
      <c r="X121" s="32">
        <f t="shared" si="97"/>
        <v>815.98902622078697</v>
      </c>
      <c r="Y121" s="102">
        <f t="shared" si="68"/>
        <v>-168558.07438336947</v>
      </c>
      <c r="Z121" s="32">
        <f t="shared" si="72"/>
        <v>-210603.46678455951</v>
      </c>
      <c r="AA121" s="45">
        <f t="shared" si="73"/>
        <v>-210603.46678455957</v>
      </c>
      <c r="AB121" s="1"/>
      <c r="AC121" s="40">
        <f t="shared" si="61"/>
        <v>9717.0289534275234</v>
      </c>
      <c r="AD121" s="40">
        <f t="shared" si="98"/>
        <v>0</v>
      </c>
      <c r="AE121" s="40">
        <f t="shared" si="63"/>
        <v>9717.0289534275234</v>
      </c>
      <c r="AF121" s="40">
        <f t="shared" si="64"/>
        <v>2728.2648235722081</v>
      </c>
      <c r="AG121" s="40">
        <f t="shared" si="65"/>
        <v>11412.150699469037</v>
      </c>
      <c r="AH121" s="40">
        <f t="shared" si="99"/>
        <v>7006.0705658084889</v>
      </c>
      <c r="AI121" s="106">
        <f t="shared" si="74"/>
        <v>-780658.45550794457</v>
      </c>
      <c r="AJ121" s="40">
        <f t="shared" si="69"/>
        <v>969106.42863583181</v>
      </c>
      <c r="AK121" s="108">
        <f t="shared" si="70"/>
        <v>-558721.87256460532</v>
      </c>
    </row>
    <row r="122" spans="2:37">
      <c r="G122" s="1"/>
      <c r="I122">
        <v>10</v>
      </c>
      <c r="J122" s="26">
        <f t="shared" si="93"/>
        <v>11564.855783421761</v>
      </c>
      <c r="K122" s="24">
        <f t="shared" si="94"/>
        <v>2491.8367461271505</v>
      </c>
      <c r="L122" s="24">
        <f t="shared" si="95"/>
        <v>4423.3865696137218</v>
      </c>
      <c r="M122" s="24">
        <v>0</v>
      </c>
      <c r="N122" s="48"/>
      <c r="O122" s="32">
        <f t="shared" si="55"/>
        <v>10082.99055914864</v>
      </c>
      <c r="P122" s="32">
        <f t="shared" si="66"/>
        <v>4036.8832026745763</v>
      </c>
      <c r="Q122" s="32">
        <f t="shared" si="67"/>
        <v>6046.1073564740636</v>
      </c>
      <c r="R122" s="45">
        <f t="shared" si="71"/>
        <v>962805.86128542433</v>
      </c>
      <c r="S122" s="31">
        <f t="shared" si="56"/>
        <v>612.74926500631273</v>
      </c>
      <c r="T122" s="32">
        <f t="shared" si="96"/>
        <v>0</v>
      </c>
      <c r="U122" s="32">
        <f t="shared" si="58"/>
        <v>-5433.3580914677514</v>
      </c>
      <c r="V122" s="32">
        <f t="shared" si="89"/>
        <v>2728.2648235722081</v>
      </c>
      <c r="W122" s="32">
        <f t="shared" si="60"/>
        <v>-3738.2363454262377</v>
      </c>
      <c r="X122" s="32">
        <f t="shared" si="97"/>
        <v>-2294.9528373249395</v>
      </c>
      <c r="Y122" s="102">
        <f t="shared" si="68"/>
        <v>-170853.02722069441</v>
      </c>
      <c r="Z122" s="32">
        <f t="shared" si="72"/>
        <v>-214341.70312998575</v>
      </c>
      <c r="AA122" s="45">
        <f t="shared" si="73"/>
        <v>-214341.70312998581</v>
      </c>
      <c r="AB122" s="1"/>
      <c r="AC122" s="40">
        <f t="shared" si="61"/>
        <v>4649.632467680889</v>
      </c>
      <c r="AD122" s="40">
        <f t="shared" si="98"/>
        <v>0</v>
      </c>
      <c r="AE122" s="40">
        <f t="shared" si="63"/>
        <v>4649.632467680889</v>
      </c>
      <c r="AF122" s="40">
        <f t="shared" si="64"/>
        <v>2728.2648235722081</v>
      </c>
      <c r="AG122" s="40">
        <f t="shared" si="65"/>
        <v>6344.7542137224027</v>
      </c>
      <c r="AH122" s="40">
        <f t="shared" si="99"/>
        <v>3895.1287022627625</v>
      </c>
      <c r="AI122" s="106">
        <f t="shared" si="74"/>
        <v>-776763.32680568181</v>
      </c>
      <c r="AJ122" s="40">
        <f t="shared" si="69"/>
        <v>975451.18284955423</v>
      </c>
      <c r="AK122" s="108">
        <f t="shared" si="70"/>
        <v>-552377.1183508829</v>
      </c>
    </row>
    <row r="123" spans="2:37">
      <c r="G123" s="1"/>
      <c r="I123">
        <v>11</v>
      </c>
      <c r="J123" s="26">
        <f t="shared" si="93"/>
        <v>6279.8410436860104</v>
      </c>
      <c r="K123" s="24">
        <f t="shared" si="94"/>
        <v>2491.8367461271505</v>
      </c>
      <c r="L123" s="24">
        <f t="shared" si="95"/>
        <v>4423.3865696137218</v>
      </c>
      <c r="M123" s="24">
        <v>0</v>
      </c>
      <c r="N123" s="48"/>
      <c r="O123" s="32">
        <f t="shared" si="55"/>
        <v>10082.99055914864</v>
      </c>
      <c r="P123" s="32">
        <f t="shared" si="66"/>
        <v>4011.6910886892679</v>
      </c>
      <c r="Q123" s="32">
        <f t="shared" si="67"/>
        <v>6071.299470459373</v>
      </c>
      <c r="R123" s="45">
        <f t="shared" si="71"/>
        <v>956734.56181496498</v>
      </c>
      <c r="S123" s="31">
        <f t="shared" si="56"/>
        <v>-4647.0733607441298</v>
      </c>
      <c r="T123" s="32">
        <f t="shared" si="96"/>
        <v>0</v>
      </c>
      <c r="U123" s="32">
        <f t="shared" si="58"/>
        <v>-10718.372831203502</v>
      </c>
      <c r="V123" s="32">
        <f t="shared" si="89"/>
        <v>2728.2648235722081</v>
      </c>
      <c r="W123" s="32">
        <f t="shared" si="60"/>
        <v>-9023.2510851619882</v>
      </c>
      <c r="X123" s="32">
        <f t="shared" si="97"/>
        <v>-5539.4934312069836</v>
      </c>
      <c r="Y123" s="102">
        <f t="shared" si="68"/>
        <v>-176392.5206519014</v>
      </c>
      <c r="Z123" s="32">
        <f t="shared" si="72"/>
        <v>-223364.95421514774</v>
      </c>
      <c r="AA123" s="45">
        <f t="shared" si="73"/>
        <v>-223364.95421514779</v>
      </c>
      <c r="AB123" s="1"/>
      <c r="AC123" s="40">
        <f t="shared" si="61"/>
        <v>-635.38227205486191</v>
      </c>
      <c r="AD123" s="40">
        <f t="shared" si="98"/>
        <v>0</v>
      </c>
      <c r="AE123" s="40">
        <f t="shared" si="63"/>
        <v>-635.38227205486191</v>
      </c>
      <c r="AF123" s="40">
        <f t="shared" si="64"/>
        <v>2728.2648235722081</v>
      </c>
      <c r="AG123" s="40">
        <f t="shared" si="65"/>
        <v>1059.7394739866518</v>
      </c>
      <c r="AH123" s="40">
        <f t="shared" si="99"/>
        <v>650.58810838071827</v>
      </c>
      <c r="AI123" s="106">
        <f t="shared" si="74"/>
        <v>-776112.73869730113</v>
      </c>
      <c r="AJ123" s="40">
        <f t="shared" si="69"/>
        <v>976510.9223235409</v>
      </c>
      <c r="AK123" s="108">
        <f t="shared" si="70"/>
        <v>-551317.37887689623</v>
      </c>
    </row>
    <row r="124" spans="2:37">
      <c r="G124" s="1"/>
      <c r="I124">
        <v>12</v>
      </c>
      <c r="J124" s="26">
        <f t="shared" si="93"/>
        <v>5285.0147397357514</v>
      </c>
      <c r="K124" s="24">
        <f t="shared" si="94"/>
        <v>2491.8367461271505</v>
      </c>
      <c r="L124" s="24">
        <f t="shared" si="95"/>
        <v>4423.3865696137218</v>
      </c>
      <c r="M124" s="24">
        <v>0</v>
      </c>
      <c r="N124" s="48"/>
      <c r="O124" s="32">
        <f t="shared" si="55"/>
        <v>10082.99055914864</v>
      </c>
      <c r="P124" s="32">
        <f t="shared" si="66"/>
        <v>3986.3940075623541</v>
      </c>
      <c r="Q124" s="32">
        <f t="shared" si="67"/>
        <v>6096.5965515862863</v>
      </c>
      <c r="R124" s="45">
        <f t="shared" si="71"/>
        <v>950637.96526337869</v>
      </c>
      <c r="S124" s="31">
        <f t="shared" si="56"/>
        <v>-5616.6025835674754</v>
      </c>
      <c r="T124" s="32">
        <f t="shared" si="96"/>
        <v>0</v>
      </c>
      <c r="U124" s="32">
        <f t="shared" si="58"/>
        <v>-11713.199135153762</v>
      </c>
      <c r="V124" s="32">
        <f t="shared" si="89"/>
        <v>2728.2648235722081</v>
      </c>
      <c r="W124" s="32">
        <f t="shared" si="60"/>
        <v>-10018.077389112248</v>
      </c>
      <c r="X124" s="32">
        <f t="shared" si="97"/>
        <v>-6150.2304841730156</v>
      </c>
      <c r="Y124" s="102">
        <f t="shared" si="68"/>
        <v>-182542.75113607442</v>
      </c>
      <c r="Z124" s="32">
        <f t="shared" si="72"/>
        <v>-233383.03160425997</v>
      </c>
      <c r="AA124" s="45">
        <f t="shared" si="73"/>
        <v>-233383.03160426003</v>
      </c>
      <c r="AB124" s="1"/>
      <c r="AC124" s="40">
        <f t="shared" si="61"/>
        <v>-1630.2085760051209</v>
      </c>
      <c r="AD124" s="40">
        <f t="shared" si="98"/>
        <v>0</v>
      </c>
      <c r="AE124" s="40">
        <f t="shared" si="63"/>
        <v>-1630.2085760051209</v>
      </c>
      <c r="AF124" s="40">
        <f t="shared" si="64"/>
        <v>2728.2648235722081</v>
      </c>
      <c r="AG124" s="40">
        <f t="shared" si="65"/>
        <v>64.91317003639233</v>
      </c>
      <c r="AH124" s="40">
        <f t="shared" si="99"/>
        <v>39.851055414686144</v>
      </c>
      <c r="AI124" s="106">
        <f t="shared" si="74"/>
        <v>-776072.88764188648</v>
      </c>
      <c r="AJ124" s="40">
        <f t="shared" si="69"/>
        <v>976575.83549357729</v>
      </c>
      <c r="AK124" s="108">
        <f t="shared" si="70"/>
        <v>-551252.46570685983</v>
      </c>
    </row>
    <row r="125" spans="2:37">
      <c r="F125" s="132" t="s">
        <v>88</v>
      </c>
      <c r="G125" s="1">
        <f>SUM(S125:S136)</f>
        <v>-5614.1672378253534</v>
      </c>
      <c r="H125">
        <v>2025</v>
      </c>
      <c r="I125">
        <v>1</v>
      </c>
      <c r="J125" s="26">
        <f t="shared" ref="J125:J136" si="100">C23*$C$48*$D$48</f>
        <v>5682.1307472794961</v>
      </c>
      <c r="K125" s="24">
        <f t="shared" ref="K125:K136" si="101">$K$124*$C$8</f>
        <v>2566.5918485109651</v>
      </c>
      <c r="L125" s="24">
        <f t="shared" ref="L125:L136" si="102">(($C$5-SUM($L$5:$L$124))*0.15)/12</f>
        <v>3759.8785841716485</v>
      </c>
      <c r="M125" s="24">
        <f t="shared" ref="M125:M136" si="103">($C$9*0.15)/12</f>
        <v>4092.3972353583122</v>
      </c>
      <c r="N125" s="48"/>
      <c r="O125" s="32">
        <f t="shared" si="55"/>
        <v>10082.99055914864</v>
      </c>
      <c r="P125" s="32">
        <f t="shared" si="66"/>
        <v>3960.9915219307445</v>
      </c>
      <c r="Q125" s="32">
        <f t="shared" si="67"/>
        <v>6121.9990372178963</v>
      </c>
      <c r="R125" s="45">
        <f t="shared" si="71"/>
        <v>944515.96622616076</v>
      </c>
      <c r="S125" s="31">
        <f t="shared" si="56"/>
        <v>-8697.7284426921742</v>
      </c>
      <c r="T125" s="32">
        <f t="shared" si="96"/>
        <v>0</v>
      </c>
      <c r="U125" s="32">
        <f t="shared" si="58"/>
        <v>-14819.727479910071</v>
      </c>
      <c r="V125" s="32">
        <v>0</v>
      </c>
      <c r="W125" s="32">
        <f t="shared" si="60"/>
        <v>-6967.4516603801094</v>
      </c>
      <c r="X125" s="32">
        <f t="shared" ref="X125:X136" si="104">W125/(1+$C$18)^11</f>
        <v>-4073.7246835351602</v>
      </c>
      <c r="Y125" s="102">
        <f t="shared" si="68"/>
        <v>-186616.47581960959</v>
      </c>
      <c r="Z125" s="32">
        <f t="shared" si="72"/>
        <v>-240350.48326464009</v>
      </c>
      <c r="AA125" s="45">
        <f t="shared" si="73"/>
        <v>-240350.48326464015</v>
      </c>
      <c r="AB125" s="1"/>
      <c r="AC125" s="40">
        <f t="shared" si="61"/>
        <v>-4736.7369207614302</v>
      </c>
      <c r="AD125" s="40">
        <f t="shared" si="98"/>
        <v>0</v>
      </c>
      <c r="AE125" s="40">
        <f t="shared" si="63"/>
        <v>-4736.7369207614302</v>
      </c>
      <c r="AF125" s="40">
        <f t="shared" si="64"/>
        <v>0</v>
      </c>
      <c r="AG125" s="40">
        <f t="shared" si="65"/>
        <v>3115.5388987685305</v>
      </c>
      <c r="AH125" s="40">
        <f t="shared" ref="AH125:AH136" si="105">AG125/(1+$C$18)^11</f>
        <v>1821.5910684531266</v>
      </c>
      <c r="AI125" s="106">
        <f>AI124+AH125</f>
        <v>-774251.29657343333</v>
      </c>
      <c r="AJ125" s="40">
        <f t="shared" si="69"/>
        <v>979691.37439234578</v>
      </c>
      <c r="AK125" s="108">
        <f t="shared" si="70"/>
        <v>-548136.92680809135</v>
      </c>
    </row>
    <row r="126" spans="2:37">
      <c r="F126" s="17" t="s">
        <v>31</v>
      </c>
      <c r="G126">
        <v>11</v>
      </c>
      <c r="I126">
        <v>2</v>
      </c>
      <c r="J126" s="26">
        <f t="shared" si="100"/>
        <v>8695.857552466412</v>
      </c>
      <c r="K126" s="24">
        <f t="shared" si="101"/>
        <v>2566.5918485109651</v>
      </c>
      <c r="L126" s="24">
        <f t="shared" si="102"/>
        <v>3759.8785841716485</v>
      </c>
      <c r="M126" s="24">
        <f t="shared" si="103"/>
        <v>4092.3972353583122</v>
      </c>
      <c r="N126" s="48"/>
      <c r="O126" s="32">
        <f t="shared" si="55"/>
        <v>10082.99055914864</v>
      </c>
      <c r="P126" s="32">
        <f t="shared" si="66"/>
        <v>3935.4831926090033</v>
      </c>
      <c r="Q126" s="32">
        <f t="shared" si="67"/>
        <v>6147.5073665396376</v>
      </c>
      <c r="R126" s="45">
        <f t="shared" si="71"/>
        <v>938368.45885962108</v>
      </c>
      <c r="S126" s="31">
        <f t="shared" si="56"/>
        <v>-5658.493308183517</v>
      </c>
      <c r="T126" s="32">
        <f t="shared" si="96"/>
        <v>0</v>
      </c>
      <c r="U126" s="32">
        <f t="shared" si="58"/>
        <v>-11806.000674723155</v>
      </c>
      <c r="V126" s="32">
        <v>0</v>
      </c>
      <c r="W126" s="32">
        <f t="shared" si="60"/>
        <v>-3953.7248551931934</v>
      </c>
      <c r="X126" s="32">
        <f t="shared" si="104"/>
        <v>-2311.6610375777341</v>
      </c>
      <c r="Y126" s="102">
        <f t="shared" si="68"/>
        <v>-188928.13685718732</v>
      </c>
      <c r="Z126" s="32">
        <f t="shared" si="72"/>
        <v>-244304.20811983329</v>
      </c>
      <c r="AA126" s="45">
        <f t="shared" si="73"/>
        <v>-244304.20811983335</v>
      </c>
      <c r="AB126" s="1"/>
      <c r="AC126" s="40">
        <f t="shared" si="61"/>
        <v>-1723.0101155745137</v>
      </c>
      <c r="AD126" s="40">
        <f t="shared" si="98"/>
        <v>0</v>
      </c>
      <c r="AE126" s="40">
        <f t="shared" si="63"/>
        <v>-1723.0101155745137</v>
      </c>
      <c r="AF126" s="40">
        <f t="shared" si="64"/>
        <v>0</v>
      </c>
      <c r="AG126" s="40">
        <f t="shared" si="65"/>
        <v>6129.265703955447</v>
      </c>
      <c r="AH126" s="40">
        <f t="shared" si="105"/>
        <v>3583.654714410553</v>
      </c>
      <c r="AI126" s="106">
        <f t="shared" si="74"/>
        <v>-770667.64185902278</v>
      </c>
      <c r="AJ126" s="40">
        <f t="shared" si="69"/>
        <v>985820.64009630121</v>
      </c>
      <c r="AK126" s="108">
        <f t="shared" si="70"/>
        <v>-542007.66110413591</v>
      </c>
    </row>
    <row r="127" spans="2:37">
      <c r="F127" s="13" t="s">
        <v>30</v>
      </c>
      <c r="G127" s="1">
        <f>G125</f>
        <v>-5614.1672378253534</v>
      </c>
      <c r="I127">
        <v>3</v>
      </c>
      <c r="J127" s="26">
        <f t="shared" si="100"/>
        <v>15586.618320576077</v>
      </c>
      <c r="K127" s="24">
        <f t="shared" si="101"/>
        <v>2566.5918485109651</v>
      </c>
      <c r="L127" s="24">
        <f t="shared" si="102"/>
        <v>3759.8785841716485</v>
      </c>
      <c r="M127" s="24">
        <f t="shared" si="103"/>
        <v>4092.3972353583122</v>
      </c>
      <c r="N127" s="48"/>
      <c r="O127" s="32">
        <f t="shared" si="55"/>
        <v>10082.99055914864</v>
      </c>
      <c r="P127" s="32">
        <f t="shared" si="66"/>
        <v>3909.8685785817543</v>
      </c>
      <c r="Q127" s="32">
        <f t="shared" si="67"/>
        <v>6173.1219805668861</v>
      </c>
      <c r="R127" s="45">
        <f t="shared" si="71"/>
        <v>932195.3368790542</v>
      </c>
      <c r="S127" s="31">
        <f t="shared" si="56"/>
        <v>1257.8820739533967</v>
      </c>
      <c r="T127" s="32">
        <f t="shared" si="96"/>
        <v>0</v>
      </c>
      <c r="U127" s="32">
        <f t="shared" si="58"/>
        <v>-4915.2399066134894</v>
      </c>
      <c r="V127" s="32">
        <v>0</v>
      </c>
      <c r="W127" s="32">
        <f t="shared" si="60"/>
        <v>2937.0359129164713</v>
      </c>
      <c r="X127" s="32">
        <f t="shared" si="104"/>
        <v>1717.2240695853382</v>
      </c>
      <c r="Y127" s="102">
        <f t="shared" si="68"/>
        <v>-187210.91278760199</v>
      </c>
      <c r="Z127" s="32">
        <f t="shared" si="72"/>
        <v>-241367.17220691682</v>
      </c>
      <c r="AA127" s="45">
        <f t="shared" si="73"/>
        <v>-241367.17220691688</v>
      </c>
      <c r="AB127" s="1"/>
      <c r="AC127" s="40">
        <f t="shared" si="61"/>
        <v>5167.7506525351509</v>
      </c>
      <c r="AD127" s="40">
        <f t="shared" si="98"/>
        <v>0</v>
      </c>
      <c r="AE127" s="40">
        <f t="shared" si="63"/>
        <v>5167.7506525351509</v>
      </c>
      <c r="AF127" s="40">
        <f t="shared" si="64"/>
        <v>0</v>
      </c>
      <c r="AG127" s="40">
        <f t="shared" si="65"/>
        <v>13020.026472065112</v>
      </c>
      <c r="AH127" s="40">
        <f t="shared" si="105"/>
        <v>7612.539821573625</v>
      </c>
      <c r="AI127" s="106">
        <f t="shared" si="74"/>
        <v>-763055.10203744913</v>
      </c>
      <c r="AJ127" s="40">
        <f t="shared" si="69"/>
        <v>998840.66656836635</v>
      </c>
      <c r="AK127" s="108">
        <f t="shared" si="70"/>
        <v>-528987.63463207078</v>
      </c>
    </row>
    <row r="128" spans="2:37">
      <c r="F128" s="18" t="s">
        <v>39</v>
      </c>
      <c r="G128" s="1">
        <v>0</v>
      </c>
      <c r="I128">
        <v>4</v>
      </c>
      <c r="J128" s="26">
        <f t="shared" si="100"/>
        <v>17894.002905797308</v>
      </c>
      <c r="K128" s="24">
        <f t="shared" si="101"/>
        <v>2566.5918485109651</v>
      </c>
      <c r="L128" s="24">
        <f t="shared" si="102"/>
        <v>3759.8785841716485</v>
      </c>
      <c r="M128" s="24">
        <f t="shared" si="103"/>
        <v>4092.3972353583122</v>
      </c>
      <c r="N128" s="48"/>
      <c r="O128" s="32">
        <f t="shared" si="55"/>
        <v>10082.99055914864</v>
      </c>
      <c r="P128" s="32">
        <f t="shared" si="66"/>
        <v>3884.1472369960593</v>
      </c>
      <c r="Q128" s="32">
        <f t="shared" si="67"/>
        <v>6198.8433221525811</v>
      </c>
      <c r="R128" s="45">
        <f t="shared" si="71"/>
        <v>925996.49355690158</v>
      </c>
      <c r="S128" s="31">
        <f t="shared" si="56"/>
        <v>3590.9880007603224</v>
      </c>
      <c r="T128" s="32">
        <f t="shared" si="96"/>
        <v>0</v>
      </c>
      <c r="U128" s="32">
        <f t="shared" si="58"/>
        <v>-2607.8553213922587</v>
      </c>
      <c r="V128" s="32">
        <v>0</v>
      </c>
      <c r="W128" s="32">
        <f t="shared" si="60"/>
        <v>5244.4204981377025</v>
      </c>
      <c r="X128" s="32">
        <f t="shared" si="104"/>
        <v>3066.3040485214919</v>
      </c>
      <c r="Y128" s="102">
        <f t="shared" si="68"/>
        <v>-184144.60873908049</v>
      </c>
      <c r="Z128" s="32">
        <f t="shared" si="72"/>
        <v>-236122.75170877911</v>
      </c>
      <c r="AA128" s="45">
        <f t="shared" si="73"/>
        <v>-236122.75170877916</v>
      </c>
      <c r="AB128" s="1"/>
      <c r="AC128" s="40">
        <f t="shared" si="61"/>
        <v>7475.1352377563817</v>
      </c>
      <c r="AD128" s="40">
        <f t="shared" si="98"/>
        <v>0</v>
      </c>
      <c r="AE128" s="40">
        <f t="shared" si="63"/>
        <v>7475.1352377563817</v>
      </c>
      <c r="AF128" s="40">
        <f t="shared" si="64"/>
        <v>0</v>
      </c>
      <c r="AG128" s="40">
        <f t="shared" si="65"/>
        <v>15327.411057286343</v>
      </c>
      <c r="AH128" s="40">
        <f t="shared" si="105"/>
        <v>8961.6198005097795</v>
      </c>
      <c r="AI128" s="106">
        <f t="shared" si="74"/>
        <v>-754093.48223693937</v>
      </c>
      <c r="AJ128" s="40">
        <f t="shared" si="69"/>
        <v>1014168.0776256527</v>
      </c>
      <c r="AK128" s="108">
        <f t="shared" si="70"/>
        <v>-513660.22357478447</v>
      </c>
    </row>
    <row r="129" spans="6:37">
      <c r="F129" s="16" t="s">
        <v>90</v>
      </c>
      <c r="G129" s="129">
        <f>$C$60</f>
        <v>0</v>
      </c>
      <c r="I129">
        <v>5</v>
      </c>
      <c r="J129" s="26">
        <f t="shared" si="100"/>
        <v>18521.862656877915</v>
      </c>
      <c r="K129" s="24">
        <f t="shared" si="101"/>
        <v>2566.5918485109651</v>
      </c>
      <c r="L129" s="24">
        <f t="shared" si="102"/>
        <v>3759.8785841716485</v>
      </c>
      <c r="M129" s="24">
        <f t="shared" si="103"/>
        <v>4092.3972353583122</v>
      </c>
      <c r="N129" s="48"/>
      <c r="O129" s="32">
        <f t="shared" si="55"/>
        <v>10082.99055914864</v>
      </c>
      <c r="P129" s="32">
        <f t="shared" si="66"/>
        <v>3858.3187231537563</v>
      </c>
      <c r="Q129" s="32">
        <f t="shared" si="67"/>
        <v>6224.6718359948845</v>
      </c>
      <c r="R129" s="45">
        <f t="shared" si="71"/>
        <v>919771.82172090665</v>
      </c>
      <c r="S129" s="31">
        <f t="shared" si="56"/>
        <v>4244.6762656832325</v>
      </c>
      <c r="T129" s="32">
        <f t="shared" si="96"/>
        <v>0</v>
      </c>
      <c r="U129" s="32">
        <f t="shared" si="58"/>
        <v>-1979.995570311652</v>
      </c>
      <c r="V129" s="32">
        <v>0</v>
      </c>
      <c r="W129" s="32">
        <f t="shared" si="60"/>
        <v>5872.2802492183091</v>
      </c>
      <c r="X129" s="32">
        <f t="shared" si="104"/>
        <v>3433.4006414292885</v>
      </c>
      <c r="Y129" s="102">
        <f t="shared" si="68"/>
        <v>-180711.20809765119</v>
      </c>
      <c r="Z129" s="32">
        <f t="shared" si="72"/>
        <v>-230250.47145956079</v>
      </c>
      <c r="AA129" s="45">
        <f t="shared" si="73"/>
        <v>-230250.47145956085</v>
      </c>
      <c r="AB129" s="1"/>
      <c r="AC129" s="40">
        <f t="shared" si="61"/>
        <v>8102.9949888369883</v>
      </c>
      <c r="AD129" s="40">
        <f t="shared" si="98"/>
        <v>0</v>
      </c>
      <c r="AE129" s="40">
        <f t="shared" si="63"/>
        <v>8102.9949888369883</v>
      </c>
      <c r="AF129" s="40">
        <f t="shared" si="64"/>
        <v>0</v>
      </c>
      <c r="AG129" s="40">
        <f t="shared" si="65"/>
        <v>15955.270808366949</v>
      </c>
      <c r="AH129" s="40">
        <f t="shared" si="105"/>
        <v>9328.7163934175751</v>
      </c>
      <c r="AI129" s="106">
        <f t="shared" si="74"/>
        <v>-744764.7658435218</v>
      </c>
      <c r="AJ129" s="40">
        <f t="shared" si="69"/>
        <v>1030123.3484340196</v>
      </c>
      <c r="AK129" s="108">
        <f t="shared" si="70"/>
        <v>-497704.95276641753</v>
      </c>
    </row>
    <row r="130" spans="6:37">
      <c r="G130" s="1"/>
      <c r="I130">
        <v>6</v>
      </c>
      <c r="J130" s="26">
        <f t="shared" si="100"/>
        <v>19306.687345728675</v>
      </c>
      <c r="K130" s="24">
        <f t="shared" si="101"/>
        <v>2566.5918485109651</v>
      </c>
      <c r="L130" s="24">
        <f t="shared" si="102"/>
        <v>3759.8785841716485</v>
      </c>
      <c r="M130" s="24">
        <f t="shared" si="103"/>
        <v>4092.3972353583122</v>
      </c>
      <c r="N130" s="48"/>
      <c r="O130" s="32">
        <f t="shared" si="55"/>
        <v>10082.99055914864</v>
      </c>
      <c r="P130" s="32">
        <f t="shared" si="66"/>
        <v>3832.3825905037775</v>
      </c>
      <c r="Q130" s="32">
        <f t="shared" si="67"/>
        <v>6250.6079686448629</v>
      </c>
      <c r="R130" s="45">
        <f t="shared" si="71"/>
        <v>913521.21375226183</v>
      </c>
      <c r="S130" s="31">
        <f t="shared" si="56"/>
        <v>5055.437087183971</v>
      </c>
      <c r="T130" s="32">
        <f t="shared" si="96"/>
        <v>0</v>
      </c>
      <c r="U130" s="32">
        <f t="shared" si="58"/>
        <v>-1195.1708814608919</v>
      </c>
      <c r="V130" s="32">
        <v>0</v>
      </c>
      <c r="W130" s="32">
        <f t="shared" si="60"/>
        <v>6657.1049380690692</v>
      </c>
      <c r="X130" s="32">
        <f t="shared" si="104"/>
        <v>3892.2713825640353</v>
      </c>
      <c r="Y130" s="102">
        <f t="shared" si="68"/>
        <v>-176818.93671508715</v>
      </c>
      <c r="Z130" s="32">
        <f t="shared" si="72"/>
        <v>-223593.36652149173</v>
      </c>
      <c r="AA130" s="45">
        <f t="shared" si="73"/>
        <v>-223593.36652149179</v>
      </c>
      <c r="AB130" s="1"/>
      <c r="AC130" s="40">
        <f t="shared" si="61"/>
        <v>8887.8196776877485</v>
      </c>
      <c r="AD130" s="40">
        <f t="shared" si="98"/>
        <v>0</v>
      </c>
      <c r="AE130" s="40">
        <f t="shared" si="63"/>
        <v>8887.8196776877485</v>
      </c>
      <c r="AF130" s="40">
        <f t="shared" si="64"/>
        <v>0</v>
      </c>
      <c r="AG130" s="40">
        <f t="shared" si="65"/>
        <v>16740.09549721771</v>
      </c>
      <c r="AH130" s="40">
        <f t="shared" si="105"/>
        <v>9787.5871345523228</v>
      </c>
      <c r="AI130" s="106">
        <f t="shared" si="74"/>
        <v>-734977.1787089695</v>
      </c>
      <c r="AJ130" s="40">
        <f t="shared" si="69"/>
        <v>1046863.4439312373</v>
      </c>
      <c r="AK130" s="108">
        <f t="shared" si="70"/>
        <v>-480964.8572691998</v>
      </c>
    </row>
    <row r="131" spans="6:37">
      <c r="G131" s="1"/>
      <c r="I131">
        <v>7</v>
      </c>
      <c r="J131" s="26">
        <f t="shared" si="100"/>
        <v>20562.406847889888</v>
      </c>
      <c r="K131" s="24">
        <f t="shared" si="101"/>
        <v>2566.5918485109651</v>
      </c>
      <c r="L131" s="24">
        <f t="shared" si="102"/>
        <v>3759.8785841716485</v>
      </c>
      <c r="M131" s="24">
        <f t="shared" si="103"/>
        <v>4092.3972353583122</v>
      </c>
      <c r="N131" s="48"/>
      <c r="O131" s="32">
        <f t="shared" si="55"/>
        <v>10082.99055914864</v>
      </c>
      <c r="P131" s="32">
        <f t="shared" si="66"/>
        <v>3806.3383906344243</v>
      </c>
      <c r="Q131" s="32">
        <f t="shared" si="67"/>
        <v>6276.6521685142161</v>
      </c>
      <c r="R131" s="45">
        <f t="shared" si="71"/>
        <v>907244.56158374762</v>
      </c>
      <c r="S131" s="31">
        <f t="shared" si="56"/>
        <v>6337.2007892145375</v>
      </c>
      <c r="T131" s="32">
        <f t="shared" si="96"/>
        <v>0</v>
      </c>
      <c r="U131" s="32">
        <f t="shared" si="58"/>
        <v>60.548620700321408</v>
      </c>
      <c r="V131" s="32">
        <v>0</v>
      </c>
      <c r="W131" s="32">
        <f t="shared" si="60"/>
        <v>7912.8244402302826</v>
      </c>
      <c r="X131" s="32">
        <f t="shared" si="104"/>
        <v>4626.4645683796289</v>
      </c>
      <c r="Y131" s="102">
        <f t="shared" si="68"/>
        <v>-172192.47214670753</v>
      </c>
      <c r="Z131" s="32">
        <f t="shared" si="72"/>
        <v>-215680.54208126143</v>
      </c>
      <c r="AA131" s="45">
        <f t="shared" si="73"/>
        <v>-215680.54208126149</v>
      </c>
      <c r="AB131" s="1"/>
      <c r="AC131" s="40">
        <f t="shared" si="61"/>
        <v>10143.539179848962</v>
      </c>
      <c r="AD131" s="40">
        <f t="shared" si="98"/>
        <v>0</v>
      </c>
      <c r="AE131" s="40">
        <f t="shared" si="63"/>
        <v>10143.539179848962</v>
      </c>
      <c r="AF131" s="40">
        <f t="shared" si="64"/>
        <v>0</v>
      </c>
      <c r="AG131" s="40">
        <f t="shared" si="65"/>
        <v>17995.814999378923</v>
      </c>
      <c r="AH131" s="40">
        <f t="shared" si="105"/>
        <v>10521.780320367916</v>
      </c>
      <c r="AI131" s="106">
        <f t="shared" si="74"/>
        <v>-724455.39838860161</v>
      </c>
      <c r="AJ131" s="40">
        <f t="shared" si="69"/>
        <v>1064859.2589306163</v>
      </c>
      <c r="AK131" s="108">
        <f t="shared" si="70"/>
        <v>-462969.04226982087</v>
      </c>
    </row>
    <row r="132" spans="6:37">
      <c r="G132" s="1"/>
      <c r="I132">
        <v>8</v>
      </c>
      <c r="J132" s="26">
        <f t="shared" si="100"/>
        <v>18835.792532418218</v>
      </c>
      <c r="K132" s="24">
        <f t="shared" si="101"/>
        <v>2566.5918485109651</v>
      </c>
      <c r="L132" s="24">
        <f t="shared" si="102"/>
        <v>3759.8785841716485</v>
      </c>
      <c r="M132" s="24">
        <f t="shared" si="103"/>
        <v>4092.3972353583122</v>
      </c>
      <c r="N132" s="48"/>
      <c r="O132" s="32">
        <f t="shared" si="55"/>
        <v>10082.99055914864</v>
      </c>
      <c r="P132" s="32">
        <f t="shared" si="66"/>
        <v>3780.1856732656152</v>
      </c>
      <c r="Q132" s="32">
        <f t="shared" si="67"/>
        <v>6302.8048858830252</v>
      </c>
      <c r="R132" s="45">
        <f t="shared" si="71"/>
        <v>900941.75669786462</v>
      </c>
      <c r="S132" s="31">
        <f t="shared" si="56"/>
        <v>4636.7391911116765</v>
      </c>
      <c r="T132" s="32">
        <f t="shared" si="96"/>
        <v>0</v>
      </c>
      <c r="U132" s="32">
        <f t="shared" si="58"/>
        <v>-1666.0656947713487</v>
      </c>
      <c r="V132" s="32">
        <v>0</v>
      </c>
      <c r="W132" s="32">
        <f t="shared" si="60"/>
        <v>6186.2101247586124</v>
      </c>
      <c r="X132" s="32">
        <f t="shared" si="104"/>
        <v>3616.9489378831868</v>
      </c>
      <c r="Y132" s="102">
        <f t="shared" si="68"/>
        <v>-168575.52320882434</v>
      </c>
      <c r="Z132" s="32">
        <f t="shared" si="72"/>
        <v>-209494.33195650281</v>
      </c>
      <c r="AA132" s="45">
        <f t="shared" si="73"/>
        <v>-209494.33195650287</v>
      </c>
      <c r="AB132" s="1"/>
      <c r="AC132" s="40">
        <f t="shared" si="61"/>
        <v>8416.9248643772917</v>
      </c>
      <c r="AD132" s="40">
        <f t="shared" si="98"/>
        <v>0</v>
      </c>
      <c r="AE132" s="40">
        <f t="shared" si="63"/>
        <v>8416.9248643772917</v>
      </c>
      <c r="AF132" s="40">
        <f t="shared" si="64"/>
        <v>0</v>
      </c>
      <c r="AG132" s="40">
        <f t="shared" si="65"/>
        <v>16269.200683907253</v>
      </c>
      <c r="AH132" s="40">
        <f t="shared" si="105"/>
        <v>9512.2646898714738</v>
      </c>
      <c r="AI132" s="106">
        <f t="shared" si="74"/>
        <v>-714943.13369873015</v>
      </c>
      <c r="AJ132" s="40">
        <f t="shared" si="69"/>
        <v>1081128.4596145235</v>
      </c>
      <c r="AK132" s="108">
        <f t="shared" si="70"/>
        <v>-446699.84158591361</v>
      </c>
    </row>
    <row r="133" spans="6:37">
      <c r="G133" s="1"/>
      <c r="I133">
        <v>9</v>
      </c>
      <c r="J133" s="26">
        <f t="shared" si="100"/>
        <v>16795.248341406248</v>
      </c>
      <c r="K133" s="24">
        <f t="shared" si="101"/>
        <v>2566.5918485109651</v>
      </c>
      <c r="L133" s="24">
        <f t="shared" si="102"/>
        <v>3759.8785841716485</v>
      </c>
      <c r="M133" s="24">
        <f t="shared" si="103"/>
        <v>4092.3972353583122</v>
      </c>
      <c r="N133" s="48"/>
      <c r="O133" s="32">
        <f t="shared" ref="O133:O196" si="106">-PMT($C$13/12,$C$14,$C$12,0,0)</f>
        <v>10082.99055914864</v>
      </c>
      <c r="P133" s="32">
        <f t="shared" si="66"/>
        <v>3753.9239862411027</v>
      </c>
      <c r="Q133" s="32">
        <f t="shared" si="67"/>
        <v>6329.0665729075372</v>
      </c>
      <c r="R133" s="45">
        <f t="shared" si="71"/>
        <v>894612.69012495712</v>
      </c>
      <c r="S133" s="31">
        <f t="shared" ref="S133:S196" si="107">J133-K133-L133-M133-P133</f>
        <v>2622.4566871242191</v>
      </c>
      <c r="T133" s="32">
        <f t="shared" si="96"/>
        <v>0</v>
      </c>
      <c r="U133" s="32">
        <f t="shared" ref="U133:U196" si="108">J133-K133-L133-M133-T133-O133</f>
        <v>-3706.6098857833185</v>
      </c>
      <c r="V133" s="32">
        <v>0</v>
      </c>
      <c r="W133" s="32">
        <f t="shared" ref="W133:W196" si="109">U133-V133+L133+M133</f>
        <v>4145.6659337466426</v>
      </c>
      <c r="X133" s="32">
        <f t="shared" si="104"/>
        <v>2423.8850109328487</v>
      </c>
      <c r="Y133" s="102">
        <f t="shared" si="68"/>
        <v>-166151.63819789147</v>
      </c>
      <c r="Z133" s="32">
        <f t="shared" si="72"/>
        <v>-205348.66602275617</v>
      </c>
      <c r="AA133" s="45">
        <f t="shared" si="73"/>
        <v>-205348.66602275622</v>
      </c>
      <c r="AB133" s="1"/>
      <c r="AC133" s="40">
        <f t="shared" ref="AC133:AC196" si="110">J133-K133-L133-M133</f>
        <v>6376.3806733653219</v>
      </c>
      <c r="AD133" s="40">
        <f t="shared" si="98"/>
        <v>0</v>
      </c>
      <c r="AE133" s="40">
        <f t="shared" ref="AE133:AE196" si="111">J133-K133-L133-M133-AD133</f>
        <v>6376.3806733653219</v>
      </c>
      <c r="AF133" s="40">
        <f t="shared" ref="AF133:AF196" si="112">V133</f>
        <v>0</v>
      </c>
      <c r="AG133" s="40">
        <f t="shared" ref="AG133:AG196" si="113">AE133-AF133+L133+M133</f>
        <v>14228.656492895283</v>
      </c>
      <c r="AH133" s="40">
        <f t="shared" si="105"/>
        <v>8319.2007629211348</v>
      </c>
      <c r="AI133" s="106">
        <f t="shared" si="74"/>
        <v>-706623.93293580902</v>
      </c>
      <c r="AJ133" s="40">
        <f t="shared" si="69"/>
        <v>1095357.1161074187</v>
      </c>
      <c r="AK133" s="108">
        <f t="shared" si="70"/>
        <v>-432471.18509301834</v>
      </c>
    </row>
    <row r="134" spans="6:37">
      <c r="G134" s="1"/>
      <c r="I134">
        <v>10</v>
      </c>
      <c r="J134" s="26">
        <f t="shared" si="100"/>
        <v>11678.191370099295</v>
      </c>
      <c r="K134" s="24">
        <f t="shared" si="101"/>
        <v>2566.5918485109651</v>
      </c>
      <c r="L134" s="24">
        <f t="shared" si="102"/>
        <v>3759.8785841716485</v>
      </c>
      <c r="M134" s="24">
        <f t="shared" si="103"/>
        <v>4092.3972353583122</v>
      </c>
      <c r="N134" s="48"/>
      <c r="O134" s="32">
        <f t="shared" si="106"/>
        <v>10082.99055914864</v>
      </c>
      <c r="P134" s="32">
        <f t="shared" ref="P134:P197" si="114">($C$13/12)*R133</f>
        <v>3727.5528755206547</v>
      </c>
      <c r="Q134" s="32">
        <f t="shared" ref="Q134:Q197" si="115">O134-P134</f>
        <v>6355.4376836279862</v>
      </c>
      <c r="R134" s="45">
        <f t="shared" si="71"/>
        <v>888257.25244132918</v>
      </c>
      <c r="S134" s="31">
        <f t="shared" si="107"/>
        <v>-2468.2291734622854</v>
      </c>
      <c r="T134" s="32">
        <f t="shared" si="96"/>
        <v>0</v>
      </c>
      <c r="U134" s="32">
        <f t="shared" si="108"/>
        <v>-8823.6668570902712</v>
      </c>
      <c r="V134" s="32">
        <v>0</v>
      </c>
      <c r="W134" s="32">
        <f t="shared" si="109"/>
        <v>-971.39103756031</v>
      </c>
      <c r="X134" s="32">
        <f t="shared" si="104"/>
        <v>-567.95222126569888</v>
      </c>
      <c r="Y134" s="102">
        <f t="shared" ref="Y134:Y197" si="116">Y133+X134</f>
        <v>-166719.59041915718</v>
      </c>
      <c r="Z134" s="32">
        <f t="shared" si="72"/>
        <v>-206320.05706031647</v>
      </c>
      <c r="AA134" s="45">
        <f t="shared" si="73"/>
        <v>-206320.05706031653</v>
      </c>
      <c r="AB134" s="1"/>
      <c r="AC134" s="40">
        <f t="shared" si="110"/>
        <v>1259.3237020583692</v>
      </c>
      <c r="AD134" s="40">
        <f t="shared" si="98"/>
        <v>0</v>
      </c>
      <c r="AE134" s="40">
        <f t="shared" si="111"/>
        <v>1259.3237020583692</v>
      </c>
      <c r="AF134" s="40">
        <f t="shared" si="112"/>
        <v>0</v>
      </c>
      <c r="AG134" s="40">
        <f t="shared" si="113"/>
        <v>9111.5995215883304</v>
      </c>
      <c r="AH134" s="40">
        <f t="shared" si="105"/>
        <v>5327.3635307225877</v>
      </c>
      <c r="AI134" s="106">
        <f t="shared" si="74"/>
        <v>-701296.56940508645</v>
      </c>
      <c r="AJ134" s="40">
        <f t="shared" ref="AJ134:AJ197" si="117">AJ133+AG134</f>
        <v>1104468.715629007</v>
      </c>
      <c r="AK134" s="108">
        <f t="shared" ref="AK134:AK197" si="118">AK133+AG134</f>
        <v>-423359.58557143004</v>
      </c>
    </row>
    <row r="135" spans="6:37">
      <c r="G135" s="1"/>
      <c r="I135">
        <v>11</v>
      </c>
      <c r="J135" s="26">
        <f t="shared" si="100"/>
        <v>6341.3834859141334</v>
      </c>
      <c r="K135" s="24">
        <f t="shared" si="101"/>
        <v>2566.5918485109651</v>
      </c>
      <c r="L135" s="24">
        <f t="shared" si="102"/>
        <v>3759.8785841716485</v>
      </c>
      <c r="M135" s="24">
        <f t="shared" si="103"/>
        <v>4092.3972353583122</v>
      </c>
      <c r="N135" s="48"/>
      <c r="O135" s="32">
        <f t="shared" si="106"/>
        <v>10082.99055914864</v>
      </c>
      <c r="P135" s="32">
        <f t="shared" si="114"/>
        <v>3701.0718851722049</v>
      </c>
      <c r="Q135" s="32">
        <f t="shared" si="115"/>
        <v>6381.9186739764355</v>
      </c>
      <c r="R135" s="45">
        <f t="shared" ref="R135:R198" si="119">R134-Q135</f>
        <v>881875.33376735274</v>
      </c>
      <c r="S135" s="31">
        <f t="shared" si="107"/>
        <v>-7778.5560672989977</v>
      </c>
      <c r="T135" s="32">
        <f t="shared" si="96"/>
        <v>0</v>
      </c>
      <c r="U135" s="32">
        <f t="shared" si="108"/>
        <v>-14160.474741275433</v>
      </c>
      <c r="V135" s="32">
        <v>0</v>
      </c>
      <c r="W135" s="32">
        <f t="shared" si="109"/>
        <v>-6308.198921745472</v>
      </c>
      <c r="X135" s="32">
        <f t="shared" si="104"/>
        <v>-3688.2732609819736</v>
      </c>
      <c r="Y135" s="102">
        <f t="shared" si="116"/>
        <v>-170407.86368013915</v>
      </c>
      <c r="Z135" s="32">
        <f t="shared" ref="Z135:Z198" si="120">Z134+W135</f>
        <v>-212628.25598206194</v>
      </c>
      <c r="AA135" s="45">
        <f t="shared" ref="AA135:AA198" si="121">AA134+W135</f>
        <v>-212628.25598206199</v>
      </c>
      <c r="AB135" s="1"/>
      <c r="AC135" s="40">
        <f t="shared" si="110"/>
        <v>-4077.4841821267923</v>
      </c>
      <c r="AD135" s="40">
        <f t="shared" si="98"/>
        <v>0</v>
      </c>
      <c r="AE135" s="40">
        <f t="shared" si="111"/>
        <v>-4077.4841821267923</v>
      </c>
      <c r="AF135" s="40">
        <f t="shared" si="112"/>
        <v>0</v>
      </c>
      <c r="AG135" s="40">
        <f t="shared" si="113"/>
        <v>3774.7916374031684</v>
      </c>
      <c r="AH135" s="40">
        <f t="shared" si="105"/>
        <v>2207.0424910063134</v>
      </c>
      <c r="AI135" s="106">
        <f t="shared" ref="AI135:AI198" si="122">AI134+AH135</f>
        <v>-699089.52691408014</v>
      </c>
      <c r="AJ135" s="40">
        <f t="shared" si="117"/>
        <v>1108243.5072664102</v>
      </c>
      <c r="AK135" s="108">
        <f t="shared" si="118"/>
        <v>-419584.79393402685</v>
      </c>
    </row>
    <row r="136" spans="6:37">
      <c r="G136" s="1"/>
      <c r="I136">
        <v>12</v>
      </c>
      <c r="J136" s="26">
        <f t="shared" si="100"/>
        <v>5336.807884185162</v>
      </c>
      <c r="K136" s="24">
        <f t="shared" si="101"/>
        <v>2566.5918485109651</v>
      </c>
      <c r="L136" s="24">
        <f t="shared" si="102"/>
        <v>3759.8785841716485</v>
      </c>
      <c r="M136" s="24">
        <f t="shared" si="103"/>
        <v>4092.3972353583122</v>
      </c>
      <c r="N136" s="48"/>
      <c r="O136" s="32">
        <f t="shared" si="106"/>
        <v>10082.99055914864</v>
      </c>
      <c r="P136" s="32">
        <f t="shared" si="114"/>
        <v>3674.4805573639696</v>
      </c>
      <c r="Q136" s="32">
        <f t="shared" si="115"/>
        <v>6408.5100017846707</v>
      </c>
      <c r="R136" s="45">
        <f t="shared" si="119"/>
        <v>875466.82376556809</v>
      </c>
      <c r="S136" s="31">
        <f t="shared" si="107"/>
        <v>-8756.5403412197338</v>
      </c>
      <c r="T136" s="32">
        <f t="shared" si="96"/>
        <v>0</v>
      </c>
      <c r="U136" s="32">
        <f t="shared" si="108"/>
        <v>-15165.050343004405</v>
      </c>
      <c r="V136" s="32">
        <v>0</v>
      </c>
      <c r="W136" s="32">
        <f t="shared" si="109"/>
        <v>-7312.7745234744434</v>
      </c>
      <c r="X136" s="32">
        <f t="shared" si="104"/>
        <v>-4275.6278096344486</v>
      </c>
      <c r="Y136" s="102">
        <f t="shared" si="116"/>
        <v>-174683.49148977362</v>
      </c>
      <c r="Z136" s="32">
        <f t="shared" si="120"/>
        <v>-219941.03050553639</v>
      </c>
      <c r="AA136" s="45">
        <f t="shared" si="121"/>
        <v>-219941.03050553644</v>
      </c>
      <c r="AB136" s="1"/>
      <c r="AC136" s="40">
        <f t="shared" si="110"/>
        <v>-5082.0597838557642</v>
      </c>
      <c r="AD136" s="40">
        <f t="shared" si="98"/>
        <v>0</v>
      </c>
      <c r="AE136" s="40">
        <f t="shared" si="111"/>
        <v>-5082.0597838557642</v>
      </c>
      <c r="AF136" s="40">
        <f t="shared" si="112"/>
        <v>0</v>
      </c>
      <c r="AG136" s="40">
        <f t="shared" si="113"/>
        <v>2770.2160356741965</v>
      </c>
      <c r="AH136" s="40">
        <f t="shared" si="105"/>
        <v>1619.687942353838</v>
      </c>
      <c r="AI136" s="106">
        <f t="shared" si="122"/>
        <v>-697469.83897172625</v>
      </c>
      <c r="AJ136" s="40">
        <f t="shared" si="117"/>
        <v>1111013.7233020843</v>
      </c>
      <c r="AK136" s="108">
        <f t="shared" si="118"/>
        <v>-416814.57789835264</v>
      </c>
    </row>
    <row r="137" spans="6:37">
      <c r="F137" s="132" t="s">
        <v>88</v>
      </c>
      <c r="G137" s="1">
        <f>SUM(S137:S148)</f>
        <v>13061.176938737199</v>
      </c>
      <c r="H137">
        <v>2026</v>
      </c>
      <c r="I137">
        <v>1</v>
      </c>
      <c r="J137" s="26">
        <f t="shared" ref="J137:J148" si="123">C23*$C$49*$D$49</f>
        <v>5737.8156286028352</v>
      </c>
      <c r="K137" s="24">
        <f t="shared" ref="K137:K148" si="124">$K$136*$C$8</f>
        <v>2643.5896039662939</v>
      </c>
      <c r="L137" s="24">
        <f t="shared" ref="L137:L148" si="125">(($C$5-SUM($L$5:$L$136))*0.15)/12</f>
        <v>3195.8967965459015</v>
      </c>
      <c r="M137" s="24">
        <f t="shared" ref="M137:M148" si="126">(($C$9-SUM($M$125:$M$136))*0.15)/12</f>
        <v>3478.5376500545649</v>
      </c>
      <c r="N137" s="48"/>
      <c r="O137" s="32">
        <f t="shared" si="106"/>
        <v>10082.99055914864</v>
      </c>
      <c r="P137" s="32">
        <f t="shared" si="114"/>
        <v>3647.7784323565338</v>
      </c>
      <c r="Q137" s="32">
        <f t="shared" si="115"/>
        <v>6435.2121267921066</v>
      </c>
      <c r="R137" s="45">
        <f t="shared" si="119"/>
        <v>869031.61163877603</v>
      </c>
      <c r="S137" s="31">
        <f t="shared" si="107"/>
        <v>-7227.9868543204593</v>
      </c>
      <c r="T137" s="32">
        <f t="shared" si="96"/>
        <v>0</v>
      </c>
      <c r="U137" s="32">
        <f t="shared" si="108"/>
        <v>-13663.198981112566</v>
      </c>
      <c r="V137" s="32">
        <v>0</v>
      </c>
      <c r="W137" s="32">
        <f t="shared" si="109"/>
        <v>-6988.7645345121</v>
      </c>
      <c r="X137" s="32">
        <f t="shared" ref="X137:X148" si="127">W137/(1+$C$18)^12</f>
        <v>-3891.6055996486111</v>
      </c>
      <c r="Y137" s="102">
        <f t="shared" si="116"/>
        <v>-178575.09708942223</v>
      </c>
      <c r="Z137" s="32">
        <f t="shared" si="120"/>
        <v>-226929.79504004848</v>
      </c>
      <c r="AA137" s="45">
        <f t="shared" si="121"/>
        <v>-226929.79504004854</v>
      </c>
      <c r="AB137" s="1"/>
      <c r="AC137" s="40">
        <f t="shared" si="110"/>
        <v>-3580.208421963925</v>
      </c>
      <c r="AD137" s="40">
        <f t="shared" si="98"/>
        <v>0</v>
      </c>
      <c r="AE137" s="40">
        <f t="shared" si="111"/>
        <v>-3580.208421963925</v>
      </c>
      <c r="AF137" s="40">
        <f t="shared" si="112"/>
        <v>0</v>
      </c>
      <c r="AG137" s="40">
        <f t="shared" si="113"/>
        <v>3094.2260246365413</v>
      </c>
      <c r="AH137" s="40">
        <f t="shared" ref="AH137:AH148" si="128">AG137/(1+$C$18)^12</f>
        <v>1722.9808308164254</v>
      </c>
      <c r="AI137" s="106">
        <f t="shared" si="122"/>
        <v>-695746.85814090981</v>
      </c>
      <c r="AJ137" s="40">
        <f t="shared" si="117"/>
        <v>1114107.9493267208</v>
      </c>
      <c r="AK137" s="108">
        <f t="shared" si="118"/>
        <v>-413720.35187371611</v>
      </c>
    </row>
    <row r="138" spans="6:37">
      <c r="F138" s="17" t="s">
        <v>31</v>
      </c>
      <c r="G138">
        <v>12</v>
      </c>
      <c r="I138">
        <v>2</v>
      </c>
      <c r="J138" s="26">
        <f t="shared" si="123"/>
        <v>8781.0769564805814</v>
      </c>
      <c r="K138" s="24">
        <f t="shared" si="124"/>
        <v>2643.5896039662939</v>
      </c>
      <c r="L138" s="24">
        <f t="shared" si="125"/>
        <v>3195.8967965459015</v>
      </c>
      <c r="M138" s="24">
        <f t="shared" si="126"/>
        <v>3478.5376500545649</v>
      </c>
      <c r="N138" s="48"/>
      <c r="O138" s="32">
        <f t="shared" si="106"/>
        <v>10082.99055914864</v>
      </c>
      <c r="P138" s="32">
        <f t="shared" si="114"/>
        <v>3620.9650484949002</v>
      </c>
      <c r="Q138" s="32">
        <f t="shared" si="115"/>
        <v>6462.0255106537406</v>
      </c>
      <c r="R138" s="45">
        <f t="shared" si="119"/>
        <v>862569.58612812229</v>
      </c>
      <c r="S138" s="31">
        <f t="shared" si="107"/>
        <v>-4157.912142581079</v>
      </c>
      <c r="T138" s="32">
        <f t="shared" si="96"/>
        <v>0</v>
      </c>
      <c r="U138" s="32">
        <f t="shared" si="108"/>
        <v>-10619.93765323482</v>
      </c>
      <c r="V138" s="32">
        <v>0</v>
      </c>
      <c r="W138" s="32">
        <f t="shared" si="109"/>
        <v>-3945.5032066343533</v>
      </c>
      <c r="X138" s="32">
        <f t="shared" si="127"/>
        <v>-2197.0038189935553</v>
      </c>
      <c r="Y138" s="102">
        <f t="shared" si="116"/>
        <v>-180772.10090841577</v>
      </c>
      <c r="Z138" s="32">
        <f t="shared" si="120"/>
        <v>-230875.29824668283</v>
      </c>
      <c r="AA138" s="45">
        <f t="shared" si="121"/>
        <v>-230875.29824668288</v>
      </c>
      <c r="AB138" s="1"/>
      <c r="AC138" s="40">
        <f t="shared" si="110"/>
        <v>-536.94709408617882</v>
      </c>
      <c r="AD138" s="40">
        <f t="shared" si="98"/>
        <v>0</v>
      </c>
      <c r="AE138" s="40">
        <f t="shared" si="111"/>
        <v>-536.94709408617882</v>
      </c>
      <c r="AF138" s="40">
        <f t="shared" si="112"/>
        <v>0</v>
      </c>
      <c r="AG138" s="40">
        <f t="shared" si="113"/>
        <v>6137.4873525142875</v>
      </c>
      <c r="AH138" s="40">
        <f t="shared" si="128"/>
        <v>3417.582611471481</v>
      </c>
      <c r="AI138" s="106">
        <f t="shared" si="122"/>
        <v>-692329.27552943828</v>
      </c>
      <c r="AJ138" s="40">
        <f t="shared" si="117"/>
        <v>1120245.436679235</v>
      </c>
      <c r="AK138" s="108">
        <f t="shared" si="118"/>
        <v>-407582.86452120182</v>
      </c>
    </row>
    <row r="139" spans="6:37">
      <c r="F139" s="13" t="s">
        <v>30</v>
      </c>
      <c r="G139" s="1">
        <v>0</v>
      </c>
      <c r="I139">
        <v>3</v>
      </c>
      <c r="J139" s="26">
        <f t="shared" si="123"/>
        <v>15739.367180117722</v>
      </c>
      <c r="K139" s="24">
        <f t="shared" si="124"/>
        <v>2643.5896039662939</v>
      </c>
      <c r="L139" s="24">
        <f t="shared" si="125"/>
        <v>3195.8967965459015</v>
      </c>
      <c r="M139" s="24">
        <f t="shared" si="126"/>
        <v>3478.5376500545649</v>
      </c>
      <c r="N139" s="48"/>
      <c r="O139" s="32">
        <f t="shared" si="106"/>
        <v>10082.99055914864</v>
      </c>
      <c r="P139" s="32">
        <f t="shared" si="114"/>
        <v>3594.0399422005094</v>
      </c>
      <c r="Q139" s="32">
        <f t="shared" si="115"/>
        <v>6488.950616948131</v>
      </c>
      <c r="R139" s="45">
        <f t="shared" si="119"/>
        <v>856080.63551117422</v>
      </c>
      <c r="S139" s="31">
        <f t="shared" si="107"/>
        <v>2827.3031873504524</v>
      </c>
      <c r="T139" s="32">
        <f t="shared" si="96"/>
        <v>0</v>
      </c>
      <c r="U139" s="32">
        <f t="shared" si="108"/>
        <v>-3661.6474295976786</v>
      </c>
      <c r="V139" s="32">
        <v>0</v>
      </c>
      <c r="W139" s="32">
        <f t="shared" si="109"/>
        <v>3012.7870170027877</v>
      </c>
      <c r="X139" s="32">
        <f t="shared" si="127"/>
        <v>1677.6325440667033</v>
      </c>
      <c r="Y139" s="102">
        <f t="shared" si="116"/>
        <v>-179094.46836434907</v>
      </c>
      <c r="Z139" s="32">
        <f t="shared" si="120"/>
        <v>-227862.51122968004</v>
      </c>
      <c r="AA139" s="45">
        <f t="shared" si="121"/>
        <v>-227862.51122968009</v>
      </c>
      <c r="AB139" s="1"/>
      <c r="AC139" s="40">
        <f t="shared" si="110"/>
        <v>6421.3431295509617</v>
      </c>
      <c r="AD139" s="40">
        <f t="shared" si="98"/>
        <v>0</v>
      </c>
      <c r="AE139" s="40">
        <f t="shared" si="111"/>
        <v>6421.3431295509617</v>
      </c>
      <c r="AF139" s="40">
        <f t="shared" si="112"/>
        <v>0</v>
      </c>
      <c r="AG139" s="40">
        <f t="shared" si="113"/>
        <v>13095.777576151428</v>
      </c>
      <c r="AH139" s="40">
        <f t="shared" si="128"/>
        <v>7292.2189745317391</v>
      </c>
      <c r="AI139" s="106">
        <f t="shared" si="122"/>
        <v>-685037.05655490654</v>
      </c>
      <c r="AJ139" s="40">
        <f t="shared" si="117"/>
        <v>1133341.2142553865</v>
      </c>
      <c r="AK139" s="108">
        <f t="shared" si="118"/>
        <v>-394487.0869450504</v>
      </c>
    </row>
    <row r="140" spans="6:37">
      <c r="F140" s="18" t="s">
        <v>39</v>
      </c>
      <c r="G140" s="1">
        <f>G137+G127</f>
        <v>7447.0097009118454</v>
      </c>
      <c r="I140">
        <v>4</v>
      </c>
      <c r="J140" s="26">
        <f t="shared" si="123"/>
        <v>18069.364134274121</v>
      </c>
      <c r="K140" s="24">
        <f t="shared" si="124"/>
        <v>2643.5896039662939</v>
      </c>
      <c r="L140" s="24">
        <f t="shared" si="125"/>
        <v>3195.8967965459015</v>
      </c>
      <c r="M140" s="24">
        <f t="shared" si="126"/>
        <v>3478.5376500545649</v>
      </c>
      <c r="N140" s="48"/>
      <c r="O140" s="32">
        <f t="shared" si="106"/>
        <v>10082.99055914864</v>
      </c>
      <c r="P140" s="32">
        <f t="shared" si="114"/>
        <v>3567.0026479632256</v>
      </c>
      <c r="Q140" s="32">
        <f t="shared" si="115"/>
        <v>6515.9879111854152</v>
      </c>
      <c r="R140" s="45">
        <f t="shared" si="119"/>
        <v>849564.64759998885</v>
      </c>
      <c r="S140" s="31">
        <f t="shared" si="107"/>
        <v>5184.3374357441353</v>
      </c>
      <c r="T140" s="32">
        <f t="shared" si="96"/>
        <v>0</v>
      </c>
      <c r="U140" s="32">
        <f t="shared" si="108"/>
        <v>-1331.6504754412799</v>
      </c>
      <c r="V140" s="32">
        <v>0</v>
      </c>
      <c r="W140" s="32">
        <f t="shared" si="109"/>
        <v>5342.783971159186</v>
      </c>
      <c r="X140" s="32">
        <f t="shared" si="127"/>
        <v>2975.0620323807298</v>
      </c>
      <c r="Y140" s="102">
        <f t="shared" si="116"/>
        <v>-176119.40633196835</v>
      </c>
      <c r="Z140" s="32">
        <f t="shared" si="120"/>
        <v>-222519.72725852084</v>
      </c>
      <c r="AA140" s="45">
        <f t="shared" si="121"/>
        <v>-222519.7272585209</v>
      </c>
      <c r="AB140" s="1"/>
      <c r="AC140" s="40">
        <f t="shared" si="110"/>
        <v>8751.3400837073605</v>
      </c>
      <c r="AD140" s="40">
        <f t="shared" si="98"/>
        <v>0</v>
      </c>
      <c r="AE140" s="40">
        <f t="shared" si="111"/>
        <v>8751.3400837073605</v>
      </c>
      <c r="AF140" s="40">
        <f t="shared" si="112"/>
        <v>0</v>
      </c>
      <c r="AG140" s="40">
        <f t="shared" si="113"/>
        <v>15425.774530307826</v>
      </c>
      <c r="AH140" s="40">
        <f t="shared" si="128"/>
        <v>8589.6484628457656</v>
      </c>
      <c r="AI140" s="106">
        <f t="shared" si="122"/>
        <v>-676447.40809206082</v>
      </c>
      <c r="AJ140" s="40">
        <f t="shared" si="117"/>
        <v>1148766.9887856944</v>
      </c>
      <c r="AK140" s="108">
        <f t="shared" si="118"/>
        <v>-379061.31241474254</v>
      </c>
    </row>
    <row r="141" spans="6:37">
      <c r="F141" s="16" t="s">
        <v>90</v>
      </c>
      <c r="G141" s="129">
        <f>$C$60</f>
        <v>0</v>
      </c>
      <c r="I141">
        <v>5</v>
      </c>
      <c r="J141" s="26">
        <f t="shared" si="123"/>
        <v>18703.376910915322</v>
      </c>
      <c r="K141" s="24">
        <f t="shared" si="124"/>
        <v>2643.5896039662939</v>
      </c>
      <c r="L141" s="24">
        <f t="shared" si="125"/>
        <v>3195.8967965459015</v>
      </c>
      <c r="M141" s="24">
        <f t="shared" si="126"/>
        <v>3478.5376500545649</v>
      </c>
      <c r="N141" s="48"/>
      <c r="O141" s="32">
        <f t="shared" si="106"/>
        <v>10082.99055914864</v>
      </c>
      <c r="P141" s="32">
        <f t="shared" si="114"/>
        <v>3539.8526983332868</v>
      </c>
      <c r="Q141" s="32">
        <f t="shared" si="115"/>
        <v>6543.1378608153536</v>
      </c>
      <c r="R141" s="45">
        <f t="shared" si="119"/>
        <v>843021.50973917346</v>
      </c>
      <c r="S141" s="31">
        <f t="shared" si="107"/>
        <v>5845.5001620152743</v>
      </c>
      <c r="T141" s="32">
        <f t="shared" si="96"/>
        <v>0</v>
      </c>
      <c r="U141" s="32">
        <f t="shared" si="108"/>
        <v>-697.63769880007931</v>
      </c>
      <c r="V141" s="32">
        <v>0</v>
      </c>
      <c r="W141" s="32">
        <f t="shared" si="109"/>
        <v>5976.7967478003866</v>
      </c>
      <c r="X141" s="32">
        <f t="shared" si="127"/>
        <v>3328.1040700172016</v>
      </c>
      <c r="Y141" s="102">
        <f t="shared" si="116"/>
        <v>-172791.30226195115</v>
      </c>
      <c r="Z141" s="32">
        <f t="shared" si="120"/>
        <v>-216542.93051072044</v>
      </c>
      <c r="AA141" s="45">
        <f t="shared" si="121"/>
        <v>-216542.9305107205</v>
      </c>
      <c r="AB141" s="1"/>
      <c r="AC141" s="40">
        <f t="shared" si="110"/>
        <v>9385.3528603485611</v>
      </c>
      <c r="AD141" s="40">
        <f t="shared" si="98"/>
        <v>0</v>
      </c>
      <c r="AE141" s="40">
        <f t="shared" si="111"/>
        <v>9385.3528603485611</v>
      </c>
      <c r="AF141" s="40">
        <f t="shared" si="112"/>
        <v>0</v>
      </c>
      <c r="AG141" s="40">
        <f t="shared" si="113"/>
        <v>16059.787306949027</v>
      </c>
      <c r="AH141" s="40">
        <f t="shared" si="128"/>
        <v>8942.6905004822383</v>
      </c>
      <c r="AI141" s="106">
        <f t="shared" si="122"/>
        <v>-667504.71759157861</v>
      </c>
      <c r="AJ141" s="40">
        <f t="shared" si="117"/>
        <v>1164826.7760926434</v>
      </c>
      <c r="AK141" s="108">
        <f t="shared" si="118"/>
        <v>-363001.52510779351</v>
      </c>
    </row>
    <row r="142" spans="6:37">
      <c r="G142" s="1"/>
      <c r="I142">
        <v>6</v>
      </c>
      <c r="J142" s="26">
        <f t="shared" si="123"/>
        <v>19495.892881716816</v>
      </c>
      <c r="K142" s="24">
        <f t="shared" si="124"/>
        <v>2643.5896039662939</v>
      </c>
      <c r="L142" s="24">
        <f t="shared" si="125"/>
        <v>3195.8967965459015</v>
      </c>
      <c r="M142" s="24">
        <f t="shared" si="126"/>
        <v>3478.5376500545649</v>
      </c>
      <c r="N142" s="48"/>
      <c r="O142" s="32">
        <f t="shared" si="106"/>
        <v>10082.99055914864</v>
      </c>
      <c r="P142" s="32">
        <f t="shared" si="114"/>
        <v>3512.5896239132226</v>
      </c>
      <c r="Q142" s="32">
        <f t="shared" si="115"/>
        <v>6570.4009352354178</v>
      </c>
      <c r="R142" s="45">
        <f t="shared" si="119"/>
        <v>836451.10880393803</v>
      </c>
      <c r="S142" s="31">
        <f t="shared" si="107"/>
        <v>6665.2792072368329</v>
      </c>
      <c r="T142" s="32">
        <f t="shared" si="96"/>
        <v>0</v>
      </c>
      <c r="U142" s="32">
        <f t="shared" si="108"/>
        <v>94.878272001415098</v>
      </c>
      <c r="V142" s="32">
        <v>0</v>
      </c>
      <c r="W142" s="32">
        <f t="shared" si="109"/>
        <v>6769.312718601881</v>
      </c>
      <c r="X142" s="32">
        <f t="shared" si="127"/>
        <v>3769.406617062788</v>
      </c>
      <c r="Y142" s="102">
        <f t="shared" si="116"/>
        <v>-169021.89564488837</v>
      </c>
      <c r="Z142" s="32">
        <f t="shared" si="120"/>
        <v>-209773.61779211857</v>
      </c>
      <c r="AA142" s="45">
        <f t="shared" si="121"/>
        <v>-209773.61779211863</v>
      </c>
      <c r="AB142" s="1"/>
      <c r="AC142" s="40">
        <f t="shared" si="110"/>
        <v>10177.868831150055</v>
      </c>
      <c r="AD142" s="40">
        <f t="shared" si="98"/>
        <v>0</v>
      </c>
      <c r="AE142" s="40">
        <f t="shared" si="111"/>
        <v>10177.868831150055</v>
      </c>
      <c r="AF142" s="40">
        <f t="shared" si="112"/>
        <v>0</v>
      </c>
      <c r="AG142" s="40">
        <f t="shared" si="113"/>
        <v>16852.303277750521</v>
      </c>
      <c r="AH142" s="40">
        <f t="shared" si="128"/>
        <v>9383.9930475278234</v>
      </c>
      <c r="AI142" s="106">
        <f t="shared" si="122"/>
        <v>-658120.72454405075</v>
      </c>
      <c r="AJ142" s="40">
        <f t="shared" si="117"/>
        <v>1181679.0793703939</v>
      </c>
      <c r="AK142" s="108">
        <f t="shared" si="118"/>
        <v>-346149.22183004301</v>
      </c>
    </row>
    <row r="143" spans="6:37">
      <c r="G143" s="1"/>
      <c r="I143">
        <v>7</v>
      </c>
      <c r="J143" s="26">
        <f t="shared" si="123"/>
        <v>20763.91843499921</v>
      </c>
      <c r="K143" s="24">
        <f t="shared" si="124"/>
        <v>2643.5896039662939</v>
      </c>
      <c r="L143" s="24">
        <f t="shared" si="125"/>
        <v>3195.8967965459015</v>
      </c>
      <c r="M143" s="24">
        <f t="shared" si="126"/>
        <v>3478.5376500545649</v>
      </c>
      <c r="N143" s="48"/>
      <c r="O143" s="32">
        <f t="shared" si="106"/>
        <v>10082.99055914864</v>
      </c>
      <c r="P143" s="32">
        <f t="shared" si="114"/>
        <v>3485.2129533497418</v>
      </c>
      <c r="Q143" s="32">
        <f t="shared" si="115"/>
        <v>6597.7776057988985</v>
      </c>
      <c r="R143" s="45">
        <f t="shared" si="119"/>
        <v>829853.33119813912</v>
      </c>
      <c r="S143" s="31">
        <f t="shared" si="107"/>
        <v>7960.6814310827076</v>
      </c>
      <c r="T143" s="32">
        <f t="shared" si="96"/>
        <v>0</v>
      </c>
      <c r="U143" s="32">
        <f t="shared" si="108"/>
        <v>1362.9038252838091</v>
      </c>
      <c r="V143" s="32">
        <v>0</v>
      </c>
      <c r="W143" s="32">
        <f t="shared" si="109"/>
        <v>8037.3382718842749</v>
      </c>
      <c r="X143" s="32">
        <f t="shared" si="127"/>
        <v>4475.4906923357275</v>
      </c>
      <c r="Y143" s="102">
        <f t="shared" si="116"/>
        <v>-164546.40495255264</v>
      </c>
      <c r="Z143" s="32">
        <f t="shared" si="120"/>
        <v>-201736.2795202343</v>
      </c>
      <c r="AA143" s="45">
        <f t="shared" si="121"/>
        <v>-201736.27952023436</v>
      </c>
      <c r="AB143" s="1"/>
      <c r="AC143" s="40">
        <f t="shared" si="110"/>
        <v>11445.894384432449</v>
      </c>
      <c r="AD143" s="40">
        <f t="shared" si="98"/>
        <v>0</v>
      </c>
      <c r="AE143" s="40">
        <f t="shared" si="111"/>
        <v>11445.894384432449</v>
      </c>
      <c r="AF143" s="40">
        <f t="shared" si="112"/>
        <v>0</v>
      </c>
      <c r="AG143" s="40">
        <f t="shared" si="113"/>
        <v>18120.328831032915</v>
      </c>
      <c r="AH143" s="40">
        <f t="shared" si="128"/>
        <v>10090.077122800763</v>
      </c>
      <c r="AI143" s="106">
        <f t="shared" si="122"/>
        <v>-648030.64742125</v>
      </c>
      <c r="AJ143" s="40">
        <f t="shared" si="117"/>
        <v>1199799.4082014267</v>
      </c>
      <c r="AK143" s="108">
        <f t="shared" si="118"/>
        <v>-328028.8929990101</v>
      </c>
    </row>
    <row r="144" spans="6:37">
      <c r="G144" s="1"/>
      <c r="I144">
        <v>8</v>
      </c>
      <c r="J144" s="26">
        <f t="shared" si="123"/>
        <v>19020.38329923592</v>
      </c>
      <c r="K144" s="24">
        <f t="shared" si="124"/>
        <v>2643.5896039662939</v>
      </c>
      <c r="L144" s="24">
        <f t="shared" si="125"/>
        <v>3195.8967965459015</v>
      </c>
      <c r="M144" s="24">
        <f t="shared" si="126"/>
        <v>3478.5376500545649</v>
      </c>
      <c r="N144" s="48"/>
      <c r="O144" s="32">
        <f t="shared" si="106"/>
        <v>10082.99055914864</v>
      </c>
      <c r="P144" s="32">
        <f t="shared" si="114"/>
        <v>3457.7222133255796</v>
      </c>
      <c r="Q144" s="32">
        <f t="shared" si="115"/>
        <v>6625.2683458230604</v>
      </c>
      <c r="R144" s="45">
        <f t="shared" si="119"/>
        <v>823228.06285231607</v>
      </c>
      <c r="S144" s="31">
        <f t="shared" si="107"/>
        <v>6244.6370353435796</v>
      </c>
      <c r="T144" s="32">
        <f t="shared" si="96"/>
        <v>0</v>
      </c>
      <c r="U144" s="32">
        <f t="shared" si="108"/>
        <v>-380.63131047948082</v>
      </c>
      <c r="V144" s="32">
        <v>0</v>
      </c>
      <c r="W144" s="32">
        <f t="shared" si="109"/>
        <v>6293.8031361209851</v>
      </c>
      <c r="X144" s="32">
        <f t="shared" si="127"/>
        <v>3504.6250888354366</v>
      </c>
      <c r="Y144" s="102">
        <f t="shared" si="116"/>
        <v>-161041.77986371721</v>
      </c>
      <c r="Z144" s="32">
        <f t="shared" si="120"/>
        <v>-195442.47638411331</v>
      </c>
      <c r="AA144" s="45">
        <f t="shared" si="121"/>
        <v>-195442.47638411337</v>
      </c>
      <c r="AB144" s="1"/>
      <c r="AC144" s="40">
        <f t="shared" si="110"/>
        <v>9702.3592486691596</v>
      </c>
      <c r="AD144" s="40">
        <f t="shared" si="98"/>
        <v>0</v>
      </c>
      <c r="AE144" s="40">
        <f t="shared" si="111"/>
        <v>9702.3592486691596</v>
      </c>
      <c r="AF144" s="40">
        <f t="shared" si="112"/>
        <v>0</v>
      </c>
      <c r="AG144" s="40">
        <f t="shared" si="113"/>
        <v>16376.793695269625</v>
      </c>
      <c r="AH144" s="40">
        <f t="shared" si="128"/>
        <v>9119.211519300472</v>
      </c>
      <c r="AI144" s="106">
        <f t="shared" si="122"/>
        <v>-638911.43590194953</v>
      </c>
      <c r="AJ144" s="40">
        <f t="shared" si="117"/>
        <v>1216176.2018966964</v>
      </c>
      <c r="AK144" s="108">
        <f t="shared" si="118"/>
        <v>-311652.09930374048</v>
      </c>
    </row>
    <row r="145" spans="6:37">
      <c r="G145" s="1"/>
      <c r="I145">
        <v>9</v>
      </c>
      <c r="J145" s="26">
        <f t="shared" si="123"/>
        <v>16959.841775152028</v>
      </c>
      <c r="K145" s="24">
        <f t="shared" si="124"/>
        <v>2643.5896039662939</v>
      </c>
      <c r="L145" s="24">
        <f t="shared" si="125"/>
        <v>3195.8967965459015</v>
      </c>
      <c r="M145" s="24">
        <f t="shared" si="126"/>
        <v>3478.5376500545649</v>
      </c>
      <c r="N145" s="48"/>
      <c r="O145" s="32">
        <f t="shared" si="106"/>
        <v>10082.99055914864</v>
      </c>
      <c r="P145" s="32">
        <f t="shared" si="114"/>
        <v>3430.116928551317</v>
      </c>
      <c r="Q145" s="32">
        <f t="shared" si="115"/>
        <v>6652.8736305973234</v>
      </c>
      <c r="R145" s="45">
        <f t="shared" si="119"/>
        <v>816575.1892217187</v>
      </c>
      <c r="S145" s="31">
        <f t="shared" si="107"/>
        <v>4211.7007960339506</v>
      </c>
      <c r="T145" s="32">
        <f t="shared" si="96"/>
        <v>0</v>
      </c>
      <c r="U145" s="32">
        <f t="shared" si="108"/>
        <v>-2441.1728345633728</v>
      </c>
      <c r="V145" s="32">
        <v>0</v>
      </c>
      <c r="W145" s="32">
        <f t="shared" si="109"/>
        <v>4233.2616120370931</v>
      </c>
      <c r="X145" s="32">
        <f t="shared" si="127"/>
        <v>2357.2384665169084</v>
      </c>
      <c r="Y145" s="102">
        <f t="shared" si="116"/>
        <v>-158684.54139720032</v>
      </c>
      <c r="Z145" s="32">
        <f t="shared" si="120"/>
        <v>-191209.21477207623</v>
      </c>
      <c r="AA145" s="45">
        <f t="shared" si="121"/>
        <v>-191209.21477207629</v>
      </c>
      <c r="AB145" s="1"/>
      <c r="AC145" s="40">
        <f t="shared" si="110"/>
        <v>7641.8177245852676</v>
      </c>
      <c r="AD145" s="40">
        <f t="shared" si="98"/>
        <v>0</v>
      </c>
      <c r="AE145" s="40">
        <f t="shared" si="111"/>
        <v>7641.8177245852676</v>
      </c>
      <c r="AF145" s="40">
        <f t="shared" si="112"/>
        <v>0</v>
      </c>
      <c r="AG145" s="40">
        <f t="shared" si="113"/>
        <v>14316.252171185733</v>
      </c>
      <c r="AH145" s="40">
        <f t="shared" si="128"/>
        <v>7971.8248969819442</v>
      </c>
      <c r="AI145" s="106">
        <f t="shared" si="122"/>
        <v>-630939.61100496759</v>
      </c>
      <c r="AJ145" s="40">
        <f t="shared" si="117"/>
        <v>1230492.4540678822</v>
      </c>
      <c r="AK145" s="108">
        <f t="shared" si="118"/>
        <v>-297335.84713255474</v>
      </c>
    </row>
    <row r="146" spans="6:37">
      <c r="G146" s="1"/>
      <c r="I146">
        <v>10</v>
      </c>
      <c r="J146" s="26">
        <f t="shared" si="123"/>
        <v>11792.637645526269</v>
      </c>
      <c r="K146" s="24">
        <f t="shared" si="124"/>
        <v>2643.5896039662939</v>
      </c>
      <c r="L146" s="24">
        <f t="shared" si="125"/>
        <v>3195.8967965459015</v>
      </c>
      <c r="M146" s="24">
        <f t="shared" si="126"/>
        <v>3478.5376500545649</v>
      </c>
      <c r="N146" s="48"/>
      <c r="O146" s="32">
        <f t="shared" si="106"/>
        <v>10082.99055914864</v>
      </c>
      <c r="P146" s="32">
        <f t="shared" si="114"/>
        <v>3402.396621757161</v>
      </c>
      <c r="Q146" s="32">
        <f t="shared" si="115"/>
        <v>6680.5939373914789</v>
      </c>
      <c r="R146" s="45">
        <f t="shared" si="119"/>
        <v>809894.59528432717</v>
      </c>
      <c r="S146" s="31">
        <f t="shared" si="107"/>
        <v>-927.78302679765329</v>
      </c>
      <c r="T146" s="32">
        <f t="shared" si="96"/>
        <v>0</v>
      </c>
      <c r="U146" s="32">
        <f t="shared" si="108"/>
        <v>-7608.3769641891322</v>
      </c>
      <c r="V146" s="32">
        <v>0</v>
      </c>
      <c r="W146" s="32">
        <f t="shared" si="109"/>
        <v>-933.94251758866585</v>
      </c>
      <c r="X146" s="32">
        <f t="shared" si="127"/>
        <v>-520.05414022032267</v>
      </c>
      <c r="Y146" s="102">
        <f t="shared" si="116"/>
        <v>-159204.59553742062</v>
      </c>
      <c r="Z146" s="32">
        <f t="shared" si="120"/>
        <v>-192143.1572896649</v>
      </c>
      <c r="AA146" s="45">
        <f t="shared" si="121"/>
        <v>-192143.15728966496</v>
      </c>
      <c r="AB146" s="1"/>
      <c r="AC146" s="40">
        <f t="shared" si="110"/>
        <v>2474.6135949595077</v>
      </c>
      <c r="AD146" s="40">
        <f t="shared" si="98"/>
        <v>0</v>
      </c>
      <c r="AE146" s="40">
        <f t="shared" si="111"/>
        <v>2474.6135949595077</v>
      </c>
      <c r="AF146" s="40">
        <f t="shared" si="112"/>
        <v>0</v>
      </c>
      <c r="AG146" s="40">
        <f t="shared" si="113"/>
        <v>9149.0480415599741</v>
      </c>
      <c r="AH146" s="40">
        <f t="shared" si="128"/>
        <v>5094.5322902447133</v>
      </c>
      <c r="AI146" s="106">
        <f t="shared" si="122"/>
        <v>-625845.07871472288</v>
      </c>
      <c r="AJ146" s="40">
        <f t="shared" si="117"/>
        <v>1239641.5021094421</v>
      </c>
      <c r="AK146" s="108">
        <f t="shared" si="118"/>
        <v>-288186.79909099475</v>
      </c>
    </row>
    <row r="147" spans="6:37">
      <c r="G147" s="1"/>
      <c r="I147">
        <v>11</v>
      </c>
      <c r="J147" s="26">
        <f t="shared" si="123"/>
        <v>6403.5290440760928</v>
      </c>
      <c r="K147" s="24">
        <f t="shared" si="124"/>
        <v>2643.5896039662939</v>
      </c>
      <c r="L147" s="24">
        <f t="shared" si="125"/>
        <v>3195.8967965459015</v>
      </c>
      <c r="M147" s="24">
        <f t="shared" si="126"/>
        <v>3478.5376500545649</v>
      </c>
      <c r="N147" s="48"/>
      <c r="O147" s="32">
        <f t="shared" si="106"/>
        <v>10082.99055914864</v>
      </c>
      <c r="P147" s="32">
        <f t="shared" si="114"/>
        <v>3374.5608136846963</v>
      </c>
      <c r="Q147" s="32">
        <f t="shared" si="115"/>
        <v>6708.4297454639436</v>
      </c>
      <c r="R147" s="45">
        <f t="shared" si="119"/>
        <v>803186.16553886328</v>
      </c>
      <c r="S147" s="31">
        <f t="shared" si="107"/>
        <v>-6289.0558201753638</v>
      </c>
      <c r="T147" s="32">
        <f t="shared" si="96"/>
        <v>0</v>
      </c>
      <c r="U147" s="32">
        <f t="shared" si="108"/>
        <v>-12997.485565639308</v>
      </c>
      <c r="V147" s="32">
        <v>0</v>
      </c>
      <c r="W147" s="32">
        <f t="shared" si="109"/>
        <v>-6323.0511190388424</v>
      </c>
      <c r="X147" s="32">
        <f t="shared" si="127"/>
        <v>-3520.9114601303177</v>
      </c>
      <c r="Y147" s="102">
        <f t="shared" si="116"/>
        <v>-162725.50699755095</v>
      </c>
      <c r="Z147" s="32">
        <f t="shared" si="120"/>
        <v>-198466.20840870374</v>
      </c>
      <c r="AA147" s="45">
        <f t="shared" si="121"/>
        <v>-198466.20840870379</v>
      </c>
      <c r="AB147" s="1"/>
      <c r="AC147" s="40">
        <f t="shared" si="110"/>
        <v>-2914.4950064906675</v>
      </c>
      <c r="AD147" s="40">
        <f t="shared" si="98"/>
        <v>0</v>
      </c>
      <c r="AE147" s="40">
        <f t="shared" si="111"/>
        <v>-2914.4950064906675</v>
      </c>
      <c r="AF147" s="40">
        <f t="shared" si="112"/>
        <v>0</v>
      </c>
      <c r="AG147" s="40">
        <f t="shared" si="113"/>
        <v>3759.9394401097989</v>
      </c>
      <c r="AH147" s="40">
        <f t="shared" si="128"/>
        <v>2093.6749703347191</v>
      </c>
      <c r="AI147" s="106">
        <f t="shared" si="122"/>
        <v>-623751.40374438814</v>
      </c>
      <c r="AJ147" s="40">
        <f t="shared" si="117"/>
        <v>1243401.4415495519</v>
      </c>
      <c r="AK147" s="108">
        <f t="shared" si="118"/>
        <v>-284426.85965088493</v>
      </c>
    </row>
    <row r="148" spans="6:37">
      <c r="G148" s="1"/>
      <c r="I148">
        <v>12</v>
      </c>
      <c r="J148" s="26">
        <f t="shared" si="123"/>
        <v>5389.108601450177</v>
      </c>
      <c r="K148" s="24">
        <f t="shared" si="124"/>
        <v>2643.5896039662939</v>
      </c>
      <c r="L148" s="24">
        <f t="shared" si="125"/>
        <v>3195.8967965459015</v>
      </c>
      <c r="M148" s="24">
        <f t="shared" si="126"/>
        <v>3478.5376500545649</v>
      </c>
      <c r="N148" s="48"/>
      <c r="O148" s="32">
        <f t="shared" si="106"/>
        <v>10082.99055914864</v>
      </c>
      <c r="P148" s="32">
        <f t="shared" si="114"/>
        <v>3346.6090230785971</v>
      </c>
      <c r="Q148" s="32">
        <f t="shared" si="115"/>
        <v>6736.3815360700428</v>
      </c>
      <c r="R148" s="45">
        <f t="shared" si="119"/>
        <v>796449.78400279325</v>
      </c>
      <c r="S148" s="31">
        <f t="shared" si="107"/>
        <v>-7275.5244721951804</v>
      </c>
      <c r="T148" s="32">
        <f t="shared" si="96"/>
        <v>0</v>
      </c>
      <c r="U148" s="32">
        <f t="shared" si="108"/>
        <v>-14011.906008265223</v>
      </c>
      <c r="V148" s="32">
        <v>0</v>
      </c>
      <c r="W148" s="32">
        <f t="shared" si="109"/>
        <v>-7337.4715616647572</v>
      </c>
      <c r="X148" s="32">
        <f t="shared" si="127"/>
        <v>-4085.7787203486691</v>
      </c>
      <c r="Y148" s="102">
        <f t="shared" si="116"/>
        <v>-166811.28571789962</v>
      </c>
      <c r="Z148" s="32">
        <f t="shared" si="120"/>
        <v>-205803.67997036848</v>
      </c>
      <c r="AA148" s="45">
        <f t="shared" si="121"/>
        <v>-205803.67997036854</v>
      </c>
      <c r="AB148" s="1"/>
      <c r="AC148" s="40">
        <f t="shared" si="110"/>
        <v>-3928.9154491165832</v>
      </c>
      <c r="AD148" s="40">
        <f t="shared" si="98"/>
        <v>0</v>
      </c>
      <c r="AE148" s="40">
        <f t="shared" si="111"/>
        <v>-3928.9154491165832</v>
      </c>
      <c r="AF148" s="40">
        <f t="shared" si="112"/>
        <v>0</v>
      </c>
      <c r="AG148" s="40">
        <f t="shared" si="113"/>
        <v>2745.5189974838831</v>
      </c>
      <c r="AH148" s="40">
        <f t="shared" si="128"/>
        <v>1528.8077101163669</v>
      </c>
      <c r="AI148" s="106">
        <f t="shared" si="122"/>
        <v>-622222.59603427176</v>
      </c>
      <c r="AJ148" s="40">
        <f t="shared" si="117"/>
        <v>1246146.9605470358</v>
      </c>
      <c r="AK148" s="108">
        <f t="shared" si="118"/>
        <v>-281681.34065340104</v>
      </c>
    </row>
    <row r="149" spans="6:37">
      <c r="F149" s="132" t="s">
        <v>88</v>
      </c>
      <c r="G149" s="1">
        <f>SUM(S149:S160)</f>
        <v>29801.320266877141</v>
      </c>
      <c r="H149">
        <v>2027</v>
      </c>
      <c r="I149">
        <v>1</v>
      </c>
      <c r="J149" s="26">
        <f t="shared" ref="J149:J160" si="129">C23*$C$50*$D$50</f>
        <v>5794.046221763143</v>
      </c>
      <c r="K149" s="24">
        <f t="shared" ref="K149:K160" si="130">$K$148*$C$8</f>
        <v>2722.897292085283</v>
      </c>
      <c r="L149" s="24">
        <f t="shared" ref="L149:L160" si="131">(($C$5-SUM($L$5:$L$148))*0.15)/12</f>
        <v>2716.5122770640096</v>
      </c>
      <c r="M149" s="24">
        <f t="shared" ref="M149:M160" si="132">(($C$9-SUM($M$125:$M$148))*0.15)/12</f>
        <v>2956.7570025463806</v>
      </c>
      <c r="N149" s="48"/>
      <c r="O149" s="32">
        <f t="shared" si="106"/>
        <v>10082.99055914864</v>
      </c>
      <c r="P149" s="32">
        <f t="shared" si="114"/>
        <v>3318.5407666783053</v>
      </c>
      <c r="Q149" s="32">
        <f t="shared" si="115"/>
        <v>6764.4497924703355</v>
      </c>
      <c r="R149" s="45">
        <f t="shared" si="119"/>
        <v>789685.33421032294</v>
      </c>
      <c r="S149" s="31">
        <f t="shared" si="107"/>
        <v>-5920.661116610836</v>
      </c>
      <c r="T149" s="32">
        <f t="shared" ref="T149:T160" si="133">S149*$C$62</f>
        <v>-1776.1983349832508</v>
      </c>
      <c r="U149" s="32">
        <f t="shared" si="108"/>
        <v>-10908.91257409792</v>
      </c>
      <c r="V149" s="32">
        <v>0</v>
      </c>
      <c r="W149" s="32">
        <f t="shared" si="109"/>
        <v>-5235.6432944875287</v>
      </c>
      <c r="X149" s="32">
        <f t="shared" ref="X149:X160" si="134">W149/(1+$C$18)^13</f>
        <v>-2776.5734234296065</v>
      </c>
      <c r="Y149" s="102">
        <f t="shared" si="116"/>
        <v>-169587.85914132922</v>
      </c>
      <c r="Z149" s="32">
        <f t="shared" si="120"/>
        <v>-211039.32326485601</v>
      </c>
      <c r="AA149" s="45">
        <f t="shared" si="121"/>
        <v>-211039.32326485607</v>
      </c>
      <c r="AB149" s="1"/>
      <c r="AC149" s="40">
        <f t="shared" si="110"/>
        <v>-2602.1203499325302</v>
      </c>
      <c r="AD149" s="40">
        <f t="shared" ref="AD149:AD160" si="135">AC149*$C$62</f>
        <v>-780.63610497975901</v>
      </c>
      <c r="AE149" s="40">
        <f t="shared" si="111"/>
        <v>-1821.4842449527712</v>
      </c>
      <c r="AF149" s="40">
        <f t="shared" si="112"/>
        <v>0</v>
      </c>
      <c r="AG149" s="40">
        <f t="shared" si="113"/>
        <v>3851.7850346576188</v>
      </c>
      <c r="AH149" s="40">
        <f t="shared" ref="AH149:AH160" si="136">AG149/(1+$C$18)^13</f>
        <v>2042.6838419749615</v>
      </c>
      <c r="AI149" s="106">
        <f t="shared" si="122"/>
        <v>-620179.91219229682</v>
      </c>
      <c r="AJ149" s="40">
        <f t="shared" si="117"/>
        <v>1249998.7455816935</v>
      </c>
      <c r="AK149" s="108">
        <f t="shared" si="118"/>
        <v>-277829.55561874341</v>
      </c>
    </row>
    <row r="150" spans="6:37">
      <c r="F150" s="17" t="s">
        <v>31</v>
      </c>
      <c r="G150">
        <v>13</v>
      </c>
      <c r="I150">
        <v>2</v>
      </c>
      <c r="J150" s="26">
        <f t="shared" si="129"/>
        <v>8867.1315106540933</v>
      </c>
      <c r="K150" s="24">
        <f t="shared" si="130"/>
        <v>2722.897292085283</v>
      </c>
      <c r="L150" s="24">
        <f t="shared" si="131"/>
        <v>2716.5122770640096</v>
      </c>
      <c r="M150" s="24">
        <f t="shared" si="132"/>
        <v>2956.7570025463806</v>
      </c>
      <c r="N150" s="48"/>
      <c r="O150" s="32">
        <f t="shared" si="106"/>
        <v>10082.99055914864</v>
      </c>
      <c r="P150" s="32">
        <f t="shared" si="114"/>
        <v>3290.3555592096786</v>
      </c>
      <c r="Q150" s="32">
        <f t="shared" si="115"/>
        <v>6792.6349999389622</v>
      </c>
      <c r="R150" s="45">
        <f t="shared" si="119"/>
        <v>782892.69921038393</v>
      </c>
      <c r="S150" s="31">
        <f t="shared" si="107"/>
        <v>-2819.3906202512585</v>
      </c>
      <c r="T150" s="32">
        <f t="shared" si="133"/>
        <v>-845.81718607537755</v>
      </c>
      <c r="U150" s="32">
        <f t="shared" si="108"/>
        <v>-8766.208434114842</v>
      </c>
      <c r="V150" s="32">
        <v>0</v>
      </c>
      <c r="W150" s="32">
        <f t="shared" si="109"/>
        <v>-3092.9391545044514</v>
      </c>
      <c r="X150" s="32">
        <f t="shared" si="134"/>
        <v>-1640.2516698805164</v>
      </c>
      <c r="Y150" s="102">
        <f t="shared" si="116"/>
        <v>-171228.11081120974</v>
      </c>
      <c r="Z150" s="32">
        <f t="shared" si="120"/>
        <v>-214132.26241936046</v>
      </c>
      <c r="AA150" s="45">
        <f t="shared" si="121"/>
        <v>-214132.26241936052</v>
      </c>
      <c r="AB150" s="1"/>
      <c r="AC150" s="40">
        <f t="shared" si="110"/>
        <v>470.96493895842013</v>
      </c>
      <c r="AD150" s="40">
        <f t="shared" si="135"/>
        <v>141.28948168752603</v>
      </c>
      <c r="AE150" s="40">
        <f t="shared" si="111"/>
        <v>329.67545727089407</v>
      </c>
      <c r="AF150" s="40">
        <f t="shared" si="112"/>
        <v>0</v>
      </c>
      <c r="AG150" s="40">
        <f t="shared" si="113"/>
        <v>6002.9447368812844</v>
      </c>
      <c r="AH150" s="40">
        <f t="shared" si="136"/>
        <v>3183.489760711946</v>
      </c>
      <c r="AI150" s="106">
        <f t="shared" si="122"/>
        <v>-616996.42243158491</v>
      </c>
      <c r="AJ150" s="40">
        <f t="shared" si="117"/>
        <v>1256001.6903185747</v>
      </c>
      <c r="AK150" s="108">
        <f t="shared" si="118"/>
        <v>-271826.61088186211</v>
      </c>
    </row>
    <row r="151" spans="6:37">
      <c r="F151" s="13" t="s">
        <v>30</v>
      </c>
      <c r="G151" s="1">
        <v>0</v>
      </c>
      <c r="I151">
        <v>3</v>
      </c>
      <c r="J151" s="26">
        <f t="shared" si="129"/>
        <v>15893.612978482875</v>
      </c>
      <c r="K151" s="24">
        <f t="shared" si="130"/>
        <v>2722.897292085283</v>
      </c>
      <c r="L151" s="24">
        <f t="shared" si="131"/>
        <v>2716.5122770640096</v>
      </c>
      <c r="M151" s="24">
        <f t="shared" si="132"/>
        <v>2956.7570025463806</v>
      </c>
      <c r="N151" s="48"/>
      <c r="O151" s="32">
        <f t="shared" si="106"/>
        <v>10082.99055914864</v>
      </c>
      <c r="P151" s="32">
        <f t="shared" si="114"/>
        <v>3262.0529133765995</v>
      </c>
      <c r="Q151" s="32">
        <f t="shared" si="115"/>
        <v>6820.9376457720409</v>
      </c>
      <c r="R151" s="45">
        <f t="shared" si="119"/>
        <v>776071.76156461192</v>
      </c>
      <c r="S151" s="31">
        <f t="shared" si="107"/>
        <v>4235.3934934106019</v>
      </c>
      <c r="T151" s="32">
        <f t="shared" si="133"/>
        <v>1270.6180480231806</v>
      </c>
      <c r="U151" s="32">
        <f t="shared" si="108"/>
        <v>-3856.1622003846196</v>
      </c>
      <c r="V151" s="32">
        <v>0</v>
      </c>
      <c r="W151" s="32">
        <f t="shared" si="109"/>
        <v>1817.1070792257706</v>
      </c>
      <c r="X151" s="32">
        <f t="shared" si="134"/>
        <v>963.65068052213712</v>
      </c>
      <c r="Y151" s="102">
        <f t="shared" si="116"/>
        <v>-170264.4601306876</v>
      </c>
      <c r="Z151" s="32">
        <f t="shared" si="120"/>
        <v>-212315.15534013469</v>
      </c>
      <c r="AA151" s="45">
        <f t="shared" si="121"/>
        <v>-212315.15534013475</v>
      </c>
      <c r="AB151" s="1"/>
      <c r="AC151" s="40">
        <f t="shared" si="110"/>
        <v>7497.4464067872013</v>
      </c>
      <c r="AD151" s="40">
        <f t="shared" si="135"/>
        <v>2249.2339220361605</v>
      </c>
      <c r="AE151" s="40">
        <f t="shared" si="111"/>
        <v>5248.2124847510404</v>
      </c>
      <c r="AF151" s="40">
        <f t="shared" si="112"/>
        <v>0</v>
      </c>
      <c r="AG151" s="40">
        <f t="shared" si="113"/>
        <v>10921.481764361431</v>
      </c>
      <c r="AH151" s="40">
        <f t="shared" si="136"/>
        <v>5791.8949603241099</v>
      </c>
      <c r="AI151" s="106">
        <f t="shared" si="122"/>
        <v>-611204.52747126075</v>
      </c>
      <c r="AJ151" s="40">
        <f t="shared" si="117"/>
        <v>1266923.1720829362</v>
      </c>
      <c r="AK151" s="108">
        <f t="shared" si="118"/>
        <v>-260905.12911750068</v>
      </c>
    </row>
    <row r="152" spans="6:37">
      <c r="F152" s="18" t="s">
        <v>39</v>
      </c>
      <c r="G152" s="1">
        <f>G149</f>
        <v>29801.320266877141</v>
      </c>
      <c r="I152">
        <v>4</v>
      </c>
      <c r="J152" s="26">
        <f t="shared" si="129"/>
        <v>18246.443902790008</v>
      </c>
      <c r="K152" s="24">
        <f t="shared" si="130"/>
        <v>2722.897292085283</v>
      </c>
      <c r="L152" s="24">
        <f t="shared" si="131"/>
        <v>2716.5122770640096</v>
      </c>
      <c r="M152" s="24">
        <f t="shared" si="132"/>
        <v>2956.7570025463806</v>
      </c>
      <c r="N152" s="48"/>
      <c r="O152" s="32">
        <f t="shared" si="106"/>
        <v>10082.99055914864</v>
      </c>
      <c r="P152" s="32">
        <f t="shared" si="114"/>
        <v>3233.6323398525496</v>
      </c>
      <c r="Q152" s="32">
        <f t="shared" si="115"/>
        <v>6849.3582192960912</v>
      </c>
      <c r="R152" s="45">
        <f t="shared" si="119"/>
        <v>769222.40334531583</v>
      </c>
      <c r="S152" s="31">
        <f t="shared" si="107"/>
        <v>6616.6449912417847</v>
      </c>
      <c r="T152" s="32">
        <f t="shared" si="133"/>
        <v>1984.9934973725353</v>
      </c>
      <c r="U152" s="32">
        <f t="shared" si="108"/>
        <v>-2217.7067254268422</v>
      </c>
      <c r="V152" s="32">
        <v>0</v>
      </c>
      <c r="W152" s="32">
        <f t="shared" si="109"/>
        <v>3455.5625541835479</v>
      </c>
      <c r="X152" s="32">
        <f t="shared" si="134"/>
        <v>1832.5586009739234</v>
      </c>
      <c r="Y152" s="102">
        <f t="shared" si="116"/>
        <v>-168431.90152971368</v>
      </c>
      <c r="Z152" s="32">
        <f t="shared" si="120"/>
        <v>-208859.59278595113</v>
      </c>
      <c r="AA152" s="45">
        <f t="shared" si="121"/>
        <v>-208859.59278595119</v>
      </c>
      <c r="AB152" s="1"/>
      <c r="AC152" s="40">
        <f t="shared" si="110"/>
        <v>9850.2773310943339</v>
      </c>
      <c r="AD152" s="40">
        <f t="shared" si="135"/>
        <v>2955.0831993283</v>
      </c>
      <c r="AE152" s="40">
        <f t="shared" si="111"/>
        <v>6895.1941317660339</v>
      </c>
      <c r="AF152" s="40">
        <f t="shared" si="112"/>
        <v>0</v>
      </c>
      <c r="AG152" s="40">
        <f t="shared" si="113"/>
        <v>12568.463411376424</v>
      </c>
      <c r="AH152" s="40">
        <f t="shared" si="136"/>
        <v>6665.3244918571127</v>
      </c>
      <c r="AI152" s="106">
        <f t="shared" si="122"/>
        <v>-604539.20297940366</v>
      </c>
      <c r="AJ152" s="40">
        <f t="shared" si="117"/>
        <v>1279491.6354943125</v>
      </c>
      <c r="AK152" s="108">
        <f t="shared" si="118"/>
        <v>-248336.66570612424</v>
      </c>
    </row>
    <row r="153" spans="6:37">
      <c r="F153" s="16" t="s">
        <v>90</v>
      </c>
      <c r="G153" s="129">
        <f>$C$62</f>
        <v>0.3</v>
      </c>
      <c r="I153">
        <v>5</v>
      </c>
      <c r="J153" s="26">
        <f t="shared" si="129"/>
        <v>18886.670004642292</v>
      </c>
      <c r="K153" s="24">
        <f t="shared" si="130"/>
        <v>2722.897292085283</v>
      </c>
      <c r="L153" s="24">
        <f t="shared" si="131"/>
        <v>2716.5122770640096</v>
      </c>
      <c r="M153" s="24">
        <f t="shared" si="132"/>
        <v>2956.7570025463806</v>
      </c>
      <c r="N153" s="48"/>
      <c r="O153" s="32">
        <f t="shared" si="106"/>
        <v>10082.99055914864</v>
      </c>
      <c r="P153" s="32">
        <f t="shared" si="114"/>
        <v>3205.0933472721495</v>
      </c>
      <c r="Q153" s="32">
        <f t="shared" si="115"/>
        <v>6877.8972118764905</v>
      </c>
      <c r="R153" s="45">
        <f t="shared" si="119"/>
        <v>762344.50613343937</v>
      </c>
      <c r="S153" s="31">
        <f t="shared" si="107"/>
        <v>7285.4100856744681</v>
      </c>
      <c r="T153" s="32">
        <f t="shared" si="133"/>
        <v>2185.6230257023403</v>
      </c>
      <c r="U153" s="32">
        <f t="shared" si="108"/>
        <v>-1778.1101519043623</v>
      </c>
      <c r="V153" s="32">
        <v>0</v>
      </c>
      <c r="W153" s="32">
        <f t="shared" si="109"/>
        <v>3895.1591277060279</v>
      </c>
      <c r="X153" s="32">
        <f t="shared" si="134"/>
        <v>2065.6860495834085</v>
      </c>
      <c r="Y153" s="102">
        <f t="shared" si="116"/>
        <v>-166366.21548013028</v>
      </c>
      <c r="Z153" s="32">
        <f t="shared" si="120"/>
        <v>-204964.43365824511</v>
      </c>
      <c r="AA153" s="45">
        <f t="shared" si="121"/>
        <v>-204964.43365824517</v>
      </c>
      <c r="AB153" s="1"/>
      <c r="AC153" s="40">
        <f t="shared" si="110"/>
        <v>10490.503432946618</v>
      </c>
      <c r="AD153" s="40">
        <f t="shared" si="135"/>
        <v>3147.1510298839853</v>
      </c>
      <c r="AE153" s="40">
        <f t="shared" si="111"/>
        <v>7343.3524030626322</v>
      </c>
      <c r="AF153" s="40">
        <f t="shared" si="112"/>
        <v>0</v>
      </c>
      <c r="AG153" s="40">
        <f t="shared" si="113"/>
        <v>13016.621682673023</v>
      </c>
      <c r="AH153" s="40">
        <f t="shared" si="136"/>
        <v>6902.9923915939862</v>
      </c>
      <c r="AI153" s="106">
        <f t="shared" si="122"/>
        <v>-597636.21058780968</v>
      </c>
      <c r="AJ153" s="40">
        <f t="shared" si="117"/>
        <v>1292508.2571769855</v>
      </c>
      <c r="AK153" s="108">
        <f t="shared" si="118"/>
        <v>-235320.04402345122</v>
      </c>
    </row>
    <row r="154" spans="6:37">
      <c r="G154" s="1"/>
      <c r="I154">
        <v>6</v>
      </c>
      <c r="J154" s="26">
        <f t="shared" si="129"/>
        <v>19686.95263195764</v>
      </c>
      <c r="K154" s="24">
        <f t="shared" si="130"/>
        <v>2722.897292085283</v>
      </c>
      <c r="L154" s="24">
        <f t="shared" si="131"/>
        <v>2716.5122770640096</v>
      </c>
      <c r="M154" s="24">
        <f t="shared" si="132"/>
        <v>2956.7570025463806</v>
      </c>
      <c r="N154" s="48"/>
      <c r="O154" s="32">
        <f t="shared" si="106"/>
        <v>10082.99055914864</v>
      </c>
      <c r="P154" s="32">
        <f t="shared" si="114"/>
        <v>3176.4354422226638</v>
      </c>
      <c r="Q154" s="32">
        <f t="shared" si="115"/>
        <v>6906.5551169259761</v>
      </c>
      <c r="R154" s="45">
        <f t="shared" si="119"/>
        <v>755437.9510165134</v>
      </c>
      <c r="S154" s="31">
        <f t="shared" si="107"/>
        <v>8114.3506180393015</v>
      </c>
      <c r="T154" s="32">
        <f t="shared" si="133"/>
        <v>2434.3051854117903</v>
      </c>
      <c r="U154" s="32">
        <f t="shared" si="108"/>
        <v>-1226.5096842984658</v>
      </c>
      <c r="V154" s="32">
        <v>0</v>
      </c>
      <c r="W154" s="32">
        <f t="shared" si="109"/>
        <v>4446.7595953119244</v>
      </c>
      <c r="X154" s="32">
        <f t="shared" si="134"/>
        <v>2358.2115545807437</v>
      </c>
      <c r="Y154" s="102">
        <f t="shared" si="116"/>
        <v>-164008.00392554954</v>
      </c>
      <c r="Z154" s="32">
        <f t="shared" si="120"/>
        <v>-200517.67406293319</v>
      </c>
      <c r="AA154" s="45">
        <f t="shared" si="121"/>
        <v>-200517.67406293325</v>
      </c>
      <c r="AB154" s="1"/>
      <c r="AC154" s="40">
        <f t="shared" si="110"/>
        <v>11290.786060261966</v>
      </c>
      <c r="AD154" s="40">
        <f t="shared" si="135"/>
        <v>3387.2358180785895</v>
      </c>
      <c r="AE154" s="40">
        <f t="shared" si="111"/>
        <v>7903.5502421833762</v>
      </c>
      <c r="AF154" s="40">
        <f t="shared" si="112"/>
        <v>0</v>
      </c>
      <c r="AG154" s="40">
        <f t="shared" si="113"/>
        <v>13576.819521793766</v>
      </c>
      <c r="AH154" s="40">
        <f t="shared" si="136"/>
        <v>7200.0772662650743</v>
      </c>
      <c r="AI154" s="106">
        <f t="shared" si="122"/>
        <v>-590436.13332154462</v>
      </c>
      <c r="AJ154" s="40">
        <f t="shared" si="117"/>
        <v>1306085.0766987794</v>
      </c>
      <c r="AK154" s="108">
        <f t="shared" si="118"/>
        <v>-221743.22450165745</v>
      </c>
    </row>
    <row r="155" spans="6:37">
      <c r="G155" s="1"/>
      <c r="I155">
        <v>7</v>
      </c>
      <c r="J155" s="26">
        <f t="shared" si="129"/>
        <v>20967.404835662204</v>
      </c>
      <c r="K155" s="24">
        <f t="shared" si="130"/>
        <v>2722.897292085283</v>
      </c>
      <c r="L155" s="24">
        <f t="shared" si="131"/>
        <v>2716.5122770640096</v>
      </c>
      <c r="M155" s="24">
        <f t="shared" si="132"/>
        <v>2956.7570025463806</v>
      </c>
      <c r="N155" s="48"/>
      <c r="O155" s="32">
        <f t="shared" si="106"/>
        <v>10082.99055914864</v>
      </c>
      <c r="P155" s="32">
        <f t="shared" si="114"/>
        <v>3147.6581292354726</v>
      </c>
      <c r="Q155" s="32">
        <f t="shared" si="115"/>
        <v>6935.3324299131673</v>
      </c>
      <c r="R155" s="45">
        <f t="shared" si="119"/>
        <v>748502.61858660018</v>
      </c>
      <c r="S155" s="31">
        <f t="shared" si="107"/>
        <v>9423.5801347310571</v>
      </c>
      <c r="T155" s="32">
        <f t="shared" si="133"/>
        <v>2827.074040419317</v>
      </c>
      <c r="U155" s="32">
        <f t="shared" si="108"/>
        <v>-338.82633560142676</v>
      </c>
      <c r="V155" s="32">
        <v>0</v>
      </c>
      <c r="W155" s="32">
        <f t="shared" si="109"/>
        <v>5334.4429440089634</v>
      </c>
      <c r="X155" s="32">
        <f t="shared" si="134"/>
        <v>2828.9689870070956</v>
      </c>
      <c r="Y155" s="102">
        <f t="shared" si="116"/>
        <v>-161179.03493854243</v>
      </c>
      <c r="Z155" s="32">
        <f t="shared" si="120"/>
        <v>-195183.23111892422</v>
      </c>
      <c r="AA155" s="45">
        <f t="shared" si="121"/>
        <v>-195183.23111892428</v>
      </c>
      <c r="AB155" s="1"/>
      <c r="AC155" s="40">
        <f t="shared" si="110"/>
        <v>12571.23826396653</v>
      </c>
      <c r="AD155" s="40">
        <f t="shared" si="135"/>
        <v>3771.3714791899588</v>
      </c>
      <c r="AE155" s="40">
        <f t="shared" si="111"/>
        <v>8799.8667847765719</v>
      </c>
      <c r="AF155" s="40">
        <f t="shared" si="112"/>
        <v>0</v>
      </c>
      <c r="AG155" s="40">
        <f t="shared" si="113"/>
        <v>14473.136064386963</v>
      </c>
      <c r="AH155" s="40">
        <f t="shared" si="136"/>
        <v>7675.4130657388187</v>
      </c>
      <c r="AI155" s="106">
        <f t="shared" si="122"/>
        <v>-582760.72025580576</v>
      </c>
      <c r="AJ155" s="40">
        <f t="shared" si="117"/>
        <v>1320558.2127631663</v>
      </c>
      <c r="AK155" s="108">
        <f t="shared" si="118"/>
        <v>-207270.08843727049</v>
      </c>
    </row>
    <row r="156" spans="6:37">
      <c r="G156" s="1"/>
      <c r="I156">
        <v>8</v>
      </c>
      <c r="J156" s="26">
        <f t="shared" si="129"/>
        <v>19206.78305556843</v>
      </c>
      <c r="K156" s="24">
        <f t="shared" si="130"/>
        <v>2722.897292085283</v>
      </c>
      <c r="L156" s="24">
        <f t="shared" si="131"/>
        <v>2716.5122770640096</v>
      </c>
      <c r="M156" s="24">
        <f t="shared" si="132"/>
        <v>2956.7570025463806</v>
      </c>
      <c r="N156" s="48"/>
      <c r="O156" s="32">
        <f t="shared" si="106"/>
        <v>10082.99055914864</v>
      </c>
      <c r="P156" s="32">
        <f t="shared" si="114"/>
        <v>3118.7609107775006</v>
      </c>
      <c r="Q156" s="32">
        <f t="shared" si="115"/>
        <v>6964.2296483711398</v>
      </c>
      <c r="R156" s="45">
        <f t="shared" si="119"/>
        <v>741538.38893822907</v>
      </c>
      <c r="S156" s="31">
        <f t="shared" si="107"/>
        <v>7691.8555730952557</v>
      </c>
      <c r="T156" s="32">
        <f t="shared" si="133"/>
        <v>2307.5566719285766</v>
      </c>
      <c r="U156" s="32">
        <f t="shared" si="108"/>
        <v>-1579.9307472044602</v>
      </c>
      <c r="V156" s="32">
        <v>0</v>
      </c>
      <c r="W156" s="32">
        <f t="shared" si="109"/>
        <v>4093.33853240593</v>
      </c>
      <c r="X156" s="32">
        <f t="shared" si="134"/>
        <v>2170.784819153941</v>
      </c>
      <c r="Y156" s="102">
        <f t="shared" si="116"/>
        <v>-159008.25011938848</v>
      </c>
      <c r="Z156" s="32">
        <f t="shared" si="120"/>
        <v>-191089.89258651828</v>
      </c>
      <c r="AA156" s="45">
        <f t="shared" si="121"/>
        <v>-191089.89258651834</v>
      </c>
      <c r="AB156" s="1"/>
      <c r="AC156" s="40">
        <f t="shared" si="110"/>
        <v>10810.616483872756</v>
      </c>
      <c r="AD156" s="40">
        <f t="shared" si="135"/>
        <v>3243.1849451618268</v>
      </c>
      <c r="AE156" s="40">
        <f t="shared" si="111"/>
        <v>7567.4315387109291</v>
      </c>
      <c r="AF156" s="40">
        <f t="shared" si="112"/>
        <v>0</v>
      </c>
      <c r="AG156" s="40">
        <f t="shared" si="113"/>
        <v>13240.70081832132</v>
      </c>
      <c r="AH156" s="40">
        <f t="shared" si="136"/>
        <v>7021.8263414624207</v>
      </c>
      <c r="AI156" s="106">
        <f t="shared" si="122"/>
        <v>-575738.89391434332</v>
      </c>
      <c r="AJ156" s="40">
        <f t="shared" si="117"/>
        <v>1333798.9135814877</v>
      </c>
      <c r="AK156" s="108">
        <f t="shared" si="118"/>
        <v>-194029.38761894917</v>
      </c>
    </row>
    <row r="157" spans="6:37">
      <c r="G157" s="1"/>
      <c r="I157">
        <v>9</v>
      </c>
      <c r="J157" s="26">
        <f t="shared" si="129"/>
        <v>17126.048224548518</v>
      </c>
      <c r="K157" s="24">
        <f t="shared" si="130"/>
        <v>2722.897292085283</v>
      </c>
      <c r="L157" s="24">
        <f t="shared" si="131"/>
        <v>2716.5122770640096</v>
      </c>
      <c r="M157" s="24">
        <f t="shared" si="132"/>
        <v>2956.7570025463806</v>
      </c>
      <c r="N157" s="48"/>
      <c r="O157" s="32">
        <f t="shared" si="106"/>
        <v>10082.99055914864</v>
      </c>
      <c r="P157" s="32">
        <f t="shared" si="114"/>
        <v>3089.7432872426211</v>
      </c>
      <c r="Q157" s="32">
        <f t="shared" si="115"/>
        <v>6993.2472719060188</v>
      </c>
      <c r="R157" s="45">
        <f t="shared" si="119"/>
        <v>734545.14166632306</v>
      </c>
      <c r="S157" s="31">
        <f t="shared" si="107"/>
        <v>5640.1383656102225</v>
      </c>
      <c r="T157" s="32">
        <f t="shared" si="133"/>
        <v>1692.0415096830668</v>
      </c>
      <c r="U157" s="32">
        <f t="shared" si="108"/>
        <v>-3045.1504159788628</v>
      </c>
      <c r="V157" s="32">
        <v>0</v>
      </c>
      <c r="W157" s="32">
        <f t="shared" si="109"/>
        <v>2628.1188636315273</v>
      </c>
      <c r="X157" s="32">
        <f t="shared" si="134"/>
        <v>1393.7475454174487</v>
      </c>
      <c r="Y157" s="102">
        <f t="shared" si="116"/>
        <v>-157614.50257397103</v>
      </c>
      <c r="Z157" s="32">
        <f t="shared" si="120"/>
        <v>-188461.77372288675</v>
      </c>
      <c r="AA157" s="45">
        <f t="shared" si="121"/>
        <v>-188461.77372288681</v>
      </c>
      <c r="AB157" s="1"/>
      <c r="AC157" s="40">
        <f t="shared" si="110"/>
        <v>8729.8816528528441</v>
      </c>
      <c r="AD157" s="40">
        <f t="shared" si="135"/>
        <v>2618.9644958558533</v>
      </c>
      <c r="AE157" s="40">
        <f t="shared" si="111"/>
        <v>6110.9171569969913</v>
      </c>
      <c r="AF157" s="40">
        <f t="shared" si="112"/>
        <v>0</v>
      </c>
      <c r="AG157" s="40">
        <f t="shared" si="113"/>
        <v>11784.186436607382</v>
      </c>
      <c r="AH157" s="40">
        <f t="shared" si="136"/>
        <v>6249.4056673175892</v>
      </c>
      <c r="AI157" s="106">
        <f t="shared" si="122"/>
        <v>-569489.48824702576</v>
      </c>
      <c r="AJ157" s="40">
        <f t="shared" si="117"/>
        <v>1345583.100018095</v>
      </c>
      <c r="AK157" s="108">
        <f t="shared" si="118"/>
        <v>-182245.20118234179</v>
      </c>
    </row>
    <row r="158" spans="6:37">
      <c r="G158" s="1"/>
      <c r="I158">
        <v>10</v>
      </c>
      <c r="J158" s="26">
        <f t="shared" si="129"/>
        <v>11908.205494452428</v>
      </c>
      <c r="K158" s="24">
        <f t="shared" si="130"/>
        <v>2722.897292085283</v>
      </c>
      <c r="L158" s="24">
        <f t="shared" si="131"/>
        <v>2716.5122770640096</v>
      </c>
      <c r="M158" s="24">
        <f t="shared" si="132"/>
        <v>2956.7570025463806</v>
      </c>
      <c r="N158" s="48"/>
      <c r="O158" s="32">
        <f t="shared" si="106"/>
        <v>10082.99055914864</v>
      </c>
      <c r="P158" s="32">
        <f t="shared" si="114"/>
        <v>3060.6047569430129</v>
      </c>
      <c r="Q158" s="32">
        <f t="shared" si="115"/>
        <v>7022.3858022056274</v>
      </c>
      <c r="R158" s="45">
        <f t="shared" si="119"/>
        <v>727522.75586411741</v>
      </c>
      <c r="S158" s="31">
        <f t="shared" si="107"/>
        <v>451.4341658137414</v>
      </c>
      <c r="T158" s="32">
        <f t="shared" si="133"/>
        <v>135.43024974412242</v>
      </c>
      <c r="U158" s="32">
        <f t="shared" si="108"/>
        <v>-6706.3818861360087</v>
      </c>
      <c r="V158" s="32">
        <v>0</v>
      </c>
      <c r="W158" s="32">
        <f t="shared" si="109"/>
        <v>-1033.1126065256185</v>
      </c>
      <c r="X158" s="32">
        <f t="shared" si="134"/>
        <v>-547.88167286134683</v>
      </c>
      <c r="Y158" s="102">
        <f t="shared" si="116"/>
        <v>-158162.38424683237</v>
      </c>
      <c r="Z158" s="32">
        <f t="shared" si="120"/>
        <v>-189494.88632941237</v>
      </c>
      <c r="AA158" s="45">
        <f t="shared" si="121"/>
        <v>-189494.88632941243</v>
      </c>
      <c r="AB158" s="1"/>
      <c r="AC158" s="40">
        <f t="shared" si="110"/>
        <v>3512.0389227567543</v>
      </c>
      <c r="AD158" s="40">
        <f t="shared" si="135"/>
        <v>1053.6116768270263</v>
      </c>
      <c r="AE158" s="40">
        <f t="shared" si="111"/>
        <v>2458.4272459297281</v>
      </c>
      <c r="AF158" s="40">
        <f t="shared" si="112"/>
        <v>0</v>
      </c>
      <c r="AG158" s="40">
        <f t="shared" si="113"/>
        <v>8131.6965255401192</v>
      </c>
      <c r="AH158" s="40">
        <f t="shared" si="136"/>
        <v>4312.4122844620861</v>
      </c>
      <c r="AI158" s="106">
        <f t="shared" si="122"/>
        <v>-565177.07596256363</v>
      </c>
      <c r="AJ158" s="40">
        <f t="shared" si="117"/>
        <v>1353714.7965436352</v>
      </c>
      <c r="AK158" s="108">
        <f t="shared" si="118"/>
        <v>-174113.50465680167</v>
      </c>
    </row>
    <row r="159" spans="6:37">
      <c r="G159" s="1"/>
      <c r="I159">
        <v>11</v>
      </c>
      <c r="J159" s="26">
        <f t="shared" si="129"/>
        <v>6466.283628708039</v>
      </c>
      <c r="K159" s="24">
        <f t="shared" si="130"/>
        <v>2722.897292085283</v>
      </c>
      <c r="L159" s="24">
        <f t="shared" si="131"/>
        <v>2716.5122770640096</v>
      </c>
      <c r="M159" s="24">
        <f t="shared" si="132"/>
        <v>2956.7570025463806</v>
      </c>
      <c r="N159" s="48"/>
      <c r="O159" s="32">
        <f t="shared" si="106"/>
        <v>10082.99055914864</v>
      </c>
      <c r="P159" s="32">
        <f t="shared" si="114"/>
        <v>3031.344816100489</v>
      </c>
      <c r="Q159" s="32">
        <f t="shared" si="115"/>
        <v>7051.6457430481514</v>
      </c>
      <c r="R159" s="45">
        <f t="shared" si="119"/>
        <v>720471.11012106924</v>
      </c>
      <c r="S159" s="31">
        <f t="shared" si="107"/>
        <v>-4961.2277590881231</v>
      </c>
      <c r="T159" s="32">
        <f t="shared" si="133"/>
        <v>-1488.368327726437</v>
      </c>
      <c r="U159" s="32">
        <f t="shared" si="108"/>
        <v>-10524.505174409838</v>
      </c>
      <c r="V159" s="32">
        <v>0</v>
      </c>
      <c r="W159" s="32">
        <f t="shared" si="109"/>
        <v>-4851.2358947994471</v>
      </c>
      <c r="X159" s="32">
        <f t="shared" si="134"/>
        <v>-2572.7139720289774</v>
      </c>
      <c r="Y159" s="102">
        <f t="shared" si="116"/>
        <v>-160735.09821886136</v>
      </c>
      <c r="Z159" s="32">
        <f t="shared" si="120"/>
        <v>-194346.12222421181</v>
      </c>
      <c r="AA159" s="45">
        <f t="shared" si="121"/>
        <v>-194346.12222421187</v>
      </c>
      <c r="AB159" s="1"/>
      <c r="AC159" s="40">
        <f t="shared" si="110"/>
        <v>-1929.8829429876341</v>
      </c>
      <c r="AD159" s="40">
        <f t="shared" si="135"/>
        <v>-578.96488289629019</v>
      </c>
      <c r="AE159" s="40">
        <f t="shared" si="111"/>
        <v>-1350.9180600913439</v>
      </c>
      <c r="AF159" s="40">
        <f t="shared" si="112"/>
        <v>0</v>
      </c>
      <c r="AG159" s="40">
        <f t="shared" si="113"/>
        <v>4322.351219519046</v>
      </c>
      <c r="AH159" s="40">
        <f t="shared" si="136"/>
        <v>2292.2351366986773</v>
      </c>
      <c r="AI159" s="106">
        <f t="shared" si="122"/>
        <v>-562884.84082586493</v>
      </c>
      <c r="AJ159" s="40">
        <f t="shared" si="117"/>
        <v>1358037.1477631542</v>
      </c>
      <c r="AK159" s="108">
        <f t="shared" si="118"/>
        <v>-169791.15343728263</v>
      </c>
    </row>
    <row r="160" spans="6:37">
      <c r="G160" s="1"/>
      <c r="I160">
        <v>12</v>
      </c>
      <c r="J160" s="26">
        <f t="shared" si="129"/>
        <v>5441.9218657443889</v>
      </c>
      <c r="K160" s="24">
        <f t="shared" si="130"/>
        <v>2722.897292085283</v>
      </c>
      <c r="L160" s="24">
        <f t="shared" si="131"/>
        <v>2716.5122770640096</v>
      </c>
      <c r="M160" s="24">
        <f t="shared" si="132"/>
        <v>2956.7570025463806</v>
      </c>
      <c r="N160" s="48"/>
      <c r="O160" s="32">
        <f t="shared" si="106"/>
        <v>10082.99055914864</v>
      </c>
      <c r="P160" s="32">
        <f t="shared" si="114"/>
        <v>3001.9629588377884</v>
      </c>
      <c r="Q160" s="32">
        <f t="shared" si="115"/>
        <v>7081.027600310852</v>
      </c>
      <c r="R160" s="45">
        <f t="shared" si="119"/>
        <v>713390.08252075838</v>
      </c>
      <c r="S160" s="31">
        <f t="shared" si="107"/>
        <v>-5956.2076647890726</v>
      </c>
      <c r="T160" s="32">
        <f t="shared" si="133"/>
        <v>-1786.8622994367217</v>
      </c>
      <c r="U160" s="32">
        <f t="shared" si="108"/>
        <v>-11250.372965663202</v>
      </c>
      <c r="V160" s="32">
        <v>0</v>
      </c>
      <c r="W160" s="32">
        <f t="shared" si="109"/>
        <v>-5577.1036860528111</v>
      </c>
      <c r="X160" s="32">
        <f t="shared" si="134"/>
        <v>-2957.6571594763782</v>
      </c>
      <c r="Y160" s="102">
        <f t="shared" si="116"/>
        <v>-163692.75537833772</v>
      </c>
      <c r="Z160" s="32">
        <f t="shared" si="120"/>
        <v>-199923.22591026462</v>
      </c>
      <c r="AA160" s="45">
        <f t="shared" si="121"/>
        <v>-199923.22591026468</v>
      </c>
      <c r="AB160" s="1"/>
      <c r="AC160" s="40">
        <f t="shared" si="110"/>
        <v>-2954.2447059512842</v>
      </c>
      <c r="AD160" s="40">
        <f t="shared" si="135"/>
        <v>-886.27341178538529</v>
      </c>
      <c r="AE160" s="40">
        <f t="shared" si="111"/>
        <v>-2067.9712941658991</v>
      </c>
      <c r="AF160" s="40">
        <f t="shared" si="112"/>
        <v>0</v>
      </c>
      <c r="AG160" s="40">
        <f t="shared" si="113"/>
        <v>3605.2979854444911</v>
      </c>
      <c r="AH160" s="40">
        <f t="shared" si="136"/>
        <v>1911.9664971196826</v>
      </c>
      <c r="AI160" s="106">
        <f t="shared" si="122"/>
        <v>-560972.8743287453</v>
      </c>
      <c r="AJ160" s="40">
        <f t="shared" si="117"/>
        <v>1361642.4457485988</v>
      </c>
      <c r="AK160" s="108">
        <f t="shared" si="118"/>
        <v>-166185.85545183814</v>
      </c>
    </row>
    <row r="161" spans="6:37">
      <c r="F161" s="132" t="s">
        <v>88</v>
      </c>
      <c r="G161" s="1">
        <f>SUM(S161:S172)</f>
        <v>44933.670653014851</v>
      </c>
      <c r="H161">
        <v>2028</v>
      </c>
      <c r="I161">
        <v>1</v>
      </c>
      <c r="J161" s="26">
        <f t="shared" ref="J161:J172" si="137">C23*$C$51*$D$51</f>
        <v>5850.827874736422</v>
      </c>
      <c r="K161" s="24">
        <f t="shared" ref="K161:K172" si="138">$K$160*$C$8</f>
        <v>2804.5842108478414</v>
      </c>
      <c r="L161" s="24">
        <f t="shared" ref="L161:L172" si="139">(($C$5-SUM($L$5:$L$160))*0.15)/12</f>
        <v>2309.0354355044224</v>
      </c>
      <c r="M161" s="24">
        <f t="shared" ref="M161:M172" si="140">(($C$9-SUM($M$125:$M$160))*0.15)/12</f>
        <v>2513.2434521644232</v>
      </c>
      <c r="N161" s="48"/>
      <c r="O161" s="32">
        <f t="shared" si="106"/>
        <v>10082.99055914864</v>
      </c>
      <c r="P161" s="32">
        <f t="shared" si="114"/>
        <v>2972.4586771698264</v>
      </c>
      <c r="Q161" s="32">
        <f t="shared" si="115"/>
        <v>7110.5318819788135</v>
      </c>
      <c r="R161" s="45">
        <f t="shared" si="119"/>
        <v>706279.55063877953</v>
      </c>
      <c r="S161" s="31">
        <f t="shared" si="107"/>
        <v>-4748.4939009500913</v>
      </c>
      <c r="T161" s="32">
        <f t="shared" ref="T161:T196" si="141">S161*$C$62</f>
        <v>-1424.5481702850273</v>
      </c>
      <c r="U161" s="32">
        <f t="shared" si="108"/>
        <v>-10434.477612643877</v>
      </c>
      <c r="V161" s="32">
        <v>0</v>
      </c>
      <c r="W161" s="32">
        <f t="shared" si="109"/>
        <v>-5612.1987249750327</v>
      </c>
      <c r="X161" s="32">
        <f t="shared" ref="X161:X172" si="142">W161/(1+$C$18)^14</f>
        <v>-2834.5417218272005</v>
      </c>
      <c r="Y161" s="102">
        <f t="shared" si="116"/>
        <v>-166527.29710016493</v>
      </c>
      <c r="Z161" s="32">
        <f t="shared" si="120"/>
        <v>-205535.42463523964</v>
      </c>
      <c r="AA161" s="45">
        <f t="shared" si="121"/>
        <v>-205535.4246352397</v>
      </c>
      <c r="AB161" s="1"/>
      <c r="AC161" s="40">
        <f t="shared" si="110"/>
        <v>-1776.0352237802649</v>
      </c>
      <c r="AD161" s="40">
        <f t="shared" ref="AD161:AD196" si="143">AC161*$C$62</f>
        <v>-532.81056713407941</v>
      </c>
      <c r="AE161" s="40">
        <f t="shared" si="111"/>
        <v>-1243.2246566461854</v>
      </c>
      <c r="AF161" s="40">
        <f t="shared" si="112"/>
        <v>0</v>
      </c>
      <c r="AG161" s="40">
        <f t="shared" si="113"/>
        <v>3579.0542310226601</v>
      </c>
      <c r="AH161" s="40">
        <f t="shared" ref="AH161:AH172" si="144">AG161/(1+$C$18)^14</f>
        <v>1807.6655941225658</v>
      </c>
      <c r="AI161" s="106">
        <f t="shared" si="122"/>
        <v>-559165.20873462269</v>
      </c>
      <c r="AJ161" s="40">
        <f t="shared" si="117"/>
        <v>1365221.4999796215</v>
      </c>
      <c r="AK161" s="108">
        <f t="shared" si="118"/>
        <v>-162606.80122081548</v>
      </c>
    </row>
    <row r="162" spans="6:37">
      <c r="F162" s="17" t="s">
        <v>31</v>
      </c>
      <c r="G162">
        <v>14</v>
      </c>
      <c r="I162">
        <v>2</v>
      </c>
      <c r="J162" s="26">
        <f t="shared" si="137"/>
        <v>8954.0293994585027</v>
      </c>
      <c r="K162" s="24">
        <f t="shared" si="138"/>
        <v>2804.5842108478414</v>
      </c>
      <c r="L162" s="24">
        <f t="shared" si="139"/>
        <v>2309.0354355044224</v>
      </c>
      <c r="M162" s="24">
        <f t="shared" si="140"/>
        <v>2513.2434521644232</v>
      </c>
      <c r="N162" s="48"/>
      <c r="O162" s="32">
        <f t="shared" si="106"/>
        <v>10082.99055914864</v>
      </c>
      <c r="P162" s="32">
        <f t="shared" si="114"/>
        <v>2942.8314609949148</v>
      </c>
      <c r="Q162" s="32">
        <f t="shared" si="115"/>
        <v>7140.1590981537256</v>
      </c>
      <c r="R162" s="45">
        <f t="shared" si="119"/>
        <v>699139.39154062583</v>
      </c>
      <c r="S162" s="31">
        <f t="shared" si="107"/>
        <v>-1615.6651600530986</v>
      </c>
      <c r="T162" s="32">
        <f t="shared" si="141"/>
        <v>-484.69954801592957</v>
      </c>
      <c r="U162" s="32">
        <f t="shared" si="108"/>
        <v>-8271.1247101908939</v>
      </c>
      <c r="V162" s="32">
        <v>0</v>
      </c>
      <c r="W162" s="32">
        <f t="shared" si="109"/>
        <v>-3448.8458225220488</v>
      </c>
      <c r="X162" s="32">
        <f t="shared" si="142"/>
        <v>-1741.9014997783577</v>
      </c>
      <c r="Y162" s="102">
        <f t="shared" si="116"/>
        <v>-168269.19859994328</v>
      </c>
      <c r="Z162" s="32">
        <f t="shared" si="120"/>
        <v>-208984.27045776168</v>
      </c>
      <c r="AA162" s="45">
        <f t="shared" si="121"/>
        <v>-208984.27045776174</v>
      </c>
      <c r="AB162" s="1"/>
      <c r="AC162" s="40">
        <f t="shared" si="110"/>
        <v>1327.1663009418162</v>
      </c>
      <c r="AD162" s="40">
        <f t="shared" si="143"/>
        <v>398.14989028254485</v>
      </c>
      <c r="AE162" s="40">
        <f t="shared" si="111"/>
        <v>929.01641065927129</v>
      </c>
      <c r="AF162" s="40">
        <f t="shared" si="112"/>
        <v>0</v>
      </c>
      <c r="AG162" s="40">
        <f t="shared" si="113"/>
        <v>5751.2952983281175</v>
      </c>
      <c r="AH162" s="40">
        <f t="shared" si="144"/>
        <v>2904.7949433993344</v>
      </c>
      <c r="AI162" s="106">
        <f t="shared" si="122"/>
        <v>-556260.41379122331</v>
      </c>
      <c r="AJ162" s="40">
        <f t="shared" si="117"/>
        <v>1370972.7952779497</v>
      </c>
      <c r="AK162" s="108">
        <f t="shared" si="118"/>
        <v>-156855.50592248735</v>
      </c>
    </row>
    <row r="163" spans="6:37">
      <c r="F163" s="13" t="s">
        <v>30</v>
      </c>
      <c r="G163" s="1">
        <v>0</v>
      </c>
      <c r="I163">
        <v>3</v>
      </c>
      <c r="J163" s="26">
        <f t="shared" si="137"/>
        <v>16049.370385672009</v>
      </c>
      <c r="K163" s="24">
        <f t="shared" si="138"/>
        <v>2804.5842108478414</v>
      </c>
      <c r="L163" s="24">
        <f t="shared" si="139"/>
        <v>2309.0354355044224</v>
      </c>
      <c r="M163" s="24">
        <f t="shared" si="140"/>
        <v>2513.2434521644232</v>
      </c>
      <c r="N163" s="48"/>
      <c r="O163" s="32">
        <f t="shared" si="106"/>
        <v>10082.99055914864</v>
      </c>
      <c r="P163" s="32">
        <f t="shared" si="114"/>
        <v>2913.0807980859408</v>
      </c>
      <c r="Q163" s="32">
        <f t="shared" si="115"/>
        <v>7169.9097610626995</v>
      </c>
      <c r="R163" s="45">
        <f t="shared" si="119"/>
        <v>691969.48177956312</v>
      </c>
      <c r="S163" s="31">
        <f t="shared" si="107"/>
        <v>5509.426489069383</v>
      </c>
      <c r="T163" s="32">
        <f t="shared" si="141"/>
        <v>1652.8279467208149</v>
      </c>
      <c r="U163" s="32">
        <f t="shared" si="108"/>
        <v>-3313.3112187141314</v>
      </c>
      <c r="V163" s="32">
        <v>0</v>
      </c>
      <c r="W163" s="32">
        <f t="shared" si="109"/>
        <v>1508.9676689547141</v>
      </c>
      <c r="X163" s="32">
        <f t="shared" si="142"/>
        <v>762.13121169537715</v>
      </c>
      <c r="Y163" s="102">
        <f t="shared" si="116"/>
        <v>-167507.0673882479</v>
      </c>
      <c r="Z163" s="32">
        <f t="shared" si="120"/>
        <v>-207475.30278880696</v>
      </c>
      <c r="AA163" s="45">
        <f t="shared" si="121"/>
        <v>-207475.30278880702</v>
      </c>
      <c r="AB163" s="1"/>
      <c r="AC163" s="40">
        <f t="shared" si="110"/>
        <v>8422.5072871553239</v>
      </c>
      <c r="AD163" s="40">
        <f t="shared" si="143"/>
        <v>2526.7521861465971</v>
      </c>
      <c r="AE163" s="40">
        <f t="shared" si="111"/>
        <v>5895.7551010087263</v>
      </c>
      <c r="AF163" s="40">
        <f t="shared" si="112"/>
        <v>0</v>
      </c>
      <c r="AG163" s="40">
        <f t="shared" si="113"/>
        <v>10718.033988677571</v>
      </c>
      <c r="AH163" s="40">
        <f t="shared" si="144"/>
        <v>5413.3354867977769</v>
      </c>
      <c r="AI163" s="106">
        <f t="shared" si="122"/>
        <v>-550847.07830442558</v>
      </c>
      <c r="AJ163" s="40">
        <f t="shared" si="117"/>
        <v>1381690.8292666273</v>
      </c>
      <c r="AK163" s="108">
        <f t="shared" si="118"/>
        <v>-146137.47193380978</v>
      </c>
    </row>
    <row r="164" spans="6:37">
      <c r="F164" s="18" t="s">
        <v>39</v>
      </c>
      <c r="G164" s="1">
        <f>G161</f>
        <v>44933.670653014851</v>
      </c>
      <c r="I164">
        <v>4</v>
      </c>
      <c r="J164" s="26">
        <f t="shared" si="137"/>
        <v>18425.259053037353</v>
      </c>
      <c r="K164" s="24">
        <f t="shared" si="138"/>
        <v>2804.5842108478414</v>
      </c>
      <c r="L164" s="24">
        <f t="shared" si="139"/>
        <v>2309.0354355044224</v>
      </c>
      <c r="M164" s="24">
        <f t="shared" si="140"/>
        <v>2513.2434521644232</v>
      </c>
      <c r="N164" s="48"/>
      <c r="O164" s="32">
        <f t="shared" si="106"/>
        <v>10082.99055914864</v>
      </c>
      <c r="P164" s="32">
        <f t="shared" si="114"/>
        <v>2883.2061740815129</v>
      </c>
      <c r="Q164" s="32">
        <f t="shared" si="115"/>
        <v>7199.784385067127</v>
      </c>
      <c r="R164" s="45">
        <f t="shared" si="119"/>
        <v>684769.69739449595</v>
      </c>
      <c r="S164" s="31">
        <f t="shared" si="107"/>
        <v>7915.1897804391538</v>
      </c>
      <c r="T164" s="32">
        <f t="shared" si="141"/>
        <v>2374.5569341317459</v>
      </c>
      <c r="U164" s="32">
        <f t="shared" si="108"/>
        <v>-1659.1515387597192</v>
      </c>
      <c r="V164" s="32">
        <v>0</v>
      </c>
      <c r="W164" s="32">
        <f t="shared" si="109"/>
        <v>3163.1273489091263</v>
      </c>
      <c r="X164" s="32">
        <f t="shared" si="142"/>
        <v>1597.5942551776748</v>
      </c>
      <c r="Y164" s="102">
        <f t="shared" si="116"/>
        <v>-165909.47313307022</v>
      </c>
      <c r="Z164" s="32">
        <f t="shared" si="120"/>
        <v>-204312.17543989784</v>
      </c>
      <c r="AA164" s="45">
        <f t="shared" si="121"/>
        <v>-204312.1754398979</v>
      </c>
      <c r="AB164" s="1"/>
      <c r="AC164" s="40">
        <f t="shared" si="110"/>
        <v>10798.395954520667</v>
      </c>
      <c r="AD164" s="40">
        <f t="shared" si="143"/>
        <v>3239.5187863562001</v>
      </c>
      <c r="AE164" s="40">
        <f t="shared" si="111"/>
        <v>7558.8771681644666</v>
      </c>
      <c r="AF164" s="40">
        <f t="shared" si="112"/>
        <v>0</v>
      </c>
      <c r="AG164" s="40">
        <f t="shared" si="113"/>
        <v>12381.156055833311</v>
      </c>
      <c r="AH164" s="40">
        <f t="shared" si="144"/>
        <v>6253.3251448378023</v>
      </c>
      <c r="AI164" s="106">
        <f t="shared" si="122"/>
        <v>-544593.75315958774</v>
      </c>
      <c r="AJ164" s="40">
        <f t="shared" si="117"/>
        <v>1394071.9853224605</v>
      </c>
      <c r="AK164" s="108">
        <f t="shared" si="118"/>
        <v>-133756.31587797648</v>
      </c>
    </row>
    <row r="165" spans="6:37">
      <c r="F165" s="16" t="s">
        <v>90</v>
      </c>
      <c r="G165" s="129">
        <f>$C$62</f>
        <v>0.3</v>
      </c>
      <c r="I165">
        <v>5</v>
      </c>
      <c r="J165" s="26">
        <f t="shared" si="137"/>
        <v>19071.759370687785</v>
      </c>
      <c r="K165" s="24">
        <f t="shared" si="138"/>
        <v>2804.5842108478414</v>
      </c>
      <c r="L165" s="24">
        <f t="shared" si="139"/>
        <v>2309.0354355044224</v>
      </c>
      <c r="M165" s="24">
        <f t="shared" si="140"/>
        <v>2513.2434521644232</v>
      </c>
      <c r="N165" s="48"/>
      <c r="O165" s="32">
        <f t="shared" si="106"/>
        <v>10082.99055914864</v>
      </c>
      <c r="P165" s="32">
        <f t="shared" si="114"/>
        <v>2853.2070724770665</v>
      </c>
      <c r="Q165" s="32">
        <f t="shared" si="115"/>
        <v>7229.7834866715739</v>
      </c>
      <c r="R165" s="45">
        <f t="shared" si="119"/>
        <v>677539.91390782432</v>
      </c>
      <c r="S165" s="31">
        <f t="shared" si="107"/>
        <v>8591.6891996940321</v>
      </c>
      <c r="T165" s="32">
        <f t="shared" si="141"/>
        <v>2577.5067599082095</v>
      </c>
      <c r="U165" s="32">
        <f t="shared" si="108"/>
        <v>-1215.6010468857512</v>
      </c>
      <c r="V165" s="32">
        <v>0</v>
      </c>
      <c r="W165" s="32">
        <f t="shared" si="109"/>
        <v>3606.6778407830943</v>
      </c>
      <c r="X165" s="32">
        <f t="shared" si="142"/>
        <v>1821.6173941586153</v>
      </c>
      <c r="Y165" s="102">
        <f t="shared" si="116"/>
        <v>-164087.8557389116</v>
      </c>
      <c r="Z165" s="32">
        <f t="shared" si="120"/>
        <v>-200705.49759911475</v>
      </c>
      <c r="AA165" s="45">
        <f t="shared" si="121"/>
        <v>-200705.49759911481</v>
      </c>
      <c r="AB165" s="1"/>
      <c r="AC165" s="40">
        <f t="shared" si="110"/>
        <v>11444.8962721711</v>
      </c>
      <c r="AD165" s="40">
        <f t="shared" si="143"/>
        <v>3433.4688816513299</v>
      </c>
      <c r="AE165" s="40">
        <f t="shared" si="111"/>
        <v>8011.4273905197697</v>
      </c>
      <c r="AF165" s="40">
        <f t="shared" si="112"/>
        <v>0</v>
      </c>
      <c r="AG165" s="40">
        <f t="shared" si="113"/>
        <v>12833.706278188614</v>
      </c>
      <c r="AH165" s="40">
        <f t="shared" si="144"/>
        <v>6481.8937592704624</v>
      </c>
      <c r="AI165" s="106">
        <f t="shared" si="122"/>
        <v>-538111.85940031731</v>
      </c>
      <c r="AJ165" s="40">
        <f t="shared" si="117"/>
        <v>1406905.6916006492</v>
      </c>
      <c r="AK165" s="108">
        <f t="shared" si="118"/>
        <v>-120922.60959978786</v>
      </c>
    </row>
    <row r="166" spans="6:37">
      <c r="G166" s="1"/>
      <c r="I166">
        <v>6</v>
      </c>
      <c r="J166" s="26">
        <f t="shared" si="137"/>
        <v>19879.884767750824</v>
      </c>
      <c r="K166" s="24">
        <f t="shared" si="138"/>
        <v>2804.5842108478414</v>
      </c>
      <c r="L166" s="24">
        <f t="shared" si="139"/>
        <v>2309.0354355044224</v>
      </c>
      <c r="M166" s="24">
        <f t="shared" si="140"/>
        <v>2513.2434521644232</v>
      </c>
      <c r="N166" s="48"/>
      <c r="O166" s="32">
        <f t="shared" si="106"/>
        <v>10082.99055914864</v>
      </c>
      <c r="P166" s="32">
        <f t="shared" si="114"/>
        <v>2823.0829746159347</v>
      </c>
      <c r="Q166" s="32">
        <f t="shared" si="115"/>
        <v>7259.9075845327061</v>
      </c>
      <c r="R166" s="45">
        <f t="shared" si="119"/>
        <v>670280.00632329157</v>
      </c>
      <c r="S166" s="31">
        <f t="shared" si="107"/>
        <v>9429.9386946182021</v>
      </c>
      <c r="T166" s="32">
        <f t="shared" si="141"/>
        <v>2828.9816083854607</v>
      </c>
      <c r="U166" s="32">
        <f t="shared" si="108"/>
        <v>-658.95049829996424</v>
      </c>
      <c r="V166" s="32">
        <v>0</v>
      </c>
      <c r="W166" s="32">
        <f t="shared" si="109"/>
        <v>4163.3283893688813</v>
      </c>
      <c r="X166" s="32">
        <f t="shared" si="142"/>
        <v>2102.7637472666715</v>
      </c>
      <c r="Y166" s="102">
        <f t="shared" si="116"/>
        <v>-161985.09199164493</v>
      </c>
      <c r="Z166" s="32">
        <f t="shared" si="120"/>
        <v>-196542.16920974586</v>
      </c>
      <c r="AA166" s="45">
        <f t="shared" si="121"/>
        <v>-196542.16920974592</v>
      </c>
      <c r="AB166" s="1"/>
      <c r="AC166" s="40">
        <f t="shared" si="110"/>
        <v>12253.021669234136</v>
      </c>
      <c r="AD166" s="40">
        <f t="shared" si="143"/>
        <v>3675.9065007702407</v>
      </c>
      <c r="AE166" s="40">
        <f t="shared" si="111"/>
        <v>8577.1151684638953</v>
      </c>
      <c r="AF166" s="40">
        <f t="shared" si="112"/>
        <v>0</v>
      </c>
      <c r="AG166" s="40">
        <f t="shared" si="113"/>
        <v>13399.39405613274</v>
      </c>
      <c r="AH166" s="40">
        <f t="shared" si="144"/>
        <v>6767.604527311285</v>
      </c>
      <c r="AI166" s="106">
        <f t="shared" si="122"/>
        <v>-531344.25487300602</v>
      </c>
      <c r="AJ166" s="40">
        <f t="shared" si="117"/>
        <v>1420305.0856567819</v>
      </c>
      <c r="AK166" s="108">
        <f t="shared" si="118"/>
        <v>-107523.21554365513</v>
      </c>
    </row>
    <row r="167" spans="6:37">
      <c r="G167" s="1"/>
      <c r="I167">
        <v>7</v>
      </c>
      <c r="J167" s="26">
        <f t="shared" si="137"/>
        <v>21172.885403051692</v>
      </c>
      <c r="K167" s="24">
        <f t="shared" si="138"/>
        <v>2804.5842108478414</v>
      </c>
      <c r="L167" s="24">
        <f t="shared" si="139"/>
        <v>2309.0354355044224</v>
      </c>
      <c r="M167" s="24">
        <f t="shared" si="140"/>
        <v>2513.2434521644232</v>
      </c>
      <c r="N167" s="48"/>
      <c r="O167" s="32">
        <f t="shared" si="106"/>
        <v>10082.99055914864</v>
      </c>
      <c r="P167" s="32">
        <f t="shared" si="114"/>
        <v>2792.8333596803814</v>
      </c>
      <c r="Q167" s="32">
        <f t="shared" si="115"/>
        <v>7290.157199468259</v>
      </c>
      <c r="R167" s="45">
        <f t="shared" si="119"/>
        <v>662989.84912382334</v>
      </c>
      <c r="S167" s="31">
        <f t="shared" si="107"/>
        <v>10753.188944854624</v>
      </c>
      <c r="T167" s="32">
        <f t="shared" si="141"/>
        <v>3225.9566834563871</v>
      </c>
      <c r="U167" s="32">
        <f t="shared" si="108"/>
        <v>237.07506192997789</v>
      </c>
      <c r="V167" s="32">
        <v>0</v>
      </c>
      <c r="W167" s="32">
        <f t="shared" si="109"/>
        <v>5059.3539495988234</v>
      </c>
      <c r="X167" s="32">
        <f t="shared" si="142"/>
        <v>2555.3175428036711</v>
      </c>
      <c r="Y167" s="102">
        <f t="shared" si="116"/>
        <v>-159429.77444884126</v>
      </c>
      <c r="Z167" s="32">
        <f t="shared" si="120"/>
        <v>-191482.81526014704</v>
      </c>
      <c r="AA167" s="45">
        <f t="shared" si="121"/>
        <v>-191482.81526014709</v>
      </c>
      <c r="AB167" s="1"/>
      <c r="AC167" s="40">
        <f t="shared" si="110"/>
        <v>13546.022304535005</v>
      </c>
      <c r="AD167" s="40">
        <f t="shared" si="143"/>
        <v>4063.8066913605012</v>
      </c>
      <c r="AE167" s="40">
        <f t="shared" si="111"/>
        <v>9482.2156131745032</v>
      </c>
      <c r="AF167" s="40">
        <f t="shared" si="112"/>
        <v>0</v>
      </c>
      <c r="AG167" s="40">
        <f t="shared" si="113"/>
        <v>14304.494500843348</v>
      </c>
      <c r="AH167" s="40">
        <f t="shared" si="144"/>
        <v>7224.741756176606</v>
      </c>
      <c r="AI167" s="106">
        <f t="shared" si="122"/>
        <v>-524119.51311682939</v>
      </c>
      <c r="AJ167" s="40">
        <f t="shared" si="117"/>
        <v>1434609.5801576253</v>
      </c>
      <c r="AK167" s="108">
        <f t="shared" si="118"/>
        <v>-93218.721042811783</v>
      </c>
    </row>
    <row r="168" spans="6:37">
      <c r="G168" s="1"/>
      <c r="I168">
        <v>8</v>
      </c>
      <c r="J168" s="26">
        <f t="shared" si="137"/>
        <v>19395.009529513001</v>
      </c>
      <c r="K168" s="24">
        <f t="shared" si="138"/>
        <v>2804.5842108478414</v>
      </c>
      <c r="L168" s="24">
        <f t="shared" si="139"/>
        <v>2309.0354355044224</v>
      </c>
      <c r="M168" s="24">
        <f t="shared" si="140"/>
        <v>2513.2434521644232</v>
      </c>
      <c r="N168" s="48"/>
      <c r="O168" s="32">
        <f t="shared" si="106"/>
        <v>10082.99055914864</v>
      </c>
      <c r="P168" s="32">
        <f t="shared" si="114"/>
        <v>2762.4577046825971</v>
      </c>
      <c r="Q168" s="32">
        <f t="shared" si="115"/>
        <v>7320.5328544660433</v>
      </c>
      <c r="R168" s="45">
        <f t="shared" si="119"/>
        <v>655669.31626935734</v>
      </c>
      <c r="S168" s="31">
        <f t="shared" si="107"/>
        <v>9005.6887263137178</v>
      </c>
      <c r="T168" s="32">
        <f t="shared" si="141"/>
        <v>2701.7066178941154</v>
      </c>
      <c r="U168" s="32">
        <f t="shared" si="108"/>
        <v>-1016.5507460464414</v>
      </c>
      <c r="V168" s="32">
        <v>0</v>
      </c>
      <c r="W168" s="32">
        <f t="shared" si="109"/>
        <v>3805.7281416224041</v>
      </c>
      <c r="X168" s="32">
        <f t="shared" si="142"/>
        <v>1922.1513221466678</v>
      </c>
      <c r="Y168" s="102">
        <f t="shared" si="116"/>
        <v>-157507.62312669458</v>
      </c>
      <c r="Z168" s="32">
        <f t="shared" si="120"/>
        <v>-187677.08711852462</v>
      </c>
      <c r="AA168" s="45">
        <f t="shared" si="121"/>
        <v>-187677.08711852468</v>
      </c>
      <c r="AB168" s="1"/>
      <c r="AC168" s="40">
        <f t="shared" si="110"/>
        <v>11768.146430996314</v>
      </c>
      <c r="AD168" s="40">
        <f t="shared" si="143"/>
        <v>3530.4439292988941</v>
      </c>
      <c r="AE168" s="40">
        <f t="shared" si="111"/>
        <v>8237.7025016974203</v>
      </c>
      <c r="AF168" s="40">
        <f t="shared" si="112"/>
        <v>0</v>
      </c>
      <c r="AG168" s="40">
        <f t="shared" si="113"/>
        <v>13059.981389366265</v>
      </c>
      <c r="AH168" s="40">
        <f t="shared" si="144"/>
        <v>6596.178066486792</v>
      </c>
      <c r="AI168" s="106">
        <f t="shared" si="122"/>
        <v>-517523.3350503426</v>
      </c>
      <c r="AJ168" s="40">
        <f t="shared" si="117"/>
        <v>1447669.5615469916</v>
      </c>
      <c r="AK168" s="108">
        <f t="shared" si="118"/>
        <v>-80158.739653445518</v>
      </c>
    </row>
    <row r="169" spans="6:37">
      <c r="G169" s="1"/>
      <c r="I169">
        <v>9</v>
      </c>
      <c r="J169" s="26">
        <f t="shared" si="137"/>
        <v>17293.883497149091</v>
      </c>
      <c r="K169" s="24">
        <f t="shared" si="138"/>
        <v>2804.5842108478414</v>
      </c>
      <c r="L169" s="24">
        <f t="shared" si="139"/>
        <v>2309.0354355044224</v>
      </c>
      <c r="M169" s="24">
        <f t="shared" si="140"/>
        <v>2513.2434521644232</v>
      </c>
      <c r="N169" s="48"/>
      <c r="O169" s="32">
        <f t="shared" si="106"/>
        <v>10082.99055914864</v>
      </c>
      <c r="P169" s="32">
        <f t="shared" si="114"/>
        <v>2731.9554844556556</v>
      </c>
      <c r="Q169" s="32">
        <f t="shared" si="115"/>
        <v>7351.0350746929853</v>
      </c>
      <c r="R169" s="45">
        <f t="shared" si="119"/>
        <v>648318.28119466431</v>
      </c>
      <c r="S169" s="31">
        <f t="shared" si="107"/>
        <v>6935.0649141767499</v>
      </c>
      <c r="T169" s="32">
        <f t="shared" si="141"/>
        <v>2080.5194742530248</v>
      </c>
      <c r="U169" s="32">
        <f t="shared" si="108"/>
        <v>-2496.4896347692602</v>
      </c>
      <c r="V169" s="32">
        <v>0</v>
      </c>
      <c r="W169" s="32">
        <f t="shared" si="109"/>
        <v>2325.7892528995853</v>
      </c>
      <c r="X169" s="32">
        <f t="shared" si="142"/>
        <v>1174.6816170609707</v>
      </c>
      <c r="Y169" s="102">
        <f t="shared" si="116"/>
        <v>-156332.94150963362</v>
      </c>
      <c r="Z169" s="32">
        <f t="shared" si="120"/>
        <v>-185351.29786562503</v>
      </c>
      <c r="AA169" s="45">
        <f t="shared" si="121"/>
        <v>-185351.29786562509</v>
      </c>
      <c r="AB169" s="1"/>
      <c r="AC169" s="40">
        <f t="shared" si="110"/>
        <v>9667.020398632405</v>
      </c>
      <c r="AD169" s="40">
        <f t="shared" si="143"/>
        <v>2900.1061195897214</v>
      </c>
      <c r="AE169" s="40">
        <f t="shared" si="111"/>
        <v>6766.9142790426831</v>
      </c>
      <c r="AF169" s="40">
        <f t="shared" si="112"/>
        <v>0</v>
      </c>
      <c r="AG169" s="40">
        <f t="shared" si="113"/>
        <v>11589.193166711528</v>
      </c>
      <c r="AH169" s="40">
        <f t="shared" si="144"/>
        <v>5853.3300695806465</v>
      </c>
      <c r="AI169" s="106">
        <f t="shared" si="122"/>
        <v>-511670.00498076197</v>
      </c>
      <c r="AJ169" s="40">
        <f t="shared" si="117"/>
        <v>1459258.7547137032</v>
      </c>
      <c r="AK169" s="108">
        <f t="shared" si="118"/>
        <v>-68569.546486733991</v>
      </c>
    </row>
    <row r="170" spans="6:37">
      <c r="G170" s="1"/>
      <c r="I170">
        <v>10</v>
      </c>
      <c r="J170" s="26">
        <f t="shared" si="137"/>
        <v>12024.90590829806</v>
      </c>
      <c r="K170" s="24">
        <f t="shared" si="138"/>
        <v>2804.5842108478414</v>
      </c>
      <c r="L170" s="24">
        <f t="shared" si="139"/>
        <v>2309.0354355044224</v>
      </c>
      <c r="M170" s="24">
        <f t="shared" si="140"/>
        <v>2513.2434521644232</v>
      </c>
      <c r="N170" s="48"/>
      <c r="O170" s="32">
        <f t="shared" si="106"/>
        <v>10082.99055914864</v>
      </c>
      <c r="P170" s="32">
        <f t="shared" si="114"/>
        <v>2701.3261716444345</v>
      </c>
      <c r="Q170" s="32">
        <f t="shared" si="115"/>
        <v>7381.6643875042064</v>
      </c>
      <c r="R170" s="45">
        <f t="shared" si="119"/>
        <v>640936.61680716008</v>
      </c>
      <c r="S170" s="31">
        <f t="shared" si="107"/>
        <v>1696.7166381369402</v>
      </c>
      <c r="T170" s="32">
        <f t="shared" si="141"/>
        <v>509.01499144108203</v>
      </c>
      <c r="U170" s="32">
        <f t="shared" si="108"/>
        <v>-6193.9627408083479</v>
      </c>
      <c r="V170" s="32">
        <v>0</v>
      </c>
      <c r="W170" s="32">
        <f t="shared" si="109"/>
        <v>-1371.6838531395024</v>
      </c>
      <c r="X170" s="32">
        <f t="shared" si="142"/>
        <v>-692.79355586217434</v>
      </c>
      <c r="Y170" s="102">
        <f t="shared" si="116"/>
        <v>-157025.7350654958</v>
      </c>
      <c r="Z170" s="32">
        <f t="shared" si="120"/>
        <v>-186722.98171876452</v>
      </c>
      <c r="AA170" s="45">
        <f t="shared" si="121"/>
        <v>-186722.98171876458</v>
      </c>
      <c r="AB170" s="1"/>
      <c r="AC170" s="40">
        <f t="shared" si="110"/>
        <v>4398.0428097813747</v>
      </c>
      <c r="AD170" s="40">
        <f t="shared" si="143"/>
        <v>1319.4128429344123</v>
      </c>
      <c r="AE170" s="40">
        <f t="shared" si="111"/>
        <v>3078.6299668469624</v>
      </c>
      <c r="AF170" s="40">
        <f t="shared" si="112"/>
        <v>0</v>
      </c>
      <c r="AG170" s="40">
        <f t="shared" si="113"/>
        <v>7900.9088545158083</v>
      </c>
      <c r="AH170" s="40">
        <f t="shared" si="144"/>
        <v>3990.4958619544691</v>
      </c>
      <c r="AI170" s="106">
        <f t="shared" si="122"/>
        <v>-507679.5091188075</v>
      </c>
      <c r="AJ170" s="40">
        <f t="shared" si="117"/>
        <v>1467159.6635682189</v>
      </c>
      <c r="AK170" s="108">
        <f t="shared" si="118"/>
        <v>-60668.637632218182</v>
      </c>
    </row>
    <row r="171" spans="6:37">
      <c r="G171" s="1"/>
      <c r="I171">
        <v>11</v>
      </c>
      <c r="J171" s="26">
        <f t="shared" si="137"/>
        <v>6529.6532082693766</v>
      </c>
      <c r="K171" s="24">
        <f t="shared" si="138"/>
        <v>2804.5842108478414</v>
      </c>
      <c r="L171" s="24">
        <f t="shared" si="139"/>
        <v>2309.0354355044224</v>
      </c>
      <c r="M171" s="24">
        <f t="shared" si="140"/>
        <v>2513.2434521644232</v>
      </c>
      <c r="N171" s="48"/>
      <c r="O171" s="32">
        <f t="shared" si="106"/>
        <v>10082.99055914864</v>
      </c>
      <c r="P171" s="32">
        <f t="shared" si="114"/>
        <v>2670.5692366965004</v>
      </c>
      <c r="Q171" s="32">
        <f t="shared" si="115"/>
        <v>7412.42132245214</v>
      </c>
      <c r="R171" s="45">
        <f t="shared" si="119"/>
        <v>633524.19548470795</v>
      </c>
      <c r="S171" s="31">
        <f t="shared" si="107"/>
        <v>-3767.7791269438108</v>
      </c>
      <c r="T171" s="32">
        <f t="shared" si="141"/>
        <v>-1130.3337380831431</v>
      </c>
      <c r="U171" s="32">
        <f t="shared" si="108"/>
        <v>-10049.866711312807</v>
      </c>
      <c r="V171" s="32">
        <v>0</v>
      </c>
      <c r="W171" s="32">
        <f t="shared" si="109"/>
        <v>-5227.5878236439621</v>
      </c>
      <c r="X171" s="32">
        <f t="shared" si="142"/>
        <v>-2640.2870811921553</v>
      </c>
      <c r="Y171" s="102">
        <f t="shared" si="116"/>
        <v>-159666.02214668796</v>
      </c>
      <c r="Z171" s="32">
        <f t="shared" si="120"/>
        <v>-191950.56954240848</v>
      </c>
      <c r="AA171" s="45">
        <f t="shared" si="121"/>
        <v>-191950.56954240854</v>
      </c>
      <c r="AB171" s="1"/>
      <c r="AC171" s="40">
        <f t="shared" si="110"/>
        <v>-1097.2098902473103</v>
      </c>
      <c r="AD171" s="40">
        <f t="shared" si="143"/>
        <v>-329.16296707419309</v>
      </c>
      <c r="AE171" s="40">
        <f t="shared" si="111"/>
        <v>-768.04692317311719</v>
      </c>
      <c r="AF171" s="40">
        <f t="shared" si="112"/>
        <v>0</v>
      </c>
      <c r="AG171" s="40">
        <f t="shared" si="113"/>
        <v>4054.2319644957283</v>
      </c>
      <c r="AH171" s="40">
        <f t="shared" si="144"/>
        <v>2047.6626392768585</v>
      </c>
      <c r="AI171" s="106">
        <f t="shared" si="122"/>
        <v>-505631.84647953062</v>
      </c>
      <c r="AJ171" s="40">
        <f t="shared" si="117"/>
        <v>1471213.8955327147</v>
      </c>
      <c r="AK171" s="108">
        <f t="shared" si="118"/>
        <v>-56614.405667722451</v>
      </c>
    </row>
    <row r="172" spans="6:37">
      <c r="G172" s="1"/>
      <c r="I172">
        <v>12</v>
      </c>
      <c r="J172" s="26">
        <f t="shared" si="137"/>
        <v>5495.2527000286836</v>
      </c>
      <c r="K172" s="24">
        <f t="shared" si="138"/>
        <v>2804.5842108478414</v>
      </c>
      <c r="L172" s="24">
        <f t="shared" si="139"/>
        <v>2309.0354355044224</v>
      </c>
      <c r="M172" s="24">
        <f t="shared" si="140"/>
        <v>2513.2434521644232</v>
      </c>
      <c r="N172" s="48"/>
      <c r="O172" s="32">
        <f t="shared" si="106"/>
        <v>10082.99055914864</v>
      </c>
      <c r="P172" s="32">
        <f t="shared" si="114"/>
        <v>2639.6841478529495</v>
      </c>
      <c r="Q172" s="32">
        <f t="shared" si="115"/>
        <v>7443.3064112956909</v>
      </c>
      <c r="R172" s="45">
        <f t="shared" si="119"/>
        <v>626080.88907341228</v>
      </c>
      <c r="S172" s="31">
        <f t="shared" si="107"/>
        <v>-4771.2945463409524</v>
      </c>
      <c r="T172" s="32">
        <f t="shared" si="141"/>
        <v>-1431.3883639022856</v>
      </c>
      <c r="U172" s="32">
        <f t="shared" si="108"/>
        <v>-10783.212593734359</v>
      </c>
      <c r="V172" s="32">
        <v>0</v>
      </c>
      <c r="W172" s="32">
        <f t="shared" si="109"/>
        <v>-5960.9337060655143</v>
      </c>
      <c r="X172" s="32">
        <f t="shared" si="142"/>
        <v>-3010.6765848645014</v>
      </c>
      <c r="Y172" s="102">
        <f t="shared" si="116"/>
        <v>-162676.69873155246</v>
      </c>
      <c r="Z172" s="32">
        <f t="shared" si="120"/>
        <v>-197911.50324847401</v>
      </c>
      <c r="AA172" s="45">
        <f t="shared" si="121"/>
        <v>-197911.50324847407</v>
      </c>
      <c r="AB172" s="1"/>
      <c r="AC172" s="40">
        <f t="shared" si="110"/>
        <v>-2131.6103984880033</v>
      </c>
      <c r="AD172" s="40">
        <f t="shared" si="143"/>
        <v>-639.48311954640099</v>
      </c>
      <c r="AE172" s="40">
        <f t="shared" si="111"/>
        <v>-1492.1272789416023</v>
      </c>
      <c r="AF172" s="40">
        <f t="shared" si="112"/>
        <v>0</v>
      </c>
      <c r="AG172" s="40">
        <f t="shared" si="113"/>
        <v>3330.151608727243</v>
      </c>
      <c r="AH172" s="40">
        <f t="shared" si="144"/>
        <v>1681.9528561846028</v>
      </c>
      <c r="AI172" s="106">
        <f t="shared" si="122"/>
        <v>-503949.893623346</v>
      </c>
      <c r="AJ172" s="40">
        <f t="shared" si="117"/>
        <v>1474544.0471414418</v>
      </c>
      <c r="AK172" s="108">
        <f t="shared" si="118"/>
        <v>-53284.254058995211</v>
      </c>
    </row>
    <row r="173" spans="6:37">
      <c r="F173" s="132" t="s">
        <v>88</v>
      </c>
      <c r="G173" s="1">
        <f>SUM(S173:S184)</f>
        <v>56116.284400401506</v>
      </c>
      <c r="H173">
        <v>2029</v>
      </c>
      <c r="I173">
        <v>1</v>
      </c>
      <c r="J173" s="26">
        <f t="shared" ref="J173:J184" si="145">C23*$C$52*$D$52</f>
        <v>5908.1659879088384</v>
      </c>
      <c r="K173" s="24">
        <f t="shared" ref="K173:K184" si="146">$K$172*$C$8</f>
        <v>2888.7217371732768</v>
      </c>
      <c r="L173" s="24">
        <f t="shared" ref="L173:L184" si="147">(($C$5-SUM($L$5:$L$172))*0.1667)/12</f>
        <v>2181.1918402253127</v>
      </c>
      <c r="M173" s="24">
        <f t="shared" ref="M173:M184" si="148">(($C$9-SUM($M$125:$M$172))*0.15)/12</f>
        <v>2136.256934339759</v>
      </c>
      <c r="N173" s="48"/>
      <c r="O173" s="32">
        <f t="shared" si="106"/>
        <v>10082.99055914864</v>
      </c>
      <c r="P173" s="32">
        <f t="shared" si="114"/>
        <v>2608.6703711392179</v>
      </c>
      <c r="Q173" s="32">
        <f t="shared" si="115"/>
        <v>7474.3201880094221</v>
      </c>
      <c r="R173" s="45">
        <f t="shared" si="119"/>
        <v>618606.56888540287</v>
      </c>
      <c r="S173" s="31">
        <f t="shared" si="107"/>
        <v>-3906.674894968728</v>
      </c>
      <c r="T173" s="32">
        <f t="shared" si="141"/>
        <v>-1172.0024684906184</v>
      </c>
      <c r="U173" s="32">
        <f t="shared" si="108"/>
        <v>-10208.992614487532</v>
      </c>
      <c r="V173" s="32">
        <v>0</v>
      </c>
      <c r="W173" s="32">
        <f t="shared" si="109"/>
        <v>-5891.5438399224604</v>
      </c>
      <c r="X173" s="32">
        <f t="shared" ref="X173:X184" si="149">W173/(1+$C$18)^15</f>
        <v>-2833.9333211552334</v>
      </c>
      <c r="Y173" s="102">
        <f t="shared" si="116"/>
        <v>-165510.63205270769</v>
      </c>
      <c r="Z173" s="32">
        <f t="shared" si="120"/>
        <v>-203803.04708839647</v>
      </c>
      <c r="AA173" s="45">
        <f t="shared" si="121"/>
        <v>-203803.04708839653</v>
      </c>
      <c r="AB173" s="1"/>
      <c r="AC173" s="40">
        <f t="shared" si="110"/>
        <v>-1298.0045238295102</v>
      </c>
      <c r="AD173" s="40">
        <f t="shared" si="143"/>
        <v>-389.40135714885304</v>
      </c>
      <c r="AE173" s="40">
        <f t="shared" si="111"/>
        <v>-908.60316668065707</v>
      </c>
      <c r="AF173" s="40">
        <f t="shared" si="112"/>
        <v>0</v>
      </c>
      <c r="AG173" s="40">
        <f t="shared" si="113"/>
        <v>3408.8456078844147</v>
      </c>
      <c r="AH173" s="40">
        <f t="shared" ref="AH173:AH184" si="150">AG173/(1+$C$18)^15</f>
        <v>1639.7130221447103</v>
      </c>
      <c r="AI173" s="106">
        <f t="shared" si="122"/>
        <v>-502310.18060120131</v>
      </c>
      <c r="AJ173" s="40">
        <f t="shared" si="117"/>
        <v>1477952.8927493263</v>
      </c>
      <c r="AK173" s="108">
        <f t="shared" si="118"/>
        <v>-49875.408451110794</v>
      </c>
    </row>
    <row r="174" spans="6:37">
      <c r="F174" s="17" t="s">
        <v>31</v>
      </c>
      <c r="G174">
        <v>15</v>
      </c>
      <c r="I174">
        <v>2</v>
      </c>
      <c r="J174" s="26">
        <f t="shared" si="145"/>
        <v>9041.7788875731949</v>
      </c>
      <c r="K174" s="24">
        <f t="shared" si="146"/>
        <v>2888.7217371732768</v>
      </c>
      <c r="L174" s="24">
        <f t="shared" si="147"/>
        <v>2181.1918402253127</v>
      </c>
      <c r="M174" s="24">
        <f t="shared" si="148"/>
        <v>2136.256934339759</v>
      </c>
      <c r="N174" s="48"/>
      <c r="O174" s="32">
        <f t="shared" si="106"/>
        <v>10082.99055914864</v>
      </c>
      <c r="P174" s="32">
        <f t="shared" si="114"/>
        <v>2577.5273703558451</v>
      </c>
      <c r="Q174" s="32">
        <f t="shared" si="115"/>
        <v>7505.4631887927953</v>
      </c>
      <c r="R174" s="45">
        <f t="shared" si="119"/>
        <v>611101.10569661006</v>
      </c>
      <c r="S174" s="31">
        <f t="shared" si="107"/>
        <v>-741.91899452099869</v>
      </c>
      <c r="T174" s="32">
        <f t="shared" si="141"/>
        <v>-222.5756983562996</v>
      </c>
      <c r="U174" s="32">
        <f t="shared" si="108"/>
        <v>-8024.8064849574948</v>
      </c>
      <c r="V174" s="32">
        <v>0</v>
      </c>
      <c r="W174" s="32">
        <f t="shared" si="109"/>
        <v>-3707.3577103924235</v>
      </c>
      <c r="X174" s="32">
        <f t="shared" si="149"/>
        <v>-1783.3024474381471</v>
      </c>
      <c r="Y174" s="102">
        <f t="shared" si="116"/>
        <v>-167293.93450014584</v>
      </c>
      <c r="Z174" s="32">
        <f t="shared" si="120"/>
        <v>-207510.40479878889</v>
      </c>
      <c r="AA174" s="45">
        <f t="shared" si="121"/>
        <v>-207510.40479878895</v>
      </c>
      <c r="AB174" s="1"/>
      <c r="AC174" s="40">
        <f t="shared" si="110"/>
        <v>1835.6083758348464</v>
      </c>
      <c r="AD174" s="40">
        <f t="shared" si="143"/>
        <v>550.68251275045384</v>
      </c>
      <c r="AE174" s="40">
        <f t="shared" si="111"/>
        <v>1284.9258630843924</v>
      </c>
      <c r="AF174" s="40">
        <f t="shared" si="112"/>
        <v>0</v>
      </c>
      <c r="AG174" s="40">
        <f t="shared" si="113"/>
        <v>5602.3746376494637</v>
      </c>
      <c r="AH174" s="40">
        <f t="shared" si="150"/>
        <v>2694.8379906205955</v>
      </c>
      <c r="AI174" s="106">
        <f t="shared" si="122"/>
        <v>-499615.34261058073</v>
      </c>
      <c r="AJ174" s="40">
        <f t="shared" si="117"/>
        <v>1483555.2673869757</v>
      </c>
      <c r="AK174" s="108">
        <f t="shared" si="118"/>
        <v>-44273.033813461327</v>
      </c>
    </row>
    <row r="175" spans="6:37">
      <c r="F175" s="13" t="s">
        <v>30</v>
      </c>
      <c r="G175" s="1">
        <v>0</v>
      </c>
      <c r="I175">
        <v>3</v>
      </c>
      <c r="J175" s="26">
        <f t="shared" si="145"/>
        <v>16206.654215451592</v>
      </c>
      <c r="K175" s="24">
        <f t="shared" si="146"/>
        <v>2888.7217371732768</v>
      </c>
      <c r="L175" s="24">
        <f t="shared" si="147"/>
        <v>2181.1918402253127</v>
      </c>
      <c r="M175" s="24">
        <f t="shared" si="148"/>
        <v>2136.256934339759</v>
      </c>
      <c r="N175" s="48"/>
      <c r="O175" s="32">
        <f t="shared" si="106"/>
        <v>10082.99055914864</v>
      </c>
      <c r="P175" s="32">
        <f t="shared" si="114"/>
        <v>2546.2546070692088</v>
      </c>
      <c r="Q175" s="32">
        <f t="shared" si="115"/>
        <v>7536.7359520794316</v>
      </c>
      <c r="R175" s="45">
        <f t="shared" si="119"/>
        <v>603564.36974453065</v>
      </c>
      <c r="S175" s="31">
        <f t="shared" si="107"/>
        <v>6454.2290966440351</v>
      </c>
      <c r="T175" s="32">
        <f t="shared" si="141"/>
        <v>1936.2687289932105</v>
      </c>
      <c r="U175" s="32">
        <f t="shared" si="108"/>
        <v>-3018.7755844286075</v>
      </c>
      <c r="V175" s="32">
        <v>0</v>
      </c>
      <c r="W175" s="32">
        <f t="shared" si="109"/>
        <v>1298.6731901364642</v>
      </c>
      <c r="X175" s="32">
        <f t="shared" si="149"/>
        <v>624.68400928798474</v>
      </c>
      <c r="Y175" s="102">
        <f t="shared" si="116"/>
        <v>-166669.25049085787</v>
      </c>
      <c r="Z175" s="32">
        <f t="shared" si="120"/>
        <v>-206211.73160865242</v>
      </c>
      <c r="AA175" s="45">
        <f t="shared" si="121"/>
        <v>-206211.73160865248</v>
      </c>
      <c r="AB175" s="1"/>
      <c r="AC175" s="40">
        <f t="shared" si="110"/>
        <v>9000.4837037132438</v>
      </c>
      <c r="AD175" s="40">
        <f t="shared" si="143"/>
        <v>2700.1451111139731</v>
      </c>
      <c r="AE175" s="40">
        <f t="shared" si="111"/>
        <v>6300.3385925992707</v>
      </c>
      <c r="AF175" s="40">
        <f t="shared" si="112"/>
        <v>0</v>
      </c>
      <c r="AG175" s="40">
        <f t="shared" si="113"/>
        <v>10617.787367164343</v>
      </c>
      <c r="AH175" s="40">
        <f t="shared" si="150"/>
        <v>5107.3372675003548</v>
      </c>
      <c r="AI175" s="106">
        <f t="shared" si="122"/>
        <v>-494508.00534308038</v>
      </c>
      <c r="AJ175" s="40">
        <f t="shared" si="117"/>
        <v>1494173.0547541401</v>
      </c>
      <c r="AK175" s="108">
        <f t="shared" si="118"/>
        <v>-33655.24644629698</v>
      </c>
    </row>
    <row r="176" spans="6:37">
      <c r="F176" s="18" t="s">
        <v>39</v>
      </c>
      <c r="G176" s="1">
        <f>G173</f>
        <v>56116.284400401506</v>
      </c>
      <c r="I176">
        <v>4</v>
      </c>
      <c r="J176" s="26">
        <f t="shared" si="145"/>
        <v>18605.826591757115</v>
      </c>
      <c r="K176" s="24">
        <f t="shared" si="146"/>
        <v>2888.7217371732768</v>
      </c>
      <c r="L176" s="24">
        <f t="shared" si="147"/>
        <v>2181.1918402253127</v>
      </c>
      <c r="M176" s="24">
        <f t="shared" si="148"/>
        <v>2136.256934339759</v>
      </c>
      <c r="N176" s="48"/>
      <c r="O176" s="32">
        <f t="shared" si="106"/>
        <v>10082.99055914864</v>
      </c>
      <c r="P176" s="32">
        <f t="shared" si="114"/>
        <v>2514.8515406022111</v>
      </c>
      <c r="Q176" s="32">
        <f t="shared" si="115"/>
        <v>7568.1390185464297</v>
      </c>
      <c r="R176" s="45">
        <f t="shared" si="119"/>
        <v>595996.23072598421</v>
      </c>
      <c r="S176" s="31">
        <f t="shared" si="107"/>
        <v>8884.8045394165565</v>
      </c>
      <c r="T176" s="32">
        <f t="shared" si="141"/>
        <v>2665.4413618249669</v>
      </c>
      <c r="U176" s="32">
        <f t="shared" si="108"/>
        <v>-1348.7758409548405</v>
      </c>
      <c r="V176" s="32">
        <v>0</v>
      </c>
      <c r="W176" s="32">
        <f t="shared" si="109"/>
        <v>2968.6729336102312</v>
      </c>
      <c r="X176" s="32">
        <f t="shared" si="149"/>
        <v>1427.9824397064008</v>
      </c>
      <c r="Y176" s="102">
        <f t="shared" si="116"/>
        <v>-165241.26805115148</v>
      </c>
      <c r="Z176" s="32">
        <f t="shared" si="120"/>
        <v>-203243.05867504218</v>
      </c>
      <c r="AA176" s="45">
        <f t="shared" si="121"/>
        <v>-203243.05867504224</v>
      </c>
      <c r="AB176" s="1"/>
      <c r="AC176" s="40">
        <f t="shared" si="110"/>
        <v>11399.656080018767</v>
      </c>
      <c r="AD176" s="40">
        <f t="shared" si="143"/>
        <v>3419.8968240056302</v>
      </c>
      <c r="AE176" s="40">
        <f t="shared" si="111"/>
        <v>7979.759256013137</v>
      </c>
      <c r="AF176" s="40">
        <f t="shared" si="112"/>
        <v>0</v>
      </c>
      <c r="AG176" s="40">
        <f t="shared" si="113"/>
        <v>12297.208030578209</v>
      </c>
      <c r="AH176" s="40">
        <f t="shared" si="150"/>
        <v>5915.1673214897046</v>
      </c>
      <c r="AI176" s="106">
        <f t="shared" si="122"/>
        <v>-488592.83802159067</v>
      </c>
      <c r="AJ176" s="40">
        <f t="shared" si="117"/>
        <v>1506470.2627847183</v>
      </c>
      <c r="AK176" s="108">
        <f t="shared" si="118"/>
        <v>-21358.038415718773</v>
      </c>
    </row>
    <row r="177" spans="6:37">
      <c r="F177" s="16" t="s">
        <v>90</v>
      </c>
      <c r="G177" s="129">
        <f>$C$62</f>
        <v>0.3</v>
      </c>
      <c r="I177">
        <v>5</v>
      </c>
      <c r="J177" s="26">
        <f t="shared" si="145"/>
        <v>19258.662612520526</v>
      </c>
      <c r="K177" s="24">
        <f t="shared" si="146"/>
        <v>2888.7217371732768</v>
      </c>
      <c r="L177" s="24">
        <f t="shared" si="147"/>
        <v>2181.1918402253127</v>
      </c>
      <c r="M177" s="24">
        <f t="shared" si="148"/>
        <v>2136.256934339759</v>
      </c>
      <c r="N177" s="48"/>
      <c r="O177" s="32">
        <f t="shared" si="106"/>
        <v>10082.99055914864</v>
      </c>
      <c r="P177" s="32">
        <f t="shared" si="114"/>
        <v>2483.317628024934</v>
      </c>
      <c r="Q177" s="32">
        <f t="shared" si="115"/>
        <v>7599.6729311237068</v>
      </c>
      <c r="R177" s="45">
        <f t="shared" si="119"/>
        <v>588396.55779486045</v>
      </c>
      <c r="S177" s="31">
        <f t="shared" si="107"/>
        <v>9569.1744727572441</v>
      </c>
      <c r="T177" s="32">
        <f t="shared" si="141"/>
        <v>2870.752341827173</v>
      </c>
      <c r="U177" s="32">
        <f t="shared" si="108"/>
        <v>-901.25080019363486</v>
      </c>
      <c r="V177" s="32">
        <v>0</v>
      </c>
      <c r="W177" s="32">
        <f t="shared" si="109"/>
        <v>3416.1979743714369</v>
      </c>
      <c r="X177" s="32">
        <f t="shared" si="149"/>
        <v>1643.2496361363992</v>
      </c>
      <c r="Y177" s="102">
        <f t="shared" si="116"/>
        <v>-163598.01841501507</v>
      </c>
      <c r="Z177" s="32">
        <f t="shared" si="120"/>
        <v>-199826.86070067075</v>
      </c>
      <c r="AA177" s="45">
        <f t="shared" si="121"/>
        <v>-199826.8607006708</v>
      </c>
      <c r="AB177" s="1"/>
      <c r="AC177" s="40">
        <f t="shared" si="110"/>
        <v>12052.492100782178</v>
      </c>
      <c r="AD177" s="40">
        <f t="shared" si="143"/>
        <v>3615.7476302346531</v>
      </c>
      <c r="AE177" s="40">
        <f t="shared" si="111"/>
        <v>8436.7444705475245</v>
      </c>
      <c r="AF177" s="40">
        <f t="shared" si="112"/>
        <v>0</v>
      </c>
      <c r="AG177" s="40">
        <f t="shared" si="113"/>
        <v>12754.193245112596</v>
      </c>
      <c r="AH177" s="40">
        <f t="shared" si="150"/>
        <v>6134.9850232555145</v>
      </c>
      <c r="AI177" s="106">
        <f t="shared" si="122"/>
        <v>-482457.85299833515</v>
      </c>
      <c r="AJ177" s="40">
        <f t="shared" si="117"/>
        <v>1519224.456029831</v>
      </c>
      <c r="AK177" s="108">
        <f t="shared" si="118"/>
        <v>-8603.8451706061769</v>
      </c>
    </row>
    <row r="178" spans="6:37">
      <c r="G178" s="1"/>
      <c r="I178">
        <v>6</v>
      </c>
      <c r="J178" s="26">
        <f t="shared" si="145"/>
        <v>20074.707638474782</v>
      </c>
      <c r="K178" s="24">
        <f t="shared" si="146"/>
        <v>2888.7217371732768</v>
      </c>
      <c r="L178" s="24">
        <f t="shared" si="147"/>
        <v>2181.1918402253127</v>
      </c>
      <c r="M178" s="24">
        <f t="shared" si="148"/>
        <v>2136.256934339759</v>
      </c>
      <c r="N178" s="48"/>
      <c r="O178" s="32">
        <f t="shared" si="106"/>
        <v>10082.99055914864</v>
      </c>
      <c r="P178" s="32">
        <f t="shared" si="114"/>
        <v>2451.6523241452519</v>
      </c>
      <c r="Q178" s="32">
        <f t="shared" si="115"/>
        <v>7631.338235003388</v>
      </c>
      <c r="R178" s="45">
        <f t="shared" si="119"/>
        <v>580765.21955985704</v>
      </c>
      <c r="S178" s="31">
        <f t="shared" si="107"/>
        <v>10416.884802591181</v>
      </c>
      <c r="T178" s="32">
        <f t="shared" si="141"/>
        <v>3125.0654407773541</v>
      </c>
      <c r="U178" s="32">
        <f t="shared" si="108"/>
        <v>-339.51887318956142</v>
      </c>
      <c r="V178" s="32">
        <v>0</v>
      </c>
      <c r="W178" s="32">
        <f t="shared" si="109"/>
        <v>3977.9299013755103</v>
      </c>
      <c r="X178" s="32">
        <f t="shared" si="149"/>
        <v>1913.4522975689472</v>
      </c>
      <c r="Y178" s="102">
        <f t="shared" si="116"/>
        <v>-161684.56611744611</v>
      </c>
      <c r="Z178" s="32">
        <f t="shared" si="120"/>
        <v>-195848.93079929522</v>
      </c>
      <c r="AA178" s="45">
        <f t="shared" si="121"/>
        <v>-195848.93079929528</v>
      </c>
      <c r="AB178" s="1"/>
      <c r="AC178" s="40">
        <f t="shared" si="110"/>
        <v>12868.537126736433</v>
      </c>
      <c r="AD178" s="40">
        <f t="shared" si="143"/>
        <v>3860.5611380209298</v>
      </c>
      <c r="AE178" s="40">
        <f t="shared" si="111"/>
        <v>9007.9759887155033</v>
      </c>
      <c r="AF178" s="40">
        <f t="shared" si="112"/>
        <v>0</v>
      </c>
      <c r="AG178" s="40">
        <f t="shared" si="113"/>
        <v>13325.424763280575</v>
      </c>
      <c r="AH178" s="40">
        <f t="shared" si="150"/>
        <v>6409.7571504627749</v>
      </c>
      <c r="AI178" s="106">
        <f t="shared" si="122"/>
        <v>-476048.09584787238</v>
      </c>
      <c r="AJ178" s="40">
        <f t="shared" si="117"/>
        <v>1532549.8807931116</v>
      </c>
      <c r="AK178" s="108">
        <f t="shared" si="118"/>
        <v>4721.5795926743976</v>
      </c>
    </row>
    <row r="179" spans="6:37">
      <c r="G179" s="1"/>
      <c r="I179">
        <v>7</v>
      </c>
      <c r="J179" s="26">
        <f t="shared" si="145"/>
        <v>21380.379680001599</v>
      </c>
      <c r="K179" s="24">
        <f t="shared" si="146"/>
        <v>2888.7217371732768</v>
      </c>
      <c r="L179" s="24">
        <f t="shared" si="147"/>
        <v>2181.1918402253127</v>
      </c>
      <c r="M179" s="24">
        <f t="shared" si="148"/>
        <v>2136.256934339759</v>
      </c>
      <c r="N179" s="48"/>
      <c r="O179" s="32">
        <f t="shared" si="106"/>
        <v>10082.99055914864</v>
      </c>
      <c r="P179" s="32">
        <f t="shared" si="114"/>
        <v>2419.8550814994042</v>
      </c>
      <c r="Q179" s="32">
        <f t="shared" si="115"/>
        <v>7663.1354776492362</v>
      </c>
      <c r="R179" s="45">
        <f t="shared" si="119"/>
        <v>573102.08408220776</v>
      </c>
      <c r="S179" s="31">
        <f t="shared" si="107"/>
        <v>11754.354086763848</v>
      </c>
      <c r="T179" s="32">
        <f t="shared" si="141"/>
        <v>3526.306226029154</v>
      </c>
      <c r="U179" s="32">
        <f t="shared" si="108"/>
        <v>564.9123830854569</v>
      </c>
      <c r="V179" s="32">
        <v>0</v>
      </c>
      <c r="W179" s="32">
        <f t="shared" si="109"/>
        <v>4882.3611576505282</v>
      </c>
      <c r="X179" s="32">
        <f t="shared" si="149"/>
        <v>2348.4991958851269</v>
      </c>
      <c r="Y179" s="102">
        <f t="shared" si="116"/>
        <v>-159336.066921561</v>
      </c>
      <c r="Z179" s="32">
        <f t="shared" si="120"/>
        <v>-190966.56964164469</v>
      </c>
      <c r="AA179" s="45">
        <f t="shared" si="121"/>
        <v>-190966.56964164475</v>
      </c>
      <c r="AB179" s="1"/>
      <c r="AC179" s="40">
        <f t="shared" si="110"/>
        <v>14174.209168263251</v>
      </c>
      <c r="AD179" s="40">
        <f t="shared" si="143"/>
        <v>4252.2627504789752</v>
      </c>
      <c r="AE179" s="40">
        <f t="shared" si="111"/>
        <v>9921.9464177842747</v>
      </c>
      <c r="AF179" s="40">
        <f t="shared" si="112"/>
        <v>0</v>
      </c>
      <c r="AG179" s="40">
        <f t="shared" si="113"/>
        <v>14239.395192349346</v>
      </c>
      <c r="AH179" s="40">
        <f t="shared" si="150"/>
        <v>6849.3925539943948</v>
      </c>
      <c r="AI179" s="106">
        <f t="shared" si="122"/>
        <v>-469198.703293878</v>
      </c>
      <c r="AJ179" s="40">
        <f t="shared" si="117"/>
        <v>1546789.275985461</v>
      </c>
      <c r="AK179" s="108">
        <f t="shared" si="118"/>
        <v>18960.974785023744</v>
      </c>
    </row>
    <row r="180" spans="6:37">
      <c r="G180" s="1"/>
      <c r="I180">
        <v>8</v>
      </c>
      <c r="J180" s="26">
        <f t="shared" si="145"/>
        <v>19585.080622902227</v>
      </c>
      <c r="K180" s="24">
        <f t="shared" si="146"/>
        <v>2888.7217371732768</v>
      </c>
      <c r="L180" s="24">
        <f t="shared" si="147"/>
        <v>2181.1918402253127</v>
      </c>
      <c r="M180" s="24">
        <f t="shared" si="148"/>
        <v>2136.256934339759</v>
      </c>
      <c r="N180" s="48"/>
      <c r="O180" s="32">
        <f t="shared" si="106"/>
        <v>10082.99055914864</v>
      </c>
      <c r="P180" s="32">
        <f t="shared" si="114"/>
        <v>2387.9253503425325</v>
      </c>
      <c r="Q180" s="32">
        <f t="shared" si="115"/>
        <v>7695.0652088061079</v>
      </c>
      <c r="R180" s="45">
        <f t="shared" si="119"/>
        <v>565407.01887340168</v>
      </c>
      <c r="S180" s="31">
        <f t="shared" si="107"/>
        <v>9990.9847608213458</v>
      </c>
      <c r="T180" s="32">
        <f t="shared" si="141"/>
        <v>2997.2954282464038</v>
      </c>
      <c r="U180" s="32">
        <f t="shared" si="108"/>
        <v>-701.37587623116451</v>
      </c>
      <c r="V180" s="32">
        <v>0</v>
      </c>
      <c r="W180" s="32">
        <f t="shared" si="109"/>
        <v>3616.0728983339072</v>
      </c>
      <c r="X180" s="32">
        <f t="shared" si="149"/>
        <v>1739.3928920419798</v>
      </c>
      <c r="Y180" s="102">
        <f t="shared" si="116"/>
        <v>-157596.67402951902</v>
      </c>
      <c r="Z180" s="32">
        <f t="shared" si="120"/>
        <v>-187350.49674331077</v>
      </c>
      <c r="AA180" s="45">
        <f t="shared" si="121"/>
        <v>-187350.49674331082</v>
      </c>
      <c r="AB180" s="1"/>
      <c r="AC180" s="40">
        <f t="shared" si="110"/>
        <v>12378.910111163879</v>
      </c>
      <c r="AD180" s="40">
        <f t="shared" si="143"/>
        <v>3713.6730333491637</v>
      </c>
      <c r="AE180" s="40">
        <f t="shared" si="111"/>
        <v>8665.237077814716</v>
      </c>
      <c r="AF180" s="40">
        <f t="shared" si="112"/>
        <v>0</v>
      </c>
      <c r="AG180" s="40">
        <f t="shared" si="113"/>
        <v>12982.685852379787</v>
      </c>
      <c r="AH180" s="40">
        <f t="shared" si="150"/>
        <v>6244.8938741384191</v>
      </c>
      <c r="AI180" s="106">
        <f t="shared" si="122"/>
        <v>-462953.80941973958</v>
      </c>
      <c r="AJ180" s="40">
        <f t="shared" si="117"/>
        <v>1559771.9618378407</v>
      </c>
      <c r="AK180" s="108">
        <f t="shared" si="118"/>
        <v>31943.660637403533</v>
      </c>
    </row>
    <row r="181" spans="6:37">
      <c r="G181" s="1"/>
      <c r="I181">
        <v>9</v>
      </c>
      <c r="J181" s="26">
        <f t="shared" si="145"/>
        <v>17463.363555421151</v>
      </c>
      <c r="K181" s="24">
        <f t="shared" si="146"/>
        <v>2888.7217371732768</v>
      </c>
      <c r="L181" s="24">
        <f t="shared" si="147"/>
        <v>2181.1918402253127</v>
      </c>
      <c r="M181" s="24">
        <f t="shared" si="148"/>
        <v>2136.256934339759</v>
      </c>
      <c r="N181" s="48"/>
      <c r="O181" s="32">
        <f t="shared" si="106"/>
        <v>10082.99055914864</v>
      </c>
      <c r="P181" s="32">
        <f t="shared" si="114"/>
        <v>2355.8625786391735</v>
      </c>
      <c r="Q181" s="32">
        <f t="shared" si="115"/>
        <v>7727.1279805094673</v>
      </c>
      <c r="R181" s="45">
        <f t="shared" si="119"/>
        <v>557679.89089289226</v>
      </c>
      <c r="S181" s="31">
        <f t="shared" si="107"/>
        <v>7901.3304650436294</v>
      </c>
      <c r="T181" s="32">
        <f t="shared" si="141"/>
        <v>2370.3991395130888</v>
      </c>
      <c r="U181" s="32">
        <f t="shared" si="108"/>
        <v>-2196.1966549789267</v>
      </c>
      <c r="V181" s="32">
        <v>0</v>
      </c>
      <c r="W181" s="32">
        <f t="shared" si="109"/>
        <v>2121.252119586145</v>
      </c>
      <c r="X181" s="32">
        <f t="shared" si="149"/>
        <v>1020.3585388826472</v>
      </c>
      <c r="Y181" s="102">
        <f t="shared" si="116"/>
        <v>-156576.31549063636</v>
      </c>
      <c r="Z181" s="32">
        <f t="shared" si="120"/>
        <v>-185229.24462372463</v>
      </c>
      <c r="AA181" s="45">
        <f t="shared" si="121"/>
        <v>-185229.24462372469</v>
      </c>
      <c r="AB181" s="1"/>
      <c r="AC181" s="40">
        <f t="shared" si="110"/>
        <v>10257.193043682802</v>
      </c>
      <c r="AD181" s="40">
        <f t="shared" si="143"/>
        <v>3077.1579131048406</v>
      </c>
      <c r="AE181" s="40">
        <f t="shared" si="111"/>
        <v>7180.0351305779623</v>
      </c>
      <c r="AF181" s="40">
        <f t="shared" si="112"/>
        <v>0</v>
      </c>
      <c r="AG181" s="40">
        <f t="shared" si="113"/>
        <v>11497.483905143034</v>
      </c>
      <c r="AH181" s="40">
        <f t="shared" si="150"/>
        <v>5530.4863433995379</v>
      </c>
      <c r="AI181" s="106">
        <f t="shared" si="122"/>
        <v>-457423.32307634002</v>
      </c>
      <c r="AJ181" s="40">
        <f t="shared" si="117"/>
        <v>1571269.4457429838</v>
      </c>
      <c r="AK181" s="108">
        <f t="shared" si="118"/>
        <v>43441.144542546564</v>
      </c>
    </row>
    <row r="182" spans="6:37">
      <c r="G182" s="1"/>
      <c r="I182">
        <v>10</v>
      </c>
      <c r="J182" s="26">
        <f t="shared" si="145"/>
        <v>12142.74998619938</v>
      </c>
      <c r="K182" s="24">
        <f t="shared" si="146"/>
        <v>2888.7217371732768</v>
      </c>
      <c r="L182" s="24">
        <f t="shared" si="147"/>
        <v>2181.1918402253127</v>
      </c>
      <c r="M182" s="24">
        <f t="shared" si="148"/>
        <v>2136.256934339759</v>
      </c>
      <c r="N182" s="48"/>
      <c r="O182" s="32">
        <f t="shared" si="106"/>
        <v>10082.99055914864</v>
      </c>
      <c r="P182" s="32">
        <f t="shared" si="114"/>
        <v>2323.6662120537176</v>
      </c>
      <c r="Q182" s="32">
        <f t="shared" si="115"/>
        <v>7759.3243470949228</v>
      </c>
      <c r="R182" s="45">
        <f t="shared" si="119"/>
        <v>549920.5665457974</v>
      </c>
      <c r="S182" s="31">
        <f t="shared" si="107"/>
        <v>2612.9132624073145</v>
      </c>
      <c r="T182" s="32">
        <f t="shared" si="141"/>
        <v>783.87397872219435</v>
      </c>
      <c r="U182" s="32">
        <f t="shared" si="108"/>
        <v>-5930.2850634098031</v>
      </c>
      <c r="V182" s="32">
        <v>0</v>
      </c>
      <c r="W182" s="32">
        <f t="shared" si="109"/>
        <v>-1612.8362888447314</v>
      </c>
      <c r="X182" s="32">
        <f t="shared" si="149"/>
        <v>-775.80183135590244</v>
      </c>
      <c r="Y182" s="102">
        <f t="shared" si="116"/>
        <v>-157352.11732199226</v>
      </c>
      <c r="Z182" s="32">
        <f t="shared" si="120"/>
        <v>-186842.08091256936</v>
      </c>
      <c r="AA182" s="45">
        <f t="shared" si="121"/>
        <v>-186842.08091256942</v>
      </c>
      <c r="AB182" s="1"/>
      <c r="AC182" s="40">
        <f t="shared" si="110"/>
        <v>4936.5794744610321</v>
      </c>
      <c r="AD182" s="40">
        <f t="shared" si="143"/>
        <v>1480.9738423383096</v>
      </c>
      <c r="AE182" s="40">
        <f t="shared" si="111"/>
        <v>3455.6056321227225</v>
      </c>
      <c r="AF182" s="40">
        <f t="shared" si="112"/>
        <v>0</v>
      </c>
      <c r="AG182" s="40">
        <f t="shared" si="113"/>
        <v>7773.0544066877937</v>
      </c>
      <c r="AH182" s="40">
        <f t="shared" si="150"/>
        <v>3738.9720740081907</v>
      </c>
      <c r="AI182" s="106">
        <f t="shared" si="122"/>
        <v>-453684.35100233182</v>
      </c>
      <c r="AJ182" s="40">
        <f t="shared" si="117"/>
        <v>1579042.5001496717</v>
      </c>
      <c r="AK182" s="108">
        <f t="shared" si="118"/>
        <v>51214.198949234356</v>
      </c>
    </row>
    <row r="183" spans="6:37">
      <c r="G183" s="1"/>
      <c r="I183">
        <v>11</v>
      </c>
      <c r="J183" s="26">
        <f t="shared" si="145"/>
        <v>6593.6438097104174</v>
      </c>
      <c r="K183" s="24">
        <f t="shared" si="146"/>
        <v>2888.7217371732768</v>
      </c>
      <c r="L183" s="24">
        <f t="shared" si="147"/>
        <v>2181.1918402253127</v>
      </c>
      <c r="M183" s="24">
        <f t="shared" si="148"/>
        <v>2136.256934339759</v>
      </c>
      <c r="N183" s="48"/>
      <c r="O183" s="32">
        <f t="shared" si="106"/>
        <v>10082.99055914864</v>
      </c>
      <c r="P183" s="32">
        <f t="shared" si="114"/>
        <v>2291.3356939408222</v>
      </c>
      <c r="Q183" s="32">
        <f t="shared" si="115"/>
        <v>7791.6548652078181</v>
      </c>
      <c r="R183" s="45">
        <f t="shared" si="119"/>
        <v>542128.91168058955</v>
      </c>
      <c r="S183" s="31">
        <f t="shared" si="107"/>
        <v>-2903.8623959687534</v>
      </c>
      <c r="T183" s="32">
        <f t="shared" si="141"/>
        <v>-871.15871879062604</v>
      </c>
      <c r="U183" s="32">
        <f t="shared" si="108"/>
        <v>-9824.3585423859458</v>
      </c>
      <c r="V183" s="32">
        <v>0</v>
      </c>
      <c r="W183" s="32">
        <f t="shared" si="109"/>
        <v>-5506.9097678208745</v>
      </c>
      <c r="X183" s="32">
        <f t="shared" si="149"/>
        <v>-2648.9177559660156</v>
      </c>
      <c r="Y183" s="102">
        <f t="shared" si="116"/>
        <v>-160001.03507795828</v>
      </c>
      <c r="Z183" s="32">
        <f t="shared" si="120"/>
        <v>-192348.99068039024</v>
      </c>
      <c r="AA183" s="45">
        <f t="shared" si="121"/>
        <v>-192348.9906803903</v>
      </c>
      <c r="AB183" s="1"/>
      <c r="AC183" s="40">
        <f t="shared" si="110"/>
        <v>-612.52670202793115</v>
      </c>
      <c r="AD183" s="40">
        <f t="shared" si="143"/>
        <v>-183.75801060837935</v>
      </c>
      <c r="AE183" s="40">
        <f t="shared" si="111"/>
        <v>-428.76869141955183</v>
      </c>
      <c r="AF183" s="40">
        <f t="shared" si="112"/>
        <v>0</v>
      </c>
      <c r="AG183" s="40">
        <f t="shared" si="113"/>
        <v>3888.6800831455198</v>
      </c>
      <c r="AH183" s="40">
        <f t="shared" si="150"/>
        <v>1870.5216089988105</v>
      </c>
      <c r="AI183" s="106">
        <f t="shared" si="122"/>
        <v>-451813.829393333</v>
      </c>
      <c r="AJ183" s="40">
        <f t="shared" si="117"/>
        <v>1582931.1802328173</v>
      </c>
      <c r="AK183" s="108">
        <f t="shared" si="118"/>
        <v>55102.879032379875</v>
      </c>
    </row>
    <row r="184" spans="6:37">
      <c r="G184" s="1"/>
      <c r="I184">
        <v>12</v>
      </c>
      <c r="J184" s="26">
        <f t="shared" si="145"/>
        <v>5549.1061764889646</v>
      </c>
      <c r="K184" s="24">
        <f t="shared" si="146"/>
        <v>2888.7217371732768</v>
      </c>
      <c r="L184" s="24">
        <f t="shared" si="147"/>
        <v>2181.1918402253127</v>
      </c>
      <c r="M184" s="24">
        <f t="shared" si="148"/>
        <v>2136.256934339759</v>
      </c>
      <c r="N184" s="48"/>
      <c r="O184" s="32">
        <f t="shared" si="106"/>
        <v>10082.99055914864</v>
      </c>
      <c r="P184" s="32">
        <f t="shared" si="114"/>
        <v>2258.87046533579</v>
      </c>
      <c r="Q184" s="32">
        <f t="shared" si="115"/>
        <v>7824.1200938128504</v>
      </c>
      <c r="R184" s="45">
        <f t="shared" si="119"/>
        <v>534304.79158677673</v>
      </c>
      <c r="S184" s="31">
        <f t="shared" si="107"/>
        <v>-3915.9348005851739</v>
      </c>
      <c r="T184" s="32">
        <f t="shared" si="141"/>
        <v>-1174.780440175552</v>
      </c>
      <c r="U184" s="32">
        <f t="shared" si="108"/>
        <v>-10565.274454222472</v>
      </c>
      <c r="V184" s="32">
        <v>0</v>
      </c>
      <c r="W184" s="32">
        <f t="shared" si="109"/>
        <v>-6247.8256796574005</v>
      </c>
      <c r="X184" s="32">
        <f t="shared" si="149"/>
        <v>-3005.3109778070461</v>
      </c>
      <c r="Y184" s="102">
        <f t="shared" si="116"/>
        <v>-163006.34605576532</v>
      </c>
      <c r="Z184" s="32">
        <f t="shared" si="120"/>
        <v>-198596.81636004764</v>
      </c>
      <c r="AA184" s="45">
        <f t="shared" si="121"/>
        <v>-198596.8163600477</v>
      </c>
      <c r="AB184" s="1"/>
      <c r="AC184" s="40">
        <f t="shared" si="110"/>
        <v>-1657.0643352493839</v>
      </c>
      <c r="AD184" s="40">
        <f t="shared" si="143"/>
        <v>-497.11930057481516</v>
      </c>
      <c r="AE184" s="40">
        <f t="shared" si="111"/>
        <v>-1159.9450346745689</v>
      </c>
      <c r="AF184" s="40">
        <f t="shared" si="112"/>
        <v>0</v>
      </c>
      <c r="AG184" s="40">
        <f t="shared" si="113"/>
        <v>3157.5037398905029</v>
      </c>
      <c r="AH184" s="40">
        <f t="shared" si="150"/>
        <v>1518.8132861735153</v>
      </c>
      <c r="AI184" s="106">
        <f t="shared" si="122"/>
        <v>-450295.01610715949</v>
      </c>
      <c r="AJ184" s="40">
        <f t="shared" si="117"/>
        <v>1586088.6839727077</v>
      </c>
      <c r="AK184" s="108">
        <f t="shared" si="118"/>
        <v>58260.382772270379</v>
      </c>
    </row>
    <row r="185" spans="6:37">
      <c r="F185" s="132" t="s">
        <v>88</v>
      </c>
      <c r="G185" s="1">
        <f>SUM(S185:S196)</f>
        <v>65307.066134501823</v>
      </c>
      <c r="H185">
        <v>2030</v>
      </c>
      <c r="I185">
        <v>1</v>
      </c>
      <c r="J185" s="26">
        <f t="shared" ref="J185:J196" si="151">C23*$C$53*$D$53</f>
        <v>5966.0660145903448</v>
      </c>
      <c r="K185" s="24">
        <f t="shared" ref="K185:K196" si="152">$K$184*$C$8</f>
        <v>2975.383389288475</v>
      </c>
      <c r="L185" s="24">
        <f t="shared" ref="L185:L196" si="153">(($C$5-SUM($L$5:$L$184))*0.2)/12</f>
        <v>2180.6684588599214</v>
      </c>
      <c r="M185" s="24">
        <f t="shared" ref="M185:M196" si="154">(($C$9-SUM($M$125:$M$184))*0.15)/12</f>
        <v>1815.8183941887946</v>
      </c>
      <c r="N185" s="48"/>
      <c r="O185" s="32">
        <f t="shared" si="106"/>
        <v>10082.99055914864</v>
      </c>
      <c r="P185" s="32">
        <f t="shared" si="114"/>
        <v>2226.2699649449032</v>
      </c>
      <c r="Q185" s="32">
        <f t="shared" si="115"/>
        <v>7856.7205942037372</v>
      </c>
      <c r="R185" s="45">
        <f t="shared" si="119"/>
        <v>526448.07099257305</v>
      </c>
      <c r="S185" s="31">
        <f t="shared" si="107"/>
        <v>-3232.0741926917494</v>
      </c>
      <c r="T185" s="32">
        <f>S185*$C$62</f>
        <v>-969.62225780752476</v>
      </c>
      <c r="U185" s="32">
        <f t="shared" si="108"/>
        <v>-10119.172529087962</v>
      </c>
      <c r="V185" s="32">
        <v>0</v>
      </c>
      <c r="W185" s="32">
        <f t="shared" si="109"/>
        <v>-6122.6856760392457</v>
      </c>
      <c r="X185" s="32">
        <f t="shared" ref="X185:X196" si="155">W185/(1+$C$18)^16</f>
        <v>-2804.8728537252841</v>
      </c>
      <c r="Y185" s="102">
        <f t="shared" si="116"/>
        <v>-165811.21890949059</v>
      </c>
      <c r="Z185" s="32">
        <f t="shared" si="120"/>
        <v>-204719.50203608689</v>
      </c>
      <c r="AA185" s="45">
        <f t="shared" si="121"/>
        <v>-204719.50203608695</v>
      </c>
      <c r="AB185" s="1"/>
      <c r="AC185" s="40">
        <f t="shared" si="110"/>
        <v>-1005.8042277468462</v>
      </c>
      <c r="AD185" s="40">
        <f t="shared" si="143"/>
        <v>-301.74126832405386</v>
      </c>
      <c r="AE185" s="40">
        <f t="shared" si="111"/>
        <v>-704.06295942279235</v>
      </c>
      <c r="AF185" s="40">
        <f t="shared" si="112"/>
        <v>0</v>
      </c>
      <c r="AG185" s="40">
        <f t="shared" si="113"/>
        <v>3292.4238936259235</v>
      </c>
      <c r="AH185" s="40">
        <f t="shared" ref="AH185:AH196" si="156">AG185/(1+$C$18)^16</f>
        <v>1508.2973209498239</v>
      </c>
      <c r="AI185" s="106">
        <f t="shared" si="122"/>
        <v>-448786.71878620965</v>
      </c>
      <c r="AJ185" s="40">
        <f t="shared" si="117"/>
        <v>1589381.1078663336</v>
      </c>
      <c r="AK185" s="108">
        <f t="shared" si="118"/>
        <v>61552.8066658963</v>
      </c>
    </row>
    <row r="186" spans="6:37">
      <c r="F186" s="17" t="s">
        <v>31</v>
      </c>
      <c r="G186">
        <v>16</v>
      </c>
      <c r="I186">
        <v>2</v>
      </c>
      <c r="J186" s="26">
        <f t="shared" si="151"/>
        <v>9130.3883206714127</v>
      </c>
      <c r="K186" s="24">
        <f t="shared" si="152"/>
        <v>2975.383389288475</v>
      </c>
      <c r="L186" s="24">
        <f t="shared" si="153"/>
        <v>2180.6684588599214</v>
      </c>
      <c r="M186" s="24">
        <f t="shared" si="154"/>
        <v>1815.8183941887946</v>
      </c>
      <c r="N186" s="48"/>
      <c r="O186" s="32">
        <f t="shared" si="106"/>
        <v>10082.99055914864</v>
      </c>
      <c r="P186" s="32">
        <f t="shared" si="114"/>
        <v>2193.5336291357212</v>
      </c>
      <c r="Q186" s="32">
        <f t="shared" si="115"/>
        <v>7889.4569300129187</v>
      </c>
      <c r="R186" s="45">
        <f t="shared" si="119"/>
        <v>518558.61406256014</v>
      </c>
      <c r="S186" s="31">
        <f t="shared" si="107"/>
        <v>-35.015550801499558</v>
      </c>
      <c r="T186" s="32">
        <f t="shared" si="141"/>
        <v>-10.504665240449867</v>
      </c>
      <c r="U186" s="32">
        <f t="shared" si="108"/>
        <v>-7913.9678155739693</v>
      </c>
      <c r="V186" s="32">
        <v>0</v>
      </c>
      <c r="W186" s="32">
        <f t="shared" si="109"/>
        <v>-3917.4809625252528</v>
      </c>
      <c r="X186" s="32">
        <f t="shared" si="155"/>
        <v>-1794.643166114779</v>
      </c>
      <c r="Y186" s="102">
        <f t="shared" si="116"/>
        <v>-167605.86207560537</v>
      </c>
      <c r="Z186" s="32">
        <f t="shared" si="120"/>
        <v>-208636.98299861216</v>
      </c>
      <c r="AA186" s="45">
        <f t="shared" si="121"/>
        <v>-208636.98299861222</v>
      </c>
      <c r="AB186" s="1"/>
      <c r="AC186" s="40">
        <f t="shared" si="110"/>
        <v>2158.5180783342216</v>
      </c>
      <c r="AD186" s="40">
        <f t="shared" si="143"/>
        <v>647.55542350026644</v>
      </c>
      <c r="AE186" s="40">
        <f t="shared" si="111"/>
        <v>1510.9626548339552</v>
      </c>
      <c r="AF186" s="40">
        <f t="shared" si="112"/>
        <v>0</v>
      </c>
      <c r="AG186" s="40">
        <f t="shared" si="113"/>
        <v>5507.4495078826712</v>
      </c>
      <c r="AH186" s="40">
        <f t="shared" si="156"/>
        <v>2523.0260763469187</v>
      </c>
      <c r="AI186" s="106">
        <f t="shared" si="122"/>
        <v>-446263.69270986272</v>
      </c>
      <c r="AJ186" s="40">
        <f t="shared" si="117"/>
        <v>1594888.5573742162</v>
      </c>
      <c r="AK186" s="108">
        <f t="shared" si="118"/>
        <v>67060.256173778966</v>
      </c>
    </row>
    <row r="187" spans="6:37">
      <c r="F187" s="13" t="s">
        <v>30</v>
      </c>
      <c r="G187" s="1">
        <v>0</v>
      </c>
      <c r="I187">
        <v>3</v>
      </c>
      <c r="J187" s="26">
        <f t="shared" si="151"/>
        <v>16365.479426763017</v>
      </c>
      <c r="K187" s="24">
        <f t="shared" si="152"/>
        <v>2975.383389288475</v>
      </c>
      <c r="L187" s="24">
        <f t="shared" si="153"/>
        <v>2180.6684588599214</v>
      </c>
      <c r="M187" s="24">
        <f t="shared" si="154"/>
        <v>1815.8183941887946</v>
      </c>
      <c r="N187" s="48"/>
      <c r="O187" s="32">
        <f t="shared" si="106"/>
        <v>10082.99055914864</v>
      </c>
      <c r="P187" s="32">
        <f t="shared" si="114"/>
        <v>2160.660891927334</v>
      </c>
      <c r="Q187" s="32">
        <f t="shared" si="115"/>
        <v>7922.3296672213064</v>
      </c>
      <c r="R187" s="45">
        <f t="shared" si="119"/>
        <v>510636.28439533885</v>
      </c>
      <c r="S187" s="31">
        <f t="shared" si="107"/>
        <v>7232.9482924984904</v>
      </c>
      <c r="T187" s="32">
        <f t="shared" si="141"/>
        <v>2169.8844877495471</v>
      </c>
      <c r="U187" s="32">
        <f t="shared" si="108"/>
        <v>-2859.2658624723626</v>
      </c>
      <c r="V187" s="32">
        <v>0</v>
      </c>
      <c r="W187" s="32">
        <f t="shared" si="109"/>
        <v>1137.2209905763534</v>
      </c>
      <c r="X187" s="32">
        <f t="shared" si="155"/>
        <v>520.97403883350103</v>
      </c>
      <c r="Y187" s="102">
        <f t="shared" si="116"/>
        <v>-167084.88803677188</v>
      </c>
      <c r="Z187" s="32">
        <f t="shared" si="120"/>
        <v>-207499.76200803582</v>
      </c>
      <c r="AA187" s="45">
        <f t="shared" si="121"/>
        <v>-207499.76200803588</v>
      </c>
      <c r="AB187" s="1"/>
      <c r="AC187" s="40">
        <f t="shared" si="110"/>
        <v>9393.6091844258244</v>
      </c>
      <c r="AD187" s="40">
        <f t="shared" si="143"/>
        <v>2818.0827553277472</v>
      </c>
      <c r="AE187" s="40">
        <f t="shared" si="111"/>
        <v>6575.5264290980776</v>
      </c>
      <c r="AF187" s="40">
        <f t="shared" si="112"/>
        <v>0</v>
      </c>
      <c r="AG187" s="40">
        <f t="shared" si="113"/>
        <v>10572.013282146794</v>
      </c>
      <c r="AH187" s="40">
        <f t="shared" si="156"/>
        <v>4843.1610951975663</v>
      </c>
      <c r="AI187" s="106">
        <f t="shared" si="122"/>
        <v>-441420.53161466517</v>
      </c>
      <c r="AJ187" s="40">
        <f t="shared" si="117"/>
        <v>1605460.5706563629</v>
      </c>
      <c r="AK187" s="108">
        <f t="shared" si="118"/>
        <v>77632.269455925765</v>
      </c>
    </row>
    <row r="188" spans="6:37">
      <c r="F188" s="18" t="s">
        <v>39</v>
      </c>
      <c r="G188" s="1">
        <f>G185</f>
        <v>65307.066134501823</v>
      </c>
      <c r="I188">
        <v>4</v>
      </c>
      <c r="J188" s="26">
        <f t="shared" si="151"/>
        <v>18788.163692356335</v>
      </c>
      <c r="K188" s="24">
        <f t="shared" si="152"/>
        <v>2975.383389288475</v>
      </c>
      <c r="L188" s="24">
        <f t="shared" si="153"/>
        <v>2180.6684588599214</v>
      </c>
      <c r="M188" s="24">
        <f t="shared" si="154"/>
        <v>1815.8183941887946</v>
      </c>
      <c r="N188" s="48"/>
      <c r="O188" s="32">
        <f t="shared" si="106"/>
        <v>10082.99055914864</v>
      </c>
      <c r="P188" s="32">
        <f t="shared" si="114"/>
        <v>2127.6511849805784</v>
      </c>
      <c r="Q188" s="32">
        <f t="shared" si="115"/>
        <v>7955.339374168062</v>
      </c>
      <c r="R188" s="45">
        <f t="shared" si="119"/>
        <v>502680.94502117077</v>
      </c>
      <c r="S188" s="31">
        <f t="shared" si="107"/>
        <v>9688.6422650385648</v>
      </c>
      <c r="T188" s="32">
        <f t="shared" si="141"/>
        <v>2906.5926795115693</v>
      </c>
      <c r="U188" s="32">
        <f t="shared" si="108"/>
        <v>-1173.2897886410665</v>
      </c>
      <c r="V188" s="32">
        <v>0</v>
      </c>
      <c r="W188" s="32">
        <f t="shared" si="109"/>
        <v>2823.1970644076496</v>
      </c>
      <c r="X188" s="32">
        <f t="shared" si="155"/>
        <v>1293.3391040574415</v>
      </c>
      <c r="Y188" s="102">
        <f t="shared" si="116"/>
        <v>-165791.54893271445</v>
      </c>
      <c r="Z188" s="32">
        <f t="shared" si="120"/>
        <v>-204676.56494362818</v>
      </c>
      <c r="AA188" s="45">
        <f t="shared" si="121"/>
        <v>-204676.56494362824</v>
      </c>
      <c r="AB188" s="1"/>
      <c r="AC188" s="40">
        <f t="shared" si="110"/>
        <v>11816.293450019142</v>
      </c>
      <c r="AD188" s="40">
        <f t="shared" si="143"/>
        <v>3544.8880350057425</v>
      </c>
      <c r="AE188" s="40">
        <f t="shared" si="111"/>
        <v>8271.4054150133998</v>
      </c>
      <c r="AF188" s="40">
        <f t="shared" si="112"/>
        <v>0</v>
      </c>
      <c r="AG188" s="40">
        <f t="shared" si="113"/>
        <v>12267.892268062116</v>
      </c>
      <c r="AH188" s="40">
        <f t="shared" si="156"/>
        <v>5620.0627985484671</v>
      </c>
      <c r="AI188" s="106">
        <f t="shared" si="122"/>
        <v>-435800.46881611669</v>
      </c>
      <c r="AJ188" s="40">
        <f t="shared" si="117"/>
        <v>1617728.462924425</v>
      </c>
      <c r="AK188" s="108">
        <f t="shared" si="118"/>
        <v>89900.161723987883</v>
      </c>
    </row>
    <row r="189" spans="6:37">
      <c r="F189" s="16" t="s">
        <v>90</v>
      </c>
      <c r="G189" s="129">
        <f>$C$62</f>
        <v>0.3</v>
      </c>
      <c r="I189">
        <v>5</v>
      </c>
      <c r="J189" s="26">
        <f t="shared" si="151"/>
        <v>19447.397506123223</v>
      </c>
      <c r="K189" s="24">
        <f t="shared" si="152"/>
        <v>2975.383389288475</v>
      </c>
      <c r="L189" s="24">
        <f t="shared" si="153"/>
        <v>2180.6684588599214</v>
      </c>
      <c r="M189" s="24">
        <f t="shared" si="154"/>
        <v>1815.8183941887946</v>
      </c>
      <c r="N189" s="48"/>
      <c r="O189" s="32">
        <f t="shared" si="106"/>
        <v>10082.99055914864</v>
      </c>
      <c r="P189" s="32">
        <f t="shared" si="114"/>
        <v>2094.5039375882116</v>
      </c>
      <c r="Q189" s="32">
        <f t="shared" si="115"/>
        <v>7988.4866215604288</v>
      </c>
      <c r="R189" s="45">
        <f t="shared" si="119"/>
        <v>494692.45839961036</v>
      </c>
      <c r="S189" s="31">
        <f t="shared" si="107"/>
        <v>10381.023326197819</v>
      </c>
      <c r="T189" s="32">
        <f t="shared" si="141"/>
        <v>3114.3069978593458</v>
      </c>
      <c r="U189" s="32">
        <f t="shared" si="108"/>
        <v>-721.77029322195631</v>
      </c>
      <c r="V189" s="32">
        <v>0</v>
      </c>
      <c r="W189" s="32">
        <f t="shared" si="109"/>
        <v>3274.7165598267597</v>
      </c>
      <c r="X189" s="32">
        <f t="shared" si="155"/>
        <v>1500.185387312679</v>
      </c>
      <c r="Y189" s="102">
        <f t="shared" si="116"/>
        <v>-164291.36354540178</v>
      </c>
      <c r="Z189" s="32">
        <f t="shared" si="120"/>
        <v>-201401.84838380144</v>
      </c>
      <c r="AA189" s="45">
        <f t="shared" si="121"/>
        <v>-201401.84838380149</v>
      </c>
      <c r="AB189" s="1"/>
      <c r="AC189" s="40">
        <f t="shared" si="110"/>
        <v>12475.527263786031</v>
      </c>
      <c r="AD189" s="40">
        <f>AC189*$C$62</f>
        <v>3742.658179135809</v>
      </c>
      <c r="AE189" s="40">
        <f t="shared" si="111"/>
        <v>8732.8690846502213</v>
      </c>
      <c r="AF189" s="40">
        <f t="shared" si="112"/>
        <v>0</v>
      </c>
      <c r="AG189" s="40">
        <f t="shared" si="113"/>
        <v>12729.355937698938</v>
      </c>
      <c r="AH189" s="40">
        <f t="shared" si="156"/>
        <v>5831.4646225895276</v>
      </c>
      <c r="AI189" s="106">
        <f t="shared" si="122"/>
        <v>-429969.00419352716</v>
      </c>
      <c r="AJ189" s="40">
        <f t="shared" si="117"/>
        <v>1630457.8188621239</v>
      </c>
      <c r="AK189" s="108">
        <f t="shared" si="118"/>
        <v>102629.51766168683</v>
      </c>
    </row>
    <row r="190" spans="6:37">
      <c r="G190" s="1"/>
      <c r="I190">
        <v>6</v>
      </c>
      <c r="J190" s="26">
        <f t="shared" si="151"/>
        <v>20271.439773331833</v>
      </c>
      <c r="K190" s="24">
        <f t="shared" si="152"/>
        <v>2975.383389288475</v>
      </c>
      <c r="L190" s="24">
        <f t="shared" si="153"/>
        <v>2180.6684588599214</v>
      </c>
      <c r="M190" s="24">
        <f t="shared" si="154"/>
        <v>1815.8183941887946</v>
      </c>
      <c r="N190" s="48"/>
      <c r="O190" s="32">
        <f t="shared" si="106"/>
        <v>10082.99055914864</v>
      </c>
      <c r="P190" s="32">
        <f t="shared" si="114"/>
        <v>2061.2185766650432</v>
      </c>
      <c r="Q190" s="32">
        <f t="shared" si="115"/>
        <v>8021.7719824835967</v>
      </c>
      <c r="R190" s="45">
        <f t="shared" si="119"/>
        <v>486670.68641712674</v>
      </c>
      <c r="S190" s="31">
        <f t="shared" si="107"/>
        <v>11238.350954329597</v>
      </c>
      <c r="T190" s="32">
        <f t="shared" si="141"/>
        <v>3371.5052862988791</v>
      </c>
      <c r="U190" s="32">
        <f t="shared" si="108"/>
        <v>-154.92631445287952</v>
      </c>
      <c r="V190" s="32">
        <v>0</v>
      </c>
      <c r="W190" s="32">
        <f t="shared" si="109"/>
        <v>3841.5605385958365</v>
      </c>
      <c r="X190" s="32">
        <f t="shared" si="155"/>
        <v>1759.8631451582419</v>
      </c>
      <c r="Y190" s="102">
        <f t="shared" si="116"/>
        <v>-162531.50040024353</v>
      </c>
      <c r="Z190" s="32">
        <f t="shared" si="120"/>
        <v>-197560.2878452056</v>
      </c>
      <c r="AA190" s="45">
        <f t="shared" si="121"/>
        <v>-197560.28784520566</v>
      </c>
      <c r="AB190" s="1"/>
      <c r="AC190" s="40">
        <f t="shared" si="110"/>
        <v>13299.56953099464</v>
      </c>
      <c r="AD190" s="40">
        <f t="shared" si="143"/>
        <v>3989.8708592983921</v>
      </c>
      <c r="AE190" s="40">
        <f t="shared" si="111"/>
        <v>9309.6986716962492</v>
      </c>
      <c r="AF190" s="40">
        <f t="shared" si="112"/>
        <v>0</v>
      </c>
      <c r="AG190" s="40">
        <f t="shared" si="113"/>
        <v>13306.185524744966</v>
      </c>
      <c r="AH190" s="40">
        <f t="shared" si="156"/>
        <v>6095.7169026408546</v>
      </c>
      <c r="AI190" s="106">
        <f t="shared" si="122"/>
        <v>-423873.28729088628</v>
      </c>
      <c r="AJ190" s="40">
        <f t="shared" si="117"/>
        <v>1643764.0043868688</v>
      </c>
      <c r="AK190" s="108">
        <f t="shared" si="118"/>
        <v>115935.7031864318</v>
      </c>
    </row>
    <row r="191" spans="6:37">
      <c r="G191" s="1"/>
      <c r="I191">
        <v>7</v>
      </c>
      <c r="J191" s="26">
        <f t="shared" si="151"/>
        <v>21589.907400865613</v>
      </c>
      <c r="K191" s="24">
        <f t="shared" si="152"/>
        <v>2975.383389288475</v>
      </c>
      <c r="L191" s="24">
        <f t="shared" si="153"/>
        <v>2180.6684588599214</v>
      </c>
      <c r="M191" s="24">
        <f t="shared" si="154"/>
        <v>1815.8183941887946</v>
      </c>
      <c r="N191" s="48"/>
      <c r="O191" s="32">
        <f t="shared" si="106"/>
        <v>10082.99055914864</v>
      </c>
      <c r="P191" s="32">
        <f t="shared" si="114"/>
        <v>2027.794526738028</v>
      </c>
      <c r="Q191" s="32">
        <f t="shared" si="115"/>
        <v>8055.1960324106121</v>
      </c>
      <c r="R191" s="45">
        <f t="shared" si="119"/>
        <v>478615.49038471613</v>
      </c>
      <c r="S191" s="31">
        <f t="shared" si="107"/>
        <v>12590.242631790396</v>
      </c>
      <c r="T191" s="32">
        <f t="shared" si="141"/>
        <v>3777.0727895371183</v>
      </c>
      <c r="U191" s="32">
        <f t="shared" si="108"/>
        <v>757.9738098426642</v>
      </c>
      <c r="V191" s="32">
        <v>0</v>
      </c>
      <c r="W191" s="32">
        <f t="shared" si="109"/>
        <v>4754.4606628913807</v>
      </c>
      <c r="X191" s="32">
        <f t="shared" si="155"/>
        <v>2178.0732105254119</v>
      </c>
      <c r="Y191" s="102">
        <f t="shared" si="116"/>
        <v>-160353.42718971812</v>
      </c>
      <c r="Z191" s="32">
        <f t="shared" si="120"/>
        <v>-192805.82718231421</v>
      </c>
      <c r="AA191" s="45">
        <f t="shared" si="121"/>
        <v>-192805.82718231427</v>
      </c>
      <c r="AB191" s="1"/>
      <c r="AC191" s="40">
        <f t="shared" si="110"/>
        <v>14618.037158528423</v>
      </c>
      <c r="AD191" s="40">
        <f t="shared" si="143"/>
        <v>4385.4111475585269</v>
      </c>
      <c r="AE191" s="40">
        <f t="shared" si="111"/>
        <v>10232.626010969896</v>
      </c>
      <c r="AF191" s="40">
        <f t="shared" si="112"/>
        <v>0</v>
      </c>
      <c r="AG191" s="40">
        <f t="shared" si="113"/>
        <v>14229.112864018613</v>
      </c>
      <c r="AH191" s="40">
        <f t="shared" si="156"/>
        <v>6518.5205507229784</v>
      </c>
      <c r="AI191" s="106">
        <f t="shared" si="122"/>
        <v>-417354.76674016332</v>
      </c>
      <c r="AJ191" s="40">
        <f t="shared" si="117"/>
        <v>1657993.1172508874</v>
      </c>
      <c r="AK191" s="108">
        <f t="shared" si="118"/>
        <v>130164.8160504504</v>
      </c>
    </row>
    <row r="192" spans="6:37">
      <c r="G192" s="1"/>
      <c r="I192">
        <v>8</v>
      </c>
      <c r="J192" s="26">
        <f t="shared" si="151"/>
        <v>19777.014413006669</v>
      </c>
      <c r="K192" s="24">
        <f t="shared" si="152"/>
        <v>2975.383389288475</v>
      </c>
      <c r="L192" s="24">
        <f t="shared" si="153"/>
        <v>2180.6684588599214</v>
      </c>
      <c r="M192" s="24">
        <f t="shared" si="154"/>
        <v>1815.8183941887946</v>
      </c>
      <c r="N192" s="48"/>
      <c r="O192" s="32">
        <f t="shared" si="106"/>
        <v>10082.99055914864</v>
      </c>
      <c r="P192" s="32">
        <f t="shared" si="114"/>
        <v>1994.2312099363171</v>
      </c>
      <c r="Q192" s="32">
        <f t="shared" si="115"/>
        <v>8088.7593492123233</v>
      </c>
      <c r="R192" s="45">
        <f t="shared" si="119"/>
        <v>470526.73103550379</v>
      </c>
      <c r="S192" s="31">
        <f t="shared" si="107"/>
        <v>10810.91296073316</v>
      </c>
      <c r="T192" s="32">
        <f t="shared" si="141"/>
        <v>3243.2738882199478</v>
      </c>
      <c r="U192" s="32">
        <f t="shared" si="108"/>
        <v>-521.12027669911186</v>
      </c>
      <c r="V192" s="32">
        <v>0</v>
      </c>
      <c r="W192" s="32">
        <f t="shared" si="109"/>
        <v>3475.3665763496042</v>
      </c>
      <c r="X192" s="32">
        <f t="shared" si="155"/>
        <v>1592.105471769559</v>
      </c>
      <c r="Y192" s="102">
        <f t="shared" si="116"/>
        <v>-158761.32171794857</v>
      </c>
      <c r="Z192" s="32">
        <f t="shared" si="120"/>
        <v>-189330.46060596462</v>
      </c>
      <c r="AA192" s="45">
        <f t="shared" si="121"/>
        <v>-189330.46060596468</v>
      </c>
      <c r="AB192" s="1"/>
      <c r="AC192" s="40">
        <f t="shared" si="110"/>
        <v>12805.144170669477</v>
      </c>
      <c r="AD192" s="40">
        <f t="shared" si="143"/>
        <v>3841.5432512008429</v>
      </c>
      <c r="AE192" s="40">
        <f t="shared" si="111"/>
        <v>8963.6009194686339</v>
      </c>
      <c r="AF192" s="40">
        <f t="shared" si="112"/>
        <v>0</v>
      </c>
      <c r="AG192" s="40">
        <f t="shared" si="113"/>
        <v>12960.08777251735</v>
      </c>
      <c r="AH192" s="40">
        <f t="shared" si="156"/>
        <v>5937.1655346100597</v>
      </c>
      <c r="AI192" s="106">
        <f t="shared" si="122"/>
        <v>-411417.60120555328</v>
      </c>
      <c r="AJ192" s="40">
        <f t="shared" si="117"/>
        <v>1670953.2050234049</v>
      </c>
      <c r="AK192" s="108">
        <f t="shared" si="118"/>
        <v>143124.90382296775</v>
      </c>
    </row>
    <row r="193" spans="6:37">
      <c r="G193" s="1"/>
      <c r="I193">
        <v>9</v>
      </c>
      <c r="J193" s="26">
        <f t="shared" si="151"/>
        <v>17634.504518264279</v>
      </c>
      <c r="K193" s="24">
        <f t="shared" si="152"/>
        <v>2975.383389288475</v>
      </c>
      <c r="L193" s="24">
        <f t="shared" si="153"/>
        <v>2180.6684588599214</v>
      </c>
      <c r="M193" s="24">
        <f t="shared" si="154"/>
        <v>1815.8183941887946</v>
      </c>
      <c r="N193" s="48"/>
      <c r="O193" s="32">
        <f t="shared" si="106"/>
        <v>10082.99055914864</v>
      </c>
      <c r="P193" s="32">
        <f t="shared" si="114"/>
        <v>1960.5280459812657</v>
      </c>
      <c r="Q193" s="32">
        <f t="shared" si="115"/>
        <v>8122.4625131673747</v>
      </c>
      <c r="R193" s="45">
        <f t="shared" si="119"/>
        <v>462404.26852233644</v>
      </c>
      <c r="S193" s="31">
        <f t="shared" si="107"/>
        <v>8702.1062299458208</v>
      </c>
      <c r="T193" s="32">
        <f t="shared" si="141"/>
        <v>2610.6318689837462</v>
      </c>
      <c r="U193" s="32">
        <f t="shared" si="108"/>
        <v>-2030.9881522053001</v>
      </c>
      <c r="V193" s="32">
        <v>0</v>
      </c>
      <c r="W193" s="32">
        <f t="shared" si="109"/>
        <v>1965.4987008434159</v>
      </c>
      <c r="X193" s="32">
        <f t="shared" si="155"/>
        <v>900.41760131549711</v>
      </c>
      <c r="Y193" s="102">
        <f t="shared" si="116"/>
        <v>-157860.90411663306</v>
      </c>
      <c r="Z193" s="32">
        <f t="shared" si="120"/>
        <v>-187364.96190512119</v>
      </c>
      <c r="AA193" s="45">
        <f t="shared" si="121"/>
        <v>-187364.96190512125</v>
      </c>
      <c r="AB193" s="1"/>
      <c r="AC193" s="40">
        <f t="shared" si="110"/>
        <v>10662.634275927086</v>
      </c>
      <c r="AD193" s="40">
        <f t="shared" si="143"/>
        <v>3198.7902827781259</v>
      </c>
      <c r="AE193" s="40">
        <f t="shared" si="111"/>
        <v>7463.8439931489611</v>
      </c>
      <c r="AF193" s="40">
        <f t="shared" si="112"/>
        <v>0</v>
      </c>
      <c r="AG193" s="40">
        <f t="shared" si="113"/>
        <v>11460.330846197678</v>
      </c>
      <c r="AH193" s="40">
        <f t="shared" si="156"/>
        <v>5250.1096064766098</v>
      </c>
      <c r="AI193" s="106">
        <f t="shared" si="122"/>
        <v>-406167.49159907666</v>
      </c>
      <c r="AJ193" s="40">
        <f t="shared" si="117"/>
        <v>1682413.5358696026</v>
      </c>
      <c r="AK193" s="108">
        <f t="shared" si="118"/>
        <v>154585.23466916542</v>
      </c>
    </row>
    <row r="194" spans="6:37">
      <c r="G194" s="1"/>
      <c r="I194">
        <v>10</v>
      </c>
      <c r="J194" s="26">
        <f t="shared" si="151"/>
        <v>12261.748936064136</v>
      </c>
      <c r="K194" s="24">
        <f t="shared" si="152"/>
        <v>2975.383389288475</v>
      </c>
      <c r="L194" s="24">
        <f t="shared" si="153"/>
        <v>2180.6684588599214</v>
      </c>
      <c r="M194" s="24">
        <f t="shared" si="154"/>
        <v>1815.8183941887946</v>
      </c>
      <c r="N194" s="48"/>
      <c r="O194" s="32">
        <f t="shared" si="106"/>
        <v>10082.99055914864</v>
      </c>
      <c r="P194" s="32">
        <f t="shared" si="114"/>
        <v>1926.6844521764017</v>
      </c>
      <c r="Q194" s="32">
        <f t="shared" si="115"/>
        <v>8156.3061069722389</v>
      </c>
      <c r="R194" s="45">
        <f t="shared" si="119"/>
        <v>454247.96241536422</v>
      </c>
      <c r="S194" s="31">
        <f t="shared" si="107"/>
        <v>3363.1942415505437</v>
      </c>
      <c r="T194" s="32">
        <f t="shared" si="141"/>
        <v>1008.9582724651631</v>
      </c>
      <c r="U194" s="32">
        <f t="shared" si="108"/>
        <v>-5802.070137886858</v>
      </c>
      <c r="V194" s="32">
        <v>0</v>
      </c>
      <c r="W194" s="32">
        <f t="shared" si="109"/>
        <v>-1805.5832848381419</v>
      </c>
      <c r="X194" s="32">
        <f t="shared" si="155"/>
        <v>-827.15850669943313</v>
      </c>
      <c r="Y194" s="102">
        <f t="shared" si="116"/>
        <v>-158688.06262333249</v>
      </c>
      <c r="Z194" s="32">
        <f t="shared" si="120"/>
        <v>-189170.54518995935</v>
      </c>
      <c r="AA194" s="45">
        <f t="shared" si="121"/>
        <v>-189170.5451899594</v>
      </c>
      <c r="AB194" s="1"/>
      <c r="AC194" s="40">
        <f t="shared" si="110"/>
        <v>5289.8786937269451</v>
      </c>
      <c r="AD194" s="40">
        <f t="shared" si="143"/>
        <v>1586.9636081180836</v>
      </c>
      <c r="AE194" s="40">
        <f t="shared" si="111"/>
        <v>3702.9150856088618</v>
      </c>
      <c r="AF194" s="40">
        <f t="shared" si="112"/>
        <v>0</v>
      </c>
      <c r="AG194" s="40">
        <f t="shared" si="113"/>
        <v>7699.4019386575783</v>
      </c>
      <c r="AH194" s="40">
        <f t="shared" si="156"/>
        <v>3527.1847405419608</v>
      </c>
      <c r="AI194" s="106">
        <f t="shared" si="122"/>
        <v>-402640.30685853469</v>
      </c>
      <c r="AJ194" s="40">
        <f t="shared" si="117"/>
        <v>1690112.9378082601</v>
      </c>
      <c r="AK194" s="108">
        <f t="shared" si="118"/>
        <v>162284.63660782299</v>
      </c>
    </row>
    <row r="195" spans="6:37">
      <c r="G195" s="1"/>
      <c r="I195">
        <v>11</v>
      </c>
      <c r="J195" s="26">
        <f t="shared" si="151"/>
        <v>6658.261519045579</v>
      </c>
      <c r="K195" s="24">
        <f t="shared" si="152"/>
        <v>2975.383389288475</v>
      </c>
      <c r="L195" s="24">
        <f t="shared" si="153"/>
        <v>2180.6684588599214</v>
      </c>
      <c r="M195" s="24">
        <f t="shared" si="154"/>
        <v>1815.8183941887946</v>
      </c>
      <c r="N195" s="48"/>
      <c r="O195" s="32">
        <f t="shared" si="106"/>
        <v>10082.99055914864</v>
      </c>
      <c r="P195" s="32">
        <f t="shared" si="114"/>
        <v>1892.6998433973508</v>
      </c>
      <c r="Q195" s="32">
        <f t="shared" si="115"/>
        <v>8190.2907157512891</v>
      </c>
      <c r="R195" s="45">
        <f t="shared" si="119"/>
        <v>446057.67169961293</v>
      </c>
      <c r="S195" s="31">
        <f t="shared" si="107"/>
        <v>-2206.3085666889629</v>
      </c>
      <c r="T195" s="32">
        <f t="shared" si="141"/>
        <v>-661.89257000668886</v>
      </c>
      <c r="U195" s="32">
        <f t="shared" si="108"/>
        <v>-9734.7067124335626</v>
      </c>
      <c r="V195" s="32">
        <v>0</v>
      </c>
      <c r="W195" s="32">
        <f t="shared" si="109"/>
        <v>-5738.2198593848461</v>
      </c>
      <c r="X195" s="32">
        <f t="shared" si="155"/>
        <v>-2628.7446333040702</v>
      </c>
      <c r="Y195" s="102">
        <f t="shared" si="116"/>
        <v>-161316.80725663656</v>
      </c>
      <c r="Z195" s="32">
        <f t="shared" si="120"/>
        <v>-194908.76504934419</v>
      </c>
      <c r="AA195" s="45">
        <f t="shared" si="121"/>
        <v>-194908.76504934425</v>
      </c>
      <c r="AB195" s="1"/>
      <c r="AC195" s="40">
        <f t="shared" si="110"/>
        <v>-313.60872329161202</v>
      </c>
      <c r="AD195" s="40">
        <f t="shared" si="143"/>
        <v>-94.082616987483604</v>
      </c>
      <c r="AE195" s="40">
        <f t="shared" si="111"/>
        <v>-219.5261063041284</v>
      </c>
      <c r="AF195" s="40">
        <f t="shared" si="112"/>
        <v>0</v>
      </c>
      <c r="AG195" s="40">
        <f t="shared" si="113"/>
        <v>3776.9607467445876</v>
      </c>
      <c r="AH195" s="40">
        <f t="shared" si="156"/>
        <v>1730.2692361929385</v>
      </c>
      <c r="AI195" s="106">
        <f t="shared" si="122"/>
        <v>-400910.03762234177</v>
      </c>
      <c r="AJ195" s="40">
        <f t="shared" si="117"/>
        <v>1693889.8985550047</v>
      </c>
      <c r="AK195" s="108">
        <f t="shared" si="118"/>
        <v>166061.59735456758</v>
      </c>
    </row>
    <row r="196" spans="6:37">
      <c r="G196" s="1"/>
      <c r="I196">
        <v>12</v>
      </c>
      <c r="J196" s="26">
        <f t="shared" si="151"/>
        <v>5603.4874170185558</v>
      </c>
      <c r="K196" s="24">
        <f t="shared" si="152"/>
        <v>2975.383389288475</v>
      </c>
      <c r="L196" s="24">
        <f t="shared" si="153"/>
        <v>2180.6684588599214</v>
      </c>
      <c r="M196" s="24">
        <f t="shared" si="154"/>
        <v>1815.8183941887946</v>
      </c>
      <c r="N196" s="48"/>
      <c r="O196" s="32">
        <f t="shared" si="106"/>
        <v>10082.99055914864</v>
      </c>
      <c r="P196" s="32">
        <f t="shared" si="114"/>
        <v>1858.5736320817205</v>
      </c>
      <c r="Q196" s="32">
        <f t="shared" si="115"/>
        <v>8224.416927066919</v>
      </c>
      <c r="R196" s="45">
        <f t="shared" si="119"/>
        <v>437833.254772546</v>
      </c>
      <c r="S196" s="31">
        <f t="shared" si="107"/>
        <v>-3226.9564574003557</v>
      </c>
      <c r="T196" s="32">
        <f t="shared" si="141"/>
        <v>-968.08693722010662</v>
      </c>
      <c r="U196" s="32">
        <f t="shared" si="108"/>
        <v>-10483.286447247168</v>
      </c>
      <c r="V196" s="32">
        <v>0</v>
      </c>
      <c r="W196" s="32">
        <f t="shared" si="109"/>
        <v>-6486.7995941984518</v>
      </c>
      <c r="X196" s="32">
        <f t="shared" si="155"/>
        <v>-2971.6776349514503</v>
      </c>
      <c r="Y196" s="102">
        <f t="shared" si="116"/>
        <v>-164288.48489158801</v>
      </c>
      <c r="Z196" s="32">
        <f t="shared" si="120"/>
        <v>-201395.56464354263</v>
      </c>
      <c r="AA196" s="45">
        <f t="shared" si="121"/>
        <v>-201395.56464354269</v>
      </c>
      <c r="AB196" s="1"/>
      <c r="AC196" s="40">
        <f t="shared" si="110"/>
        <v>-1368.3828253186352</v>
      </c>
      <c r="AD196" s="40">
        <f t="shared" si="143"/>
        <v>-410.51484759559054</v>
      </c>
      <c r="AE196" s="40">
        <f t="shared" si="111"/>
        <v>-957.86797772304476</v>
      </c>
      <c r="AF196" s="40">
        <f t="shared" si="112"/>
        <v>0</v>
      </c>
      <c r="AG196" s="40">
        <f t="shared" si="113"/>
        <v>3038.6188753256711</v>
      </c>
      <c r="AH196" s="40">
        <f t="shared" si="156"/>
        <v>1392.02631772724</v>
      </c>
      <c r="AI196" s="106">
        <f t="shared" si="122"/>
        <v>-399518.01130461454</v>
      </c>
      <c r="AJ196" s="40">
        <f t="shared" si="117"/>
        <v>1696928.5174303304</v>
      </c>
      <c r="AK196" s="108">
        <f t="shared" si="118"/>
        <v>169100.21622989324</v>
      </c>
    </row>
    <row r="197" spans="6:37">
      <c r="F197" s="132" t="s">
        <v>88</v>
      </c>
      <c r="G197" s="1">
        <f>SUM(S197:S208)</f>
        <v>74140.307956474688</v>
      </c>
      <c r="H197">
        <v>2031</v>
      </c>
      <c r="I197">
        <v>1</v>
      </c>
      <c r="J197" s="26">
        <f t="shared" ref="J197:J208" si="157">C23*$C$54*$D$54</f>
        <v>6024.5334615333304</v>
      </c>
      <c r="K197" s="24">
        <f t="shared" ref="K197:K208" si="158">$K$196*$C$8</f>
        <v>3064.6448909671294</v>
      </c>
      <c r="L197" s="24">
        <f t="shared" ref="L197:L208" si="159">(($C$5-SUM($L$5:$L$196))*0.25)/12</f>
        <v>2180.668458859926</v>
      </c>
      <c r="M197" s="24">
        <f t="shared" ref="M197:M208" si="160">(($C$9-SUM($M$125:$M$196))*0.15)/12</f>
        <v>1543.4456350604748</v>
      </c>
      <c r="N197" s="48"/>
      <c r="O197" s="32">
        <f t="shared" ref="O197:O244" si="161">-PMT($C$13/12,$C$14,$C$12,0,0)</f>
        <v>10082.99055914864</v>
      </c>
      <c r="P197" s="32">
        <f t="shared" si="114"/>
        <v>1824.3052282189417</v>
      </c>
      <c r="Q197" s="32">
        <f t="shared" si="115"/>
        <v>8258.6853309296985</v>
      </c>
      <c r="R197" s="45">
        <f t="shared" si="119"/>
        <v>429574.5694416163</v>
      </c>
      <c r="S197" s="31">
        <f t="shared" ref="S197:S244" si="162">J197-K197-L197-M197-P197</f>
        <v>-2588.5307515731415</v>
      </c>
      <c r="T197" s="32">
        <f t="shared" ref="T197:T244" si="163">S197*$C$63</f>
        <v>-1061.2976081449879</v>
      </c>
      <c r="U197" s="32">
        <f t="shared" ref="U197:U244" si="164">J197-K197-L197-M197-T197-O197</f>
        <v>-9785.9184743578517</v>
      </c>
      <c r="V197" s="32">
        <v>0</v>
      </c>
      <c r="W197" s="32">
        <f t="shared" ref="W197:W244" si="165">U197-V197+L197+M197</f>
        <v>-6061.8043804374511</v>
      </c>
      <c r="X197" s="32">
        <f t="shared" ref="X197:X208" si="166">W197/(1+$C$18)^17</f>
        <v>-2644.7451721298448</v>
      </c>
      <c r="Y197" s="102">
        <f t="shared" si="116"/>
        <v>-166933.23006371787</v>
      </c>
      <c r="Z197" s="32">
        <f t="shared" si="120"/>
        <v>-207457.36902398008</v>
      </c>
      <c r="AA197" s="45">
        <f t="shared" si="121"/>
        <v>-207457.36902398014</v>
      </c>
      <c r="AB197" s="1"/>
      <c r="AC197" s="40">
        <f t="shared" ref="AC197:AC244" si="167">J197-K197-L197-M197</f>
        <v>-764.22552335419982</v>
      </c>
      <c r="AD197" s="40">
        <f t="shared" ref="AD197:AD244" si="168">AC197*$C$63</f>
        <v>-313.33246457522193</v>
      </c>
      <c r="AE197" s="40">
        <f t="shared" ref="AE197:AE244" si="169">J197-K197-L197-M197-AD197</f>
        <v>-450.89305877897789</v>
      </c>
      <c r="AF197" s="40">
        <f t="shared" ref="AF197:AF244" si="170">V197</f>
        <v>0</v>
      </c>
      <c r="AG197" s="40">
        <f t="shared" ref="AG197:AG244" si="171">AE197-AF197+L197+M197</f>
        <v>3273.2210351414233</v>
      </c>
      <c r="AH197" s="40">
        <f t="shared" ref="AH197:AH208" si="172">AG197/(1+$C$18)^17</f>
        <v>1428.0954954503845</v>
      </c>
      <c r="AI197" s="106">
        <f t="shared" si="122"/>
        <v>-398089.91580916417</v>
      </c>
      <c r="AJ197" s="40">
        <f t="shared" si="117"/>
        <v>1700201.7384654719</v>
      </c>
      <c r="AK197" s="108">
        <f t="shared" si="118"/>
        <v>172373.43726503465</v>
      </c>
    </row>
    <row r="198" spans="6:37">
      <c r="F198" s="17" t="s">
        <v>31</v>
      </c>
      <c r="G198">
        <v>17</v>
      </c>
      <c r="I198">
        <v>2</v>
      </c>
      <c r="J198" s="26">
        <f t="shared" si="157"/>
        <v>9219.8661262139922</v>
      </c>
      <c r="K198" s="24">
        <f t="shared" si="158"/>
        <v>3064.6448909671294</v>
      </c>
      <c r="L198" s="24">
        <f t="shared" si="159"/>
        <v>2180.668458859926</v>
      </c>
      <c r="M198" s="24">
        <f t="shared" si="160"/>
        <v>1543.4456350604748</v>
      </c>
      <c r="N198" s="48"/>
      <c r="O198" s="32">
        <f t="shared" si="161"/>
        <v>10082.99055914864</v>
      </c>
      <c r="P198" s="32">
        <f t="shared" ref="P198:P244" si="173">($C$13/12)*R197</f>
        <v>1789.8940393400678</v>
      </c>
      <c r="Q198" s="32">
        <f t="shared" ref="Q198:Q244" si="174">O198-P198</f>
        <v>8293.0965198085723</v>
      </c>
      <c r="R198" s="45">
        <f t="shared" si="119"/>
        <v>421281.47292180773</v>
      </c>
      <c r="S198" s="31">
        <f t="shared" si="162"/>
        <v>641.2131019863948</v>
      </c>
      <c r="T198" s="32">
        <f t="shared" si="163"/>
        <v>262.89737181442183</v>
      </c>
      <c r="U198" s="32">
        <f t="shared" si="164"/>
        <v>-7914.7807896365994</v>
      </c>
      <c r="V198" s="32">
        <v>0</v>
      </c>
      <c r="W198" s="32">
        <f t="shared" si="165"/>
        <v>-4190.6666957161988</v>
      </c>
      <c r="X198" s="32">
        <f t="shared" si="166"/>
        <v>-1828.3739982221139</v>
      </c>
      <c r="Y198" s="102">
        <f t="shared" ref="Y198:Y244" si="175">Y197+X198</f>
        <v>-168761.60406193999</v>
      </c>
      <c r="Z198" s="32">
        <f t="shared" si="120"/>
        <v>-211648.03571969629</v>
      </c>
      <c r="AA198" s="45">
        <f t="shared" si="121"/>
        <v>-211648.03571969635</v>
      </c>
      <c r="AB198" s="1"/>
      <c r="AC198" s="40">
        <f t="shared" si="167"/>
        <v>2431.1071413264626</v>
      </c>
      <c r="AD198" s="40">
        <f t="shared" si="168"/>
        <v>996.75392794384959</v>
      </c>
      <c r="AE198" s="40">
        <f t="shared" si="169"/>
        <v>1434.3532133826129</v>
      </c>
      <c r="AF198" s="40">
        <f t="shared" si="170"/>
        <v>0</v>
      </c>
      <c r="AG198" s="40">
        <f t="shared" si="171"/>
        <v>5158.4673073030135</v>
      </c>
      <c r="AH198" s="40">
        <f t="shared" si="172"/>
        <v>2250.6221993252029</v>
      </c>
      <c r="AI198" s="106">
        <f t="shared" si="122"/>
        <v>-395839.29360983899</v>
      </c>
      <c r="AJ198" s="40">
        <f t="shared" ref="AJ198:AJ244" si="176">AJ197+AG198</f>
        <v>1705360.205772775</v>
      </c>
      <c r="AK198" s="108">
        <f t="shared" ref="AK198:AK244" si="177">AK197+AG198</f>
        <v>177531.90457233766</v>
      </c>
    </row>
    <row r="199" spans="6:37">
      <c r="F199" s="13" t="s">
        <v>30</v>
      </c>
      <c r="G199" s="1">
        <v>0</v>
      </c>
      <c r="I199">
        <v>3</v>
      </c>
      <c r="J199" s="26">
        <f t="shared" si="157"/>
        <v>16525.861125145293</v>
      </c>
      <c r="K199" s="24">
        <f t="shared" si="158"/>
        <v>3064.6448909671294</v>
      </c>
      <c r="L199" s="24">
        <f t="shared" si="159"/>
        <v>2180.668458859926</v>
      </c>
      <c r="M199" s="24">
        <f t="shared" si="160"/>
        <v>1543.4456350604748</v>
      </c>
      <c r="N199" s="48"/>
      <c r="O199" s="32">
        <f t="shared" si="161"/>
        <v>10082.99055914864</v>
      </c>
      <c r="P199" s="32">
        <f t="shared" si="173"/>
        <v>1755.3394705075323</v>
      </c>
      <c r="Q199" s="32">
        <f t="shared" si="174"/>
        <v>8327.6510886411088</v>
      </c>
      <c r="R199" s="45">
        <f t="shared" ref="R199:R244" si="178">R198-Q199</f>
        <v>412953.82183316664</v>
      </c>
      <c r="S199" s="31">
        <f t="shared" si="162"/>
        <v>7981.7626697502319</v>
      </c>
      <c r="T199" s="32">
        <f t="shared" si="163"/>
        <v>3272.5226945975951</v>
      </c>
      <c r="U199" s="32">
        <f t="shared" si="164"/>
        <v>-3618.4111134884715</v>
      </c>
      <c r="V199" s="32">
        <v>0</v>
      </c>
      <c r="W199" s="32">
        <f t="shared" si="165"/>
        <v>105.70298043192929</v>
      </c>
      <c r="X199" s="32">
        <f t="shared" si="166"/>
        <v>46.117860233046017</v>
      </c>
      <c r="Y199" s="102">
        <f t="shared" si="175"/>
        <v>-168715.48620170695</v>
      </c>
      <c r="Z199" s="32">
        <f t="shared" ref="Z199:Z244" si="179">Z198+W199</f>
        <v>-211542.33273926436</v>
      </c>
      <c r="AA199" s="45">
        <f t="shared" ref="AA199:AA244" si="180">AA198+W199</f>
        <v>-211542.33273926441</v>
      </c>
      <c r="AB199" s="1"/>
      <c r="AC199" s="40">
        <f t="shared" si="167"/>
        <v>9737.1021402577644</v>
      </c>
      <c r="AD199" s="40">
        <f t="shared" si="168"/>
        <v>3992.2118775056833</v>
      </c>
      <c r="AE199" s="40">
        <f t="shared" si="169"/>
        <v>5744.8902627520811</v>
      </c>
      <c r="AF199" s="40">
        <f t="shared" si="170"/>
        <v>0</v>
      </c>
      <c r="AG199" s="40">
        <f t="shared" si="171"/>
        <v>9469.0043566724817</v>
      </c>
      <c r="AH199" s="40">
        <f t="shared" si="172"/>
        <v>4131.2952357889808</v>
      </c>
      <c r="AI199" s="106">
        <f t="shared" ref="AI199:AI244" si="181">AI198+AH199</f>
        <v>-391707.99837405002</v>
      </c>
      <c r="AJ199" s="40">
        <f t="shared" si="176"/>
        <v>1714829.2101294475</v>
      </c>
      <c r="AK199" s="108">
        <f t="shared" si="177"/>
        <v>187000.90892901015</v>
      </c>
    </row>
    <row r="200" spans="6:37">
      <c r="F200" s="18" t="s">
        <v>39</v>
      </c>
      <c r="G200" s="1">
        <f>G197</f>
        <v>74140.307956474688</v>
      </c>
      <c r="I200">
        <v>4</v>
      </c>
      <c r="J200" s="26">
        <f t="shared" si="157"/>
        <v>18972.287696541425</v>
      </c>
      <c r="K200" s="24">
        <f t="shared" si="158"/>
        <v>3064.6448909671294</v>
      </c>
      <c r="L200" s="24">
        <f t="shared" si="159"/>
        <v>2180.668458859926</v>
      </c>
      <c r="M200" s="24">
        <f t="shared" si="160"/>
        <v>1543.4456350604748</v>
      </c>
      <c r="N200" s="48"/>
      <c r="O200" s="32">
        <f t="shared" si="161"/>
        <v>10082.99055914864</v>
      </c>
      <c r="P200" s="32">
        <f t="shared" si="173"/>
        <v>1720.6409243048611</v>
      </c>
      <c r="Q200" s="32">
        <f t="shared" si="174"/>
        <v>8362.3496348437802</v>
      </c>
      <c r="R200" s="45">
        <f t="shared" si="178"/>
        <v>404591.47219832288</v>
      </c>
      <c r="S200" s="31">
        <f t="shared" si="162"/>
        <v>10462.887787349035</v>
      </c>
      <c r="T200" s="32">
        <f t="shared" si="163"/>
        <v>4289.7839928131043</v>
      </c>
      <c r="U200" s="32">
        <f t="shared" si="164"/>
        <v>-2189.2458403078481</v>
      </c>
      <c r="V200" s="32">
        <v>0</v>
      </c>
      <c r="W200" s="32">
        <f t="shared" si="165"/>
        <v>1534.8682536125527</v>
      </c>
      <c r="X200" s="32">
        <f t="shared" si="166"/>
        <v>669.65793497021798</v>
      </c>
      <c r="Y200" s="102">
        <f t="shared" si="175"/>
        <v>-168045.82826673673</v>
      </c>
      <c r="Z200" s="32">
        <f t="shared" si="179"/>
        <v>-210007.46448565181</v>
      </c>
      <c r="AA200" s="45">
        <f t="shared" si="180"/>
        <v>-210007.46448565187</v>
      </c>
      <c r="AB200" s="1"/>
      <c r="AC200" s="40">
        <f t="shared" si="167"/>
        <v>12183.528711653897</v>
      </c>
      <c r="AD200" s="40">
        <f t="shared" si="168"/>
        <v>4995.2467717780974</v>
      </c>
      <c r="AE200" s="40">
        <f t="shared" si="169"/>
        <v>7188.2819398757993</v>
      </c>
      <c r="AF200" s="40">
        <f t="shared" si="170"/>
        <v>0</v>
      </c>
      <c r="AG200" s="40">
        <f t="shared" si="171"/>
        <v>10912.3960337962</v>
      </c>
      <c r="AH200" s="40">
        <f t="shared" si="172"/>
        <v>4761.0422434431384</v>
      </c>
      <c r="AI200" s="106">
        <f t="shared" si="181"/>
        <v>-386946.95613060688</v>
      </c>
      <c r="AJ200" s="40">
        <f t="shared" si="176"/>
        <v>1725741.6061632438</v>
      </c>
      <c r="AK200" s="108">
        <f t="shared" si="177"/>
        <v>197913.30496280635</v>
      </c>
    </row>
    <row r="201" spans="6:37">
      <c r="F201" s="16" t="s">
        <v>90</v>
      </c>
      <c r="G201" s="129">
        <f>$C$63</f>
        <v>0.41</v>
      </c>
      <c r="I201">
        <v>5</v>
      </c>
      <c r="J201" s="26">
        <f t="shared" si="157"/>
        <v>19637.982001683231</v>
      </c>
      <c r="K201" s="24">
        <f t="shared" si="158"/>
        <v>3064.6448909671294</v>
      </c>
      <c r="L201" s="24">
        <f t="shared" si="159"/>
        <v>2180.668458859926</v>
      </c>
      <c r="M201" s="24">
        <f t="shared" si="160"/>
        <v>1543.4456350604748</v>
      </c>
      <c r="N201" s="48"/>
      <c r="O201" s="32">
        <f t="shared" si="161"/>
        <v>10082.99055914864</v>
      </c>
      <c r="P201" s="32">
        <f t="shared" si="173"/>
        <v>1685.7978008263453</v>
      </c>
      <c r="Q201" s="32">
        <f t="shared" si="174"/>
        <v>8397.192758322295</v>
      </c>
      <c r="R201" s="45">
        <f t="shared" si="178"/>
        <v>396194.2794400006</v>
      </c>
      <c r="S201" s="31">
        <f t="shared" si="162"/>
        <v>11163.425215969355</v>
      </c>
      <c r="T201" s="32">
        <f t="shared" si="163"/>
        <v>4577.0043385474355</v>
      </c>
      <c r="U201" s="32">
        <f t="shared" si="164"/>
        <v>-1810.7718809003763</v>
      </c>
      <c r="V201" s="32">
        <v>0</v>
      </c>
      <c r="W201" s="32">
        <f t="shared" si="165"/>
        <v>1913.3422130200245</v>
      </c>
      <c r="X201" s="32">
        <f t="shared" si="166"/>
        <v>834.78486980666401</v>
      </c>
      <c r="Y201" s="102">
        <f t="shared" si="175"/>
        <v>-167211.04339693006</v>
      </c>
      <c r="Z201" s="32">
        <f t="shared" si="179"/>
        <v>-208094.12227263179</v>
      </c>
      <c r="AA201" s="45">
        <f t="shared" si="180"/>
        <v>-208094.12227263185</v>
      </c>
      <c r="AB201" s="1"/>
      <c r="AC201" s="40">
        <f t="shared" si="167"/>
        <v>12849.2230167957</v>
      </c>
      <c r="AD201" s="40">
        <f t="shared" si="168"/>
        <v>5268.181436886237</v>
      </c>
      <c r="AE201" s="40">
        <f t="shared" si="169"/>
        <v>7581.0415799094635</v>
      </c>
      <c r="AF201" s="40">
        <f t="shared" si="170"/>
        <v>0</v>
      </c>
      <c r="AG201" s="40">
        <f t="shared" si="171"/>
        <v>11305.155673829864</v>
      </c>
      <c r="AH201" s="40">
        <f t="shared" si="172"/>
        <v>4932.4019734170588</v>
      </c>
      <c r="AI201" s="106">
        <f t="shared" si="181"/>
        <v>-382014.55415718979</v>
      </c>
      <c r="AJ201" s="40">
        <f t="shared" si="176"/>
        <v>1737046.7618370736</v>
      </c>
      <c r="AK201" s="108">
        <f t="shared" si="177"/>
        <v>209218.46063663621</v>
      </c>
    </row>
    <row r="202" spans="6:37">
      <c r="G202" s="1"/>
      <c r="I202">
        <v>6</v>
      </c>
      <c r="J202" s="26">
        <f t="shared" si="157"/>
        <v>20470.099883110488</v>
      </c>
      <c r="K202" s="24">
        <f t="shared" si="158"/>
        <v>3064.6448909671294</v>
      </c>
      <c r="L202" s="24">
        <f t="shared" si="159"/>
        <v>2180.668458859926</v>
      </c>
      <c r="M202" s="24">
        <f t="shared" si="160"/>
        <v>1543.4456350604748</v>
      </c>
      <c r="N202" s="48"/>
      <c r="O202" s="32">
        <f t="shared" si="161"/>
        <v>10082.99055914864</v>
      </c>
      <c r="P202" s="32">
        <f t="shared" si="173"/>
        <v>1650.8094976666691</v>
      </c>
      <c r="Q202" s="32">
        <f t="shared" si="174"/>
        <v>8432.1810614819715</v>
      </c>
      <c r="R202" s="45">
        <f t="shared" si="178"/>
        <v>387762.0983785186</v>
      </c>
      <c r="S202" s="31">
        <f t="shared" si="162"/>
        <v>12030.531400556289</v>
      </c>
      <c r="T202" s="32">
        <f t="shared" si="163"/>
        <v>4932.5178742280777</v>
      </c>
      <c r="U202" s="32">
        <f t="shared" si="164"/>
        <v>-1334.1675351537615</v>
      </c>
      <c r="V202" s="32">
        <v>0</v>
      </c>
      <c r="W202" s="32">
        <f t="shared" si="165"/>
        <v>2389.9465587666391</v>
      </c>
      <c r="X202" s="32">
        <f t="shared" si="166"/>
        <v>1042.7257671568518</v>
      </c>
      <c r="Y202" s="102">
        <f t="shared" si="175"/>
        <v>-166168.3176297732</v>
      </c>
      <c r="Z202" s="32">
        <f t="shared" si="179"/>
        <v>-205704.17571386514</v>
      </c>
      <c r="AA202" s="45">
        <f t="shared" si="180"/>
        <v>-205704.1757138652</v>
      </c>
      <c r="AB202" s="1"/>
      <c r="AC202" s="40">
        <f t="shared" si="167"/>
        <v>13681.340898222958</v>
      </c>
      <c r="AD202" s="40">
        <f t="shared" si="168"/>
        <v>5609.3497682714124</v>
      </c>
      <c r="AE202" s="40">
        <f t="shared" si="169"/>
        <v>8071.9911299515452</v>
      </c>
      <c r="AF202" s="40">
        <f t="shared" si="170"/>
        <v>0</v>
      </c>
      <c r="AG202" s="40">
        <f t="shared" si="171"/>
        <v>11796.105223871946</v>
      </c>
      <c r="AH202" s="40">
        <f t="shared" si="172"/>
        <v>5146.6016358844599</v>
      </c>
      <c r="AI202" s="106">
        <f t="shared" si="181"/>
        <v>-376867.95252130536</v>
      </c>
      <c r="AJ202" s="40">
        <f t="shared" si="176"/>
        <v>1748842.8670609456</v>
      </c>
      <c r="AK202" s="108">
        <f t="shared" si="177"/>
        <v>221014.56586050816</v>
      </c>
    </row>
    <row r="203" spans="6:37">
      <c r="G203" s="1"/>
      <c r="I203">
        <v>7</v>
      </c>
      <c r="J203" s="26">
        <f t="shared" si="157"/>
        <v>21801.488493394096</v>
      </c>
      <c r="K203" s="24">
        <f t="shared" si="158"/>
        <v>3064.6448909671294</v>
      </c>
      <c r="L203" s="24">
        <f t="shared" si="159"/>
        <v>2180.668458859926</v>
      </c>
      <c r="M203" s="24">
        <f t="shared" si="160"/>
        <v>1543.4456350604748</v>
      </c>
      <c r="N203" s="48"/>
      <c r="O203" s="32">
        <f t="shared" si="161"/>
        <v>10082.99055914864</v>
      </c>
      <c r="P203" s="32">
        <f t="shared" si="173"/>
        <v>1615.6754099104942</v>
      </c>
      <c r="Q203" s="32">
        <f t="shared" si="174"/>
        <v>8467.3151492381458</v>
      </c>
      <c r="R203" s="45">
        <f t="shared" si="178"/>
        <v>379294.78322928044</v>
      </c>
      <c r="S203" s="31">
        <f t="shared" si="162"/>
        <v>13397.054098596069</v>
      </c>
      <c r="T203" s="32">
        <f t="shared" si="163"/>
        <v>5492.7921804243879</v>
      </c>
      <c r="U203" s="32">
        <f t="shared" si="164"/>
        <v>-563.05323106646574</v>
      </c>
      <c r="V203" s="32">
        <v>0</v>
      </c>
      <c r="W203" s="32">
        <f t="shared" si="165"/>
        <v>3161.0608628539349</v>
      </c>
      <c r="X203" s="32">
        <f t="shared" si="166"/>
        <v>1379.1603837994903</v>
      </c>
      <c r="Y203" s="102">
        <f t="shared" si="175"/>
        <v>-164789.15724597371</v>
      </c>
      <c r="Z203" s="32">
        <f t="shared" si="179"/>
        <v>-202543.1148510112</v>
      </c>
      <c r="AA203" s="45">
        <f t="shared" si="180"/>
        <v>-202543.11485101125</v>
      </c>
      <c r="AB203" s="1"/>
      <c r="AC203" s="40">
        <f t="shared" si="167"/>
        <v>15012.729508506563</v>
      </c>
      <c r="AD203" s="40">
        <f t="shared" si="168"/>
        <v>6155.2190984876906</v>
      </c>
      <c r="AE203" s="40">
        <f t="shared" si="169"/>
        <v>8857.5104100188728</v>
      </c>
      <c r="AF203" s="40">
        <f t="shared" si="170"/>
        <v>0</v>
      </c>
      <c r="AG203" s="40">
        <f t="shared" si="171"/>
        <v>12581.624503939272</v>
      </c>
      <c r="AH203" s="40">
        <f t="shared" si="172"/>
        <v>5489.3210958322998</v>
      </c>
      <c r="AI203" s="106">
        <f t="shared" si="181"/>
        <v>-371378.63142547308</v>
      </c>
      <c r="AJ203" s="40">
        <f t="shared" si="176"/>
        <v>1761424.4915648848</v>
      </c>
      <c r="AK203" s="108">
        <f t="shared" si="177"/>
        <v>233596.19036444742</v>
      </c>
    </row>
    <row r="204" spans="6:37">
      <c r="G204" s="1"/>
      <c r="I204">
        <v>8</v>
      </c>
      <c r="J204" s="26">
        <f t="shared" si="157"/>
        <v>19970.829154254134</v>
      </c>
      <c r="K204" s="24">
        <f t="shared" si="158"/>
        <v>3064.6448909671294</v>
      </c>
      <c r="L204" s="24">
        <f t="shared" si="159"/>
        <v>2180.668458859926</v>
      </c>
      <c r="M204" s="24">
        <f t="shared" si="160"/>
        <v>1543.4456350604748</v>
      </c>
      <c r="N204" s="48"/>
      <c r="O204" s="32">
        <f t="shared" si="161"/>
        <v>10082.99055914864</v>
      </c>
      <c r="P204" s="32">
        <f t="shared" si="173"/>
        <v>1580.3949301220018</v>
      </c>
      <c r="Q204" s="32">
        <f t="shared" si="174"/>
        <v>8502.5956290266386</v>
      </c>
      <c r="R204" s="45">
        <f t="shared" si="178"/>
        <v>370792.18760025379</v>
      </c>
      <c r="S204" s="31">
        <f t="shared" si="162"/>
        <v>11601.675239244601</v>
      </c>
      <c r="T204" s="32">
        <f t="shared" si="163"/>
        <v>4756.6868480902867</v>
      </c>
      <c r="U204" s="32">
        <f t="shared" si="164"/>
        <v>-1657.6072378723238</v>
      </c>
      <c r="V204" s="32">
        <v>0</v>
      </c>
      <c r="W204" s="32">
        <f t="shared" si="165"/>
        <v>2066.5068560480768</v>
      </c>
      <c r="X204" s="32">
        <f t="shared" si="166"/>
        <v>901.61009621890264</v>
      </c>
      <c r="Y204" s="102">
        <f t="shared" si="175"/>
        <v>-163887.5471497548</v>
      </c>
      <c r="Z204" s="32">
        <f t="shared" si="179"/>
        <v>-200476.60799496312</v>
      </c>
      <c r="AA204" s="45">
        <f t="shared" si="180"/>
        <v>-200476.60799496318</v>
      </c>
      <c r="AB204" s="1"/>
      <c r="AC204" s="40">
        <f t="shared" si="167"/>
        <v>13182.070169366603</v>
      </c>
      <c r="AD204" s="40">
        <f t="shared" si="168"/>
        <v>5404.6487694403068</v>
      </c>
      <c r="AE204" s="40">
        <f t="shared" si="169"/>
        <v>7777.4213999262965</v>
      </c>
      <c r="AF204" s="40">
        <f t="shared" si="170"/>
        <v>0</v>
      </c>
      <c r="AG204" s="40">
        <f t="shared" si="171"/>
        <v>11501.535493846697</v>
      </c>
      <c r="AH204" s="40">
        <f t="shared" si="172"/>
        <v>5018.0818384040194</v>
      </c>
      <c r="AI204" s="106">
        <f t="shared" si="181"/>
        <v>-366360.54958706908</v>
      </c>
      <c r="AJ204" s="40">
        <f t="shared" si="176"/>
        <v>1772926.0270587315</v>
      </c>
      <c r="AK204" s="108">
        <f t="shared" si="177"/>
        <v>245097.72585829411</v>
      </c>
    </row>
    <row r="205" spans="6:37">
      <c r="G205" s="1"/>
      <c r="I205">
        <v>9</v>
      </c>
      <c r="J205" s="26">
        <f t="shared" si="157"/>
        <v>17807.322662543269</v>
      </c>
      <c r="K205" s="24">
        <f t="shared" si="158"/>
        <v>3064.6448909671294</v>
      </c>
      <c r="L205" s="24">
        <f t="shared" si="159"/>
        <v>2180.668458859926</v>
      </c>
      <c r="M205" s="24">
        <f t="shared" si="160"/>
        <v>1543.4456350604748</v>
      </c>
      <c r="N205" s="48"/>
      <c r="O205" s="32">
        <f t="shared" si="161"/>
        <v>10082.99055914864</v>
      </c>
      <c r="P205" s="32">
        <f t="shared" si="173"/>
        <v>1544.9674483343908</v>
      </c>
      <c r="Q205" s="32">
        <f t="shared" si="174"/>
        <v>8538.0231108142489</v>
      </c>
      <c r="R205" s="45">
        <f t="shared" si="178"/>
        <v>362254.16448943951</v>
      </c>
      <c r="S205" s="31">
        <f t="shared" si="162"/>
        <v>9473.5962293213488</v>
      </c>
      <c r="T205" s="32">
        <f t="shared" si="163"/>
        <v>3884.1744540217528</v>
      </c>
      <c r="U205" s="32">
        <f t="shared" si="164"/>
        <v>-2948.6013355146533</v>
      </c>
      <c r="V205" s="32">
        <v>0</v>
      </c>
      <c r="W205" s="32">
        <f t="shared" si="165"/>
        <v>775.51275840574749</v>
      </c>
      <c r="X205" s="32">
        <f t="shared" si="166"/>
        <v>338.35364769238663</v>
      </c>
      <c r="Y205" s="102">
        <f t="shared" si="175"/>
        <v>-163549.19350206241</v>
      </c>
      <c r="Z205" s="32">
        <f t="shared" si="179"/>
        <v>-199701.09523655739</v>
      </c>
      <c r="AA205" s="45">
        <f t="shared" si="180"/>
        <v>-199701.09523655745</v>
      </c>
      <c r="AB205" s="1"/>
      <c r="AC205" s="40">
        <f t="shared" si="167"/>
        <v>11018.56367765574</v>
      </c>
      <c r="AD205" s="40">
        <f t="shared" si="168"/>
        <v>4517.6111078388531</v>
      </c>
      <c r="AE205" s="40">
        <f t="shared" si="169"/>
        <v>6500.9525698168873</v>
      </c>
      <c r="AF205" s="40">
        <f t="shared" si="170"/>
        <v>0</v>
      </c>
      <c r="AG205" s="40">
        <f t="shared" si="171"/>
        <v>10225.066663737287</v>
      </c>
      <c r="AH205" s="40">
        <f t="shared" si="172"/>
        <v>4461.1627159887776</v>
      </c>
      <c r="AI205" s="106">
        <f t="shared" si="181"/>
        <v>-361899.38687108032</v>
      </c>
      <c r="AJ205" s="40">
        <f t="shared" si="176"/>
        <v>1783151.0937224687</v>
      </c>
      <c r="AK205" s="108">
        <f t="shared" si="177"/>
        <v>255322.79252203141</v>
      </c>
    </row>
    <row r="206" spans="6:37">
      <c r="G206" s="1"/>
      <c r="I206">
        <v>10</v>
      </c>
      <c r="J206" s="26">
        <f t="shared" si="157"/>
        <v>12381.914075637562</v>
      </c>
      <c r="K206" s="24">
        <f t="shared" si="158"/>
        <v>3064.6448909671294</v>
      </c>
      <c r="L206" s="24">
        <f t="shared" si="159"/>
        <v>2180.668458859926</v>
      </c>
      <c r="M206" s="24">
        <f t="shared" si="160"/>
        <v>1543.4456350604748</v>
      </c>
      <c r="N206" s="48"/>
      <c r="O206" s="32">
        <f t="shared" si="161"/>
        <v>10082.99055914864</v>
      </c>
      <c r="P206" s="32">
        <f t="shared" si="173"/>
        <v>1509.3923520393314</v>
      </c>
      <c r="Q206" s="32">
        <f t="shared" si="174"/>
        <v>8573.5982071093094</v>
      </c>
      <c r="R206" s="45">
        <f t="shared" si="178"/>
        <v>353680.5662823302</v>
      </c>
      <c r="S206" s="31">
        <f t="shared" si="162"/>
        <v>4083.7627387107009</v>
      </c>
      <c r="T206" s="32">
        <f t="shared" si="163"/>
        <v>1674.3427228713872</v>
      </c>
      <c r="U206" s="32">
        <f t="shared" si="164"/>
        <v>-6164.1781912699953</v>
      </c>
      <c r="V206" s="32">
        <v>0</v>
      </c>
      <c r="W206" s="32">
        <f t="shared" si="165"/>
        <v>-2440.0640973495947</v>
      </c>
      <c r="X206" s="32">
        <f t="shared" si="166"/>
        <v>-1064.5918832318046</v>
      </c>
      <c r="Y206" s="102">
        <f t="shared" si="175"/>
        <v>-164613.78538529421</v>
      </c>
      <c r="Z206" s="32">
        <f t="shared" si="179"/>
        <v>-202141.15933390698</v>
      </c>
      <c r="AA206" s="45">
        <f t="shared" si="180"/>
        <v>-202141.15933390704</v>
      </c>
      <c r="AB206" s="1"/>
      <c r="AC206" s="40">
        <f t="shared" si="167"/>
        <v>5593.1550907500323</v>
      </c>
      <c r="AD206" s="40">
        <f t="shared" si="168"/>
        <v>2293.1935872075132</v>
      </c>
      <c r="AE206" s="40">
        <f t="shared" si="169"/>
        <v>3299.961503542519</v>
      </c>
      <c r="AF206" s="40">
        <f t="shared" si="170"/>
        <v>0</v>
      </c>
      <c r="AG206" s="40">
        <f t="shared" si="171"/>
        <v>7024.0755974629201</v>
      </c>
      <c r="AH206" s="40">
        <f t="shared" si="172"/>
        <v>3064.5809167013254</v>
      </c>
      <c r="AI206" s="106">
        <f t="shared" si="181"/>
        <v>-358834.80595437897</v>
      </c>
      <c r="AJ206" s="40">
        <f t="shared" si="176"/>
        <v>1790175.1693199317</v>
      </c>
      <c r="AK206" s="108">
        <f t="shared" si="177"/>
        <v>262346.86811949435</v>
      </c>
    </row>
    <row r="207" spans="6:37">
      <c r="G207" s="1"/>
      <c r="I207">
        <v>11</v>
      </c>
      <c r="J207" s="26">
        <f t="shared" si="157"/>
        <v>6723.5124819322245</v>
      </c>
      <c r="K207" s="24">
        <f t="shared" si="158"/>
        <v>3064.6448909671294</v>
      </c>
      <c r="L207" s="24">
        <f t="shared" si="159"/>
        <v>2180.668458859926</v>
      </c>
      <c r="M207" s="24">
        <f t="shared" si="160"/>
        <v>1543.4456350604748</v>
      </c>
      <c r="N207" s="48"/>
      <c r="O207" s="32">
        <f t="shared" si="161"/>
        <v>10082.99055914864</v>
      </c>
      <c r="P207" s="32">
        <f t="shared" si="173"/>
        <v>1473.6690261763758</v>
      </c>
      <c r="Q207" s="32">
        <f t="shared" si="174"/>
        <v>8609.3215329722643</v>
      </c>
      <c r="R207" s="45">
        <f t="shared" si="178"/>
        <v>345071.24474935792</v>
      </c>
      <c r="S207" s="31">
        <f t="shared" si="162"/>
        <v>-1538.9155291316815</v>
      </c>
      <c r="T207" s="32">
        <f t="shared" si="163"/>
        <v>-630.95536694398936</v>
      </c>
      <c r="U207" s="32">
        <f t="shared" si="164"/>
        <v>-9517.2816951599561</v>
      </c>
      <c r="V207" s="32">
        <v>0</v>
      </c>
      <c r="W207" s="32">
        <f t="shared" si="165"/>
        <v>-5793.1676012395556</v>
      </c>
      <c r="X207" s="32">
        <f t="shared" si="166"/>
        <v>-2527.539835195354</v>
      </c>
      <c r="Y207" s="102">
        <f t="shared" si="175"/>
        <v>-167141.32522048955</v>
      </c>
      <c r="Z207" s="32">
        <f t="shared" si="179"/>
        <v>-207934.32693514653</v>
      </c>
      <c r="AA207" s="45">
        <f t="shared" si="180"/>
        <v>-207934.32693514659</v>
      </c>
      <c r="AB207" s="1"/>
      <c r="AC207" s="40">
        <f t="shared" si="167"/>
        <v>-65.246502955305687</v>
      </c>
      <c r="AD207" s="40">
        <f t="shared" si="168"/>
        <v>-26.751066211675329</v>
      </c>
      <c r="AE207" s="40">
        <f t="shared" si="169"/>
        <v>-38.495436743630357</v>
      </c>
      <c r="AF207" s="40">
        <f t="shared" si="170"/>
        <v>0</v>
      </c>
      <c r="AG207" s="40">
        <f t="shared" si="171"/>
        <v>3685.6186571767703</v>
      </c>
      <c r="AH207" s="40">
        <f t="shared" si="172"/>
        <v>1608.0232119230006</v>
      </c>
      <c r="AI207" s="106">
        <f t="shared" si="181"/>
        <v>-357226.78274245595</v>
      </c>
      <c r="AJ207" s="40">
        <f t="shared" si="176"/>
        <v>1793860.7879771085</v>
      </c>
      <c r="AK207" s="108">
        <f t="shared" si="177"/>
        <v>266032.48677667114</v>
      </c>
    </row>
    <row r="208" spans="6:37">
      <c r="G208" s="1"/>
      <c r="I208">
        <v>12</v>
      </c>
      <c r="J208" s="26">
        <f t="shared" si="157"/>
        <v>5658.4015937053382</v>
      </c>
      <c r="K208" s="24">
        <f t="shared" si="158"/>
        <v>3064.6448909671294</v>
      </c>
      <c r="L208" s="24">
        <f t="shared" si="159"/>
        <v>2180.668458859926</v>
      </c>
      <c r="M208" s="24">
        <f t="shared" si="160"/>
        <v>1543.4456350604748</v>
      </c>
      <c r="N208" s="48"/>
      <c r="O208" s="32">
        <f t="shared" si="161"/>
        <v>10082.99055914864</v>
      </c>
      <c r="P208" s="32">
        <f t="shared" si="173"/>
        <v>1437.7968531223246</v>
      </c>
      <c r="Q208" s="32">
        <f t="shared" si="174"/>
        <v>8645.1937060263153</v>
      </c>
      <c r="R208" s="45">
        <f t="shared" si="178"/>
        <v>336426.05104333162</v>
      </c>
      <c r="S208" s="31">
        <f t="shared" si="162"/>
        <v>-2568.1542443045164</v>
      </c>
      <c r="T208" s="32">
        <f t="shared" si="163"/>
        <v>-1052.9432401648517</v>
      </c>
      <c r="U208" s="32">
        <f t="shared" si="164"/>
        <v>-10160.404710165982</v>
      </c>
      <c r="V208" s="32">
        <v>0</v>
      </c>
      <c r="W208" s="32">
        <f t="shared" si="165"/>
        <v>-6436.2906162455811</v>
      </c>
      <c r="X208" s="32">
        <f t="shared" si="166"/>
        <v>-2808.1322763687904</v>
      </c>
      <c r="Y208" s="102">
        <f t="shared" si="175"/>
        <v>-169949.45749685835</v>
      </c>
      <c r="Z208" s="32">
        <f t="shared" si="179"/>
        <v>-214370.61755139212</v>
      </c>
      <c r="AA208" s="45">
        <f t="shared" si="180"/>
        <v>-214370.61755139218</v>
      </c>
      <c r="AB208" s="1"/>
      <c r="AC208" s="40">
        <f t="shared" si="167"/>
        <v>-1130.357391182192</v>
      </c>
      <c r="AD208" s="40">
        <f t="shared" si="168"/>
        <v>-463.44653038469869</v>
      </c>
      <c r="AE208" s="40">
        <f t="shared" si="169"/>
        <v>-666.91086079749334</v>
      </c>
      <c r="AF208" s="40">
        <f t="shared" si="170"/>
        <v>0</v>
      </c>
      <c r="AG208" s="40">
        <f t="shared" si="171"/>
        <v>3057.2032331229075</v>
      </c>
      <c r="AH208" s="40">
        <f t="shared" si="172"/>
        <v>1333.8476439647281</v>
      </c>
      <c r="AI208" s="106">
        <f t="shared" si="181"/>
        <v>-355892.9350984912</v>
      </c>
      <c r="AJ208" s="40">
        <f t="shared" si="176"/>
        <v>1796917.9912102313</v>
      </c>
      <c r="AK208" s="108">
        <f t="shared" si="177"/>
        <v>269089.69000979402</v>
      </c>
    </row>
    <row r="209" spans="6:37">
      <c r="F209" s="132" t="s">
        <v>88</v>
      </c>
      <c r="G209" s="1">
        <f>SUM(S209:S220)</f>
        <v>82720.351276328787</v>
      </c>
      <c r="H209">
        <v>2032</v>
      </c>
      <c r="I209">
        <v>1</v>
      </c>
      <c r="J209" s="26">
        <f t="shared" ref="J209:J220" si="182">C23*$C$55*$D$55</f>
        <v>6083.5738894563565</v>
      </c>
      <c r="K209" s="24">
        <f t="shared" ref="K209:K220" si="183">$K$208*$C$8</f>
        <v>3156.5842376961432</v>
      </c>
      <c r="L209" s="24">
        <f t="shared" ref="L209:L220" si="184">(($C$5-SUM($L$5:$L$208))*0.333333)/12</f>
        <v>2180.6662781914752</v>
      </c>
      <c r="M209" s="24">
        <f t="shared" ref="M209:M220" si="185">(($C$9-SUM($M$125:$M$208))*0.15)/12</f>
        <v>1311.9287898014015</v>
      </c>
      <c r="N209" s="48"/>
      <c r="O209" s="32">
        <f t="shared" si="161"/>
        <v>10082.99055914864</v>
      </c>
      <c r="P209" s="32">
        <f t="shared" si="173"/>
        <v>1401.7752126805485</v>
      </c>
      <c r="Q209" s="32">
        <f t="shared" si="174"/>
        <v>8681.2153464680923</v>
      </c>
      <c r="R209" s="45">
        <f t="shared" si="178"/>
        <v>327744.83569686353</v>
      </c>
      <c r="S209" s="31">
        <f t="shared" si="162"/>
        <v>-1967.3806289132119</v>
      </c>
      <c r="T209" s="32">
        <f t="shared" si="163"/>
        <v>-806.62605785441679</v>
      </c>
      <c r="U209" s="32">
        <f t="shared" si="164"/>
        <v>-9841.969917526887</v>
      </c>
      <c r="V209" s="32">
        <v>0</v>
      </c>
      <c r="W209" s="32">
        <f t="shared" si="165"/>
        <v>-6349.3748495340105</v>
      </c>
      <c r="X209" s="32">
        <f t="shared" ref="X209:X220" si="186">W209/(1+$C$18)^18</f>
        <v>-2638.2963954774991</v>
      </c>
      <c r="Y209" s="102">
        <f t="shared" si="175"/>
        <v>-172587.75389233584</v>
      </c>
      <c r="Z209" s="32">
        <f t="shared" si="179"/>
        <v>-220719.99240092613</v>
      </c>
      <c r="AA209" s="45">
        <f t="shared" si="180"/>
        <v>-220719.99240092619</v>
      </c>
      <c r="AB209" s="1"/>
      <c r="AC209" s="40">
        <f t="shared" si="167"/>
        <v>-565.6054162326634</v>
      </c>
      <c r="AD209" s="40">
        <f t="shared" si="168"/>
        <v>-231.89822065539198</v>
      </c>
      <c r="AE209" s="40">
        <f t="shared" si="169"/>
        <v>-333.70719557727142</v>
      </c>
      <c r="AF209" s="40">
        <f t="shared" si="170"/>
        <v>0</v>
      </c>
      <c r="AG209" s="40">
        <f t="shared" si="171"/>
        <v>3158.8878724156052</v>
      </c>
      <c r="AH209" s="40">
        <f t="shared" ref="AH209:AH220" si="187">AG209/(1+$C$18)^18</f>
        <v>1312.5831573990829</v>
      </c>
      <c r="AI209" s="106">
        <f t="shared" si="181"/>
        <v>-354580.35194109211</v>
      </c>
      <c r="AJ209" s="40">
        <f t="shared" si="176"/>
        <v>1800076.8790826469</v>
      </c>
      <c r="AK209" s="108">
        <f t="shared" si="177"/>
        <v>272248.57788220962</v>
      </c>
    </row>
    <row r="210" spans="6:37">
      <c r="F210" s="17" t="s">
        <v>31</v>
      </c>
      <c r="G210">
        <v>18</v>
      </c>
      <c r="I210">
        <v>2</v>
      </c>
      <c r="J210" s="26">
        <f t="shared" si="182"/>
        <v>9310.220814250888</v>
      </c>
      <c r="K210" s="24">
        <f t="shared" si="183"/>
        <v>3156.5842376961432</v>
      </c>
      <c r="L210" s="24">
        <f t="shared" si="184"/>
        <v>2180.6662781914752</v>
      </c>
      <c r="M210" s="24">
        <f t="shared" si="185"/>
        <v>1311.9287898014015</v>
      </c>
      <c r="N210" s="48"/>
      <c r="O210" s="32">
        <f t="shared" si="161"/>
        <v>10082.99055914864</v>
      </c>
      <c r="P210" s="32">
        <f t="shared" si="173"/>
        <v>1365.6034820702648</v>
      </c>
      <c r="Q210" s="32">
        <f t="shared" si="174"/>
        <v>8717.387077078376</v>
      </c>
      <c r="R210" s="45">
        <f t="shared" si="178"/>
        <v>319027.44861978514</v>
      </c>
      <c r="S210" s="31">
        <f t="shared" si="162"/>
        <v>1295.438026491604</v>
      </c>
      <c r="T210" s="32">
        <f t="shared" si="163"/>
        <v>531.12959086155763</v>
      </c>
      <c r="U210" s="32">
        <f t="shared" si="164"/>
        <v>-7953.0786414483291</v>
      </c>
      <c r="V210" s="32">
        <v>0</v>
      </c>
      <c r="W210" s="32">
        <f t="shared" si="165"/>
        <v>-4460.4835734554517</v>
      </c>
      <c r="X210" s="32">
        <f t="shared" si="186"/>
        <v>-1853.4230554678606</v>
      </c>
      <c r="Y210" s="102">
        <f t="shared" si="175"/>
        <v>-174441.1769478037</v>
      </c>
      <c r="Z210" s="32">
        <f t="shared" si="179"/>
        <v>-225180.47597438158</v>
      </c>
      <c r="AA210" s="45">
        <f t="shared" si="180"/>
        <v>-225180.47597438164</v>
      </c>
      <c r="AB210" s="1"/>
      <c r="AC210" s="40">
        <f t="shared" si="167"/>
        <v>2661.0415085618688</v>
      </c>
      <c r="AD210" s="40">
        <f t="shared" si="168"/>
        <v>1091.0270185103661</v>
      </c>
      <c r="AE210" s="40">
        <f t="shared" si="169"/>
        <v>1570.0144900515027</v>
      </c>
      <c r="AF210" s="40">
        <f t="shared" si="170"/>
        <v>0</v>
      </c>
      <c r="AG210" s="40">
        <f t="shared" si="171"/>
        <v>5062.6095580443798</v>
      </c>
      <c r="AH210" s="40">
        <f t="shared" si="187"/>
        <v>2103.6188388969799</v>
      </c>
      <c r="AI210" s="106">
        <f t="shared" si="181"/>
        <v>-352476.73310219514</v>
      </c>
      <c r="AJ210" s="40">
        <f t="shared" si="176"/>
        <v>1805139.4886406914</v>
      </c>
      <c r="AK210" s="108">
        <f t="shared" si="177"/>
        <v>277311.18744025403</v>
      </c>
    </row>
    <row r="211" spans="6:37">
      <c r="F211" s="13" t="s">
        <v>30</v>
      </c>
      <c r="G211" s="1">
        <v>0</v>
      </c>
      <c r="I211">
        <v>3</v>
      </c>
      <c r="J211" s="26">
        <f t="shared" si="182"/>
        <v>16687.81456417172</v>
      </c>
      <c r="K211" s="24">
        <f t="shared" si="183"/>
        <v>3156.5842376961432</v>
      </c>
      <c r="L211" s="24">
        <f t="shared" si="184"/>
        <v>2180.6662781914752</v>
      </c>
      <c r="M211" s="24">
        <f t="shared" si="185"/>
        <v>1311.9287898014015</v>
      </c>
      <c r="N211" s="48"/>
      <c r="O211" s="32">
        <f t="shared" si="161"/>
        <v>10082.99055914864</v>
      </c>
      <c r="P211" s="32">
        <f t="shared" si="173"/>
        <v>1329.2810359157713</v>
      </c>
      <c r="Q211" s="32">
        <f t="shared" si="174"/>
        <v>8753.7095232328684</v>
      </c>
      <c r="R211" s="45">
        <f t="shared" si="178"/>
        <v>310273.73909655225</v>
      </c>
      <c r="S211" s="31">
        <f t="shared" si="162"/>
        <v>8709.3542225669298</v>
      </c>
      <c r="T211" s="32">
        <f t="shared" si="163"/>
        <v>3570.8352312524412</v>
      </c>
      <c r="U211" s="32">
        <f t="shared" si="164"/>
        <v>-3615.1905319183797</v>
      </c>
      <c r="V211" s="32">
        <v>0</v>
      </c>
      <c r="W211" s="32">
        <f t="shared" si="165"/>
        <v>-122.59546392550305</v>
      </c>
      <c r="X211" s="32">
        <f t="shared" si="186"/>
        <v>-50.940947454107935</v>
      </c>
      <c r="Y211" s="102">
        <f t="shared" si="175"/>
        <v>-174492.1178952578</v>
      </c>
      <c r="Z211" s="32">
        <f t="shared" si="179"/>
        <v>-225303.07143830709</v>
      </c>
      <c r="AA211" s="45">
        <f t="shared" si="180"/>
        <v>-225303.07143830715</v>
      </c>
      <c r="AB211" s="1"/>
      <c r="AC211" s="40">
        <f t="shared" si="167"/>
        <v>10038.635258482702</v>
      </c>
      <c r="AD211" s="40">
        <f t="shared" si="168"/>
        <v>4115.8404559779074</v>
      </c>
      <c r="AE211" s="40">
        <f t="shared" si="169"/>
        <v>5922.7948025047945</v>
      </c>
      <c r="AF211" s="40">
        <f t="shared" si="170"/>
        <v>0</v>
      </c>
      <c r="AG211" s="40">
        <f t="shared" si="171"/>
        <v>9415.3898704976709</v>
      </c>
      <c r="AH211" s="40">
        <f t="shared" si="187"/>
        <v>3912.2889648218597</v>
      </c>
      <c r="AI211" s="106">
        <f t="shared" si="181"/>
        <v>-348564.4441373733</v>
      </c>
      <c r="AJ211" s="40">
        <f t="shared" si="176"/>
        <v>1814554.878511189</v>
      </c>
      <c r="AK211" s="108">
        <f t="shared" si="177"/>
        <v>286726.57731075172</v>
      </c>
    </row>
    <row r="212" spans="6:37">
      <c r="F212" s="18" t="s">
        <v>39</v>
      </c>
      <c r="G212" s="1">
        <f>G209</f>
        <v>82720.351276328787</v>
      </c>
      <c r="I212">
        <v>4</v>
      </c>
      <c r="J212" s="26">
        <f t="shared" si="182"/>
        <v>19158.216115967534</v>
      </c>
      <c r="K212" s="24">
        <f t="shared" si="183"/>
        <v>3156.5842376961432</v>
      </c>
      <c r="L212" s="24">
        <f t="shared" si="184"/>
        <v>2180.6662781914752</v>
      </c>
      <c r="M212" s="24">
        <f t="shared" si="185"/>
        <v>1311.9287898014015</v>
      </c>
      <c r="N212" s="48"/>
      <c r="O212" s="32">
        <f t="shared" si="161"/>
        <v>10082.99055914864</v>
      </c>
      <c r="P212" s="32">
        <f t="shared" si="173"/>
        <v>1292.8072462356345</v>
      </c>
      <c r="Q212" s="32">
        <f t="shared" si="174"/>
        <v>8790.1833129130064</v>
      </c>
      <c r="R212" s="45">
        <f t="shared" si="178"/>
        <v>301483.55578363925</v>
      </c>
      <c r="S212" s="31">
        <f t="shared" si="162"/>
        <v>11216.229564042882</v>
      </c>
      <c r="T212" s="32">
        <f t="shared" si="163"/>
        <v>4598.6541212575812</v>
      </c>
      <c r="U212" s="32">
        <f t="shared" si="164"/>
        <v>-2172.6078701277056</v>
      </c>
      <c r="V212" s="32">
        <v>0</v>
      </c>
      <c r="W212" s="32">
        <f t="shared" si="165"/>
        <v>1319.9871978651711</v>
      </c>
      <c r="X212" s="32">
        <f t="shared" si="186"/>
        <v>548.48194487362991</v>
      </c>
      <c r="Y212" s="102">
        <f t="shared" si="175"/>
        <v>-173943.63595038417</v>
      </c>
      <c r="Z212" s="32">
        <f t="shared" si="179"/>
        <v>-223983.08424044191</v>
      </c>
      <c r="AA212" s="45">
        <f t="shared" si="180"/>
        <v>-223983.08424044197</v>
      </c>
      <c r="AB212" s="1"/>
      <c r="AC212" s="40">
        <f t="shared" si="167"/>
        <v>12509.036810278516</v>
      </c>
      <c r="AD212" s="40">
        <f t="shared" si="168"/>
        <v>5128.7050922141916</v>
      </c>
      <c r="AE212" s="40">
        <f t="shared" si="169"/>
        <v>7380.3317180643244</v>
      </c>
      <c r="AF212" s="40">
        <f t="shared" si="170"/>
        <v>0</v>
      </c>
      <c r="AG212" s="40">
        <f t="shared" si="171"/>
        <v>10872.9267860572</v>
      </c>
      <c r="AH212" s="40">
        <f t="shared" si="187"/>
        <v>4517.9256584686864</v>
      </c>
      <c r="AI212" s="106">
        <f t="shared" si="181"/>
        <v>-344046.51847890462</v>
      </c>
      <c r="AJ212" s="40">
        <f t="shared" si="176"/>
        <v>1825427.8052972462</v>
      </c>
      <c r="AK212" s="108">
        <f t="shared" si="177"/>
        <v>297599.5040968089</v>
      </c>
    </row>
    <row r="213" spans="6:37">
      <c r="F213" s="16" t="s">
        <v>90</v>
      </c>
      <c r="G213" s="129">
        <f>$C$63</f>
        <v>0.41</v>
      </c>
      <c r="I213">
        <v>5</v>
      </c>
      <c r="J213" s="26">
        <f t="shared" si="182"/>
        <v>19830.434225299727</v>
      </c>
      <c r="K213" s="24">
        <f t="shared" si="183"/>
        <v>3156.5842376961432</v>
      </c>
      <c r="L213" s="24">
        <f t="shared" si="184"/>
        <v>2180.6662781914752</v>
      </c>
      <c r="M213" s="24">
        <f t="shared" si="185"/>
        <v>1311.9287898014015</v>
      </c>
      <c r="N213" s="48"/>
      <c r="O213" s="32">
        <f t="shared" si="161"/>
        <v>10082.99055914864</v>
      </c>
      <c r="P213" s="32">
        <f t="shared" si="173"/>
        <v>1256.1814824318303</v>
      </c>
      <c r="Q213" s="32">
        <f t="shared" si="174"/>
        <v>8826.8090767168105</v>
      </c>
      <c r="R213" s="45">
        <f t="shared" si="178"/>
        <v>292656.74670692242</v>
      </c>
      <c r="S213" s="31">
        <f t="shared" si="162"/>
        <v>11925.073437178877</v>
      </c>
      <c r="T213" s="32">
        <f t="shared" si="163"/>
        <v>4889.2801092433392</v>
      </c>
      <c r="U213" s="32">
        <f t="shared" si="164"/>
        <v>-1791.0157487812739</v>
      </c>
      <c r="V213" s="32">
        <v>0</v>
      </c>
      <c r="W213" s="32">
        <f t="shared" si="165"/>
        <v>1701.5793192116028</v>
      </c>
      <c r="X213" s="32">
        <f t="shared" si="186"/>
        <v>707.04135302777127</v>
      </c>
      <c r="Y213" s="102">
        <f t="shared" si="175"/>
        <v>-173236.59459735639</v>
      </c>
      <c r="Z213" s="32">
        <f t="shared" si="179"/>
        <v>-222281.50492123031</v>
      </c>
      <c r="AA213" s="45">
        <f t="shared" si="180"/>
        <v>-222281.50492123037</v>
      </c>
      <c r="AB213" s="1"/>
      <c r="AC213" s="40">
        <f t="shared" si="167"/>
        <v>13181.254919610707</v>
      </c>
      <c r="AD213" s="40">
        <f t="shared" si="168"/>
        <v>5404.3145170403895</v>
      </c>
      <c r="AE213" s="40">
        <f t="shared" si="169"/>
        <v>7776.940402570317</v>
      </c>
      <c r="AF213" s="40">
        <f t="shared" si="170"/>
        <v>0</v>
      </c>
      <c r="AG213" s="40">
        <f t="shared" si="171"/>
        <v>11269.535470563193</v>
      </c>
      <c r="AH213" s="40">
        <f t="shared" si="187"/>
        <v>4682.7247587807478</v>
      </c>
      <c r="AI213" s="106">
        <f t="shared" si="181"/>
        <v>-339363.79372012388</v>
      </c>
      <c r="AJ213" s="40">
        <f t="shared" si="176"/>
        <v>1836697.3407678094</v>
      </c>
      <c r="AK213" s="108">
        <f t="shared" si="177"/>
        <v>308869.03956737212</v>
      </c>
    </row>
    <row r="214" spans="6:37">
      <c r="G214" s="1"/>
      <c r="I214">
        <v>6</v>
      </c>
      <c r="J214" s="26">
        <f t="shared" si="182"/>
        <v>20670.706861964969</v>
      </c>
      <c r="K214" s="24">
        <f t="shared" si="183"/>
        <v>3156.5842376961432</v>
      </c>
      <c r="L214" s="24">
        <f t="shared" si="184"/>
        <v>2180.6662781914752</v>
      </c>
      <c r="M214" s="24">
        <f t="shared" si="185"/>
        <v>1311.9287898014015</v>
      </c>
      <c r="N214" s="48"/>
      <c r="O214" s="32">
        <f t="shared" si="161"/>
        <v>10082.99055914864</v>
      </c>
      <c r="P214" s="32">
        <f t="shared" si="173"/>
        <v>1219.4031112788434</v>
      </c>
      <c r="Q214" s="32">
        <f t="shared" si="174"/>
        <v>8863.587447869797</v>
      </c>
      <c r="R214" s="45">
        <f t="shared" si="178"/>
        <v>283793.1592590526</v>
      </c>
      <c r="S214" s="31">
        <f t="shared" si="162"/>
        <v>12802.124444997105</v>
      </c>
      <c r="T214" s="32">
        <f t="shared" si="163"/>
        <v>5248.8710224488132</v>
      </c>
      <c r="U214" s="32">
        <f t="shared" si="164"/>
        <v>-1310.3340253215047</v>
      </c>
      <c r="V214" s="32">
        <v>0</v>
      </c>
      <c r="W214" s="32">
        <f t="shared" si="165"/>
        <v>2182.2610426713718</v>
      </c>
      <c r="X214" s="32">
        <f t="shared" si="186"/>
        <v>906.774537542605</v>
      </c>
      <c r="Y214" s="102">
        <f t="shared" si="175"/>
        <v>-172329.82005981379</v>
      </c>
      <c r="Z214" s="32">
        <f t="shared" si="179"/>
        <v>-220099.24387855895</v>
      </c>
      <c r="AA214" s="45">
        <f t="shared" si="180"/>
        <v>-220099.24387855901</v>
      </c>
      <c r="AB214" s="1"/>
      <c r="AC214" s="40">
        <f t="shared" si="167"/>
        <v>14021.527556275949</v>
      </c>
      <c r="AD214" s="40">
        <f t="shared" si="168"/>
        <v>5748.8262980731388</v>
      </c>
      <c r="AE214" s="40">
        <f t="shared" si="169"/>
        <v>8272.701258202811</v>
      </c>
      <c r="AF214" s="40">
        <f t="shared" si="170"/>
        <v>0</v>
      </c>
      <c r="AG214" s="40">
        <f t="shared" si="171"/>
        <v>11765.296326195687</v>
      </c>
      <c r="AH214" s="40">
        <f t="shared" si="187"/>
        <v>4888.7236341708249</v>
      </c>
      <c r="AI214" s="106">
        <f t="shared" si="181"/>
        <v>-334475.07008595305</v>
      </c>
      <c r="AJ214" s="40">
        <f t="shared" si="176"/>
        <v>1848462.637094005</v>
      </c>
      <c r="AK214" s="108">
        <f t="shared" si="177"/>
        <v>320634.33589356783</v>
      </c>
    </row>
    <row r="215" spans="6:37">
      <c r="G215" s="1"/>
      <c r="I215">
        <v>7</v>
      </c>
      <c r="J215" s="26">
        <f t="shared" si="182"/>
        <v>22015.143080629357</v>
      </c>
      <c r="K215" s="24">
        <f t="shared" si="183"/>
        <v>3156.5842376961432</v>
      </c>
      <c r="L215" s="24">
        <f t="shared" si="184"/>
        <v>2180.6662781914752</v>
      </c>
      <c r="M215" s="24">
        <f t="shared" si="185"/>
        <v>1311.9287898014015</v>
      </c>
      <c r="N215" s="48"/>
      <c r="O215" s="32">
        <f t="shared" si="161"/>
        <v>10082.99055914864</v>
      </c>
      <c r="P215" s="32">
        <f t="shared" si="173"/>
        <v>1182.4714969127192</v>
      </c>
      <c r="Q215" s="32">
        <f t="shared" si="174"/>
        <v>8900.5190622359205</v>
      </c>
      <c r="R215" s="45">
        <f t="shared" si="178"/>
        <v>274892.6401968167</v>
      </c>
      <c r="S215" s="31">
        <f t="shared" si="162"/>
        <v>14183.492278027617</v>
      </c>
      <c r="T215" s="32">
        <f t="shared" si="163"/>
        <v>5815.2318339913227</v>
      </c>
      <c r="U215" s="32">
        <f t="shared" si="164"/>
        <v>-532.25861819962483</v>
      </c>
      <c r="V215" s="32">
        <v>0</v>
      </c>
      <c r="W215" s="32">
        <f t="shared" si="165"/>
        <v>2960.3364497932516</v>
      </c>
      <c r="X215" s="32">
        <f t="shared" si="186"/>
        <v>1230.0809402461721</v>
      </c>
      <c r="Y215" s="102">
        <f t="shared" si="175"/>
        <v>-171099.73911956762</v>
      </c>
      <c r="Z215" s="32">
        <f t="shared" si="179"/>
        <v>-217138.9074287657</v>
      </c>
      <c r="AA215" s="45">
        <f t="shared" si="180"/>
        <v>-217138.90742876576</v>
      </c>
      <c r="AB215" s="1"/>
      <c r="AC215" s="40">
        <f t="shared" si="167"/>
        <v>15365.963774940337</v>
      </c>
      <c r="AD215" s="40">
        <f t="shared" si="168"/>
        <v>6300.0451477255383</v>
      </c>
      <c r="AE215" s="40">
        <f t="shared" si="169"/>
        <v>9065.9186272147999</v>
      </c>
      <c r="AF215" s="40">
        <f t="shared" si="170"/>
        <v>0</v>
      </c>
      <c r="AG215" s="40">
        <f t="shared" si="171"/>
        <v>12558.513695207675</v>
      </c>
      <c r="AH215" s="40">
        <f t="shared" si="187"/>
        <v>5218.3218347949487</v>
      </c>
      <c r="AI215" s="106">
        <f t="shared" si="181"/>
        <v>-329256.7482511581</v>
      </c>
      <c r="AJ215" s="40">
        <f t="shared" si="176"/>
        <v>1861021.1507892127</v>
      </c>
      <c r="AK215" s="108">
        <f t="shared" si="177"/>
        <v>333192.84958877548</v>
      </c>
    </row>
    <row r="216" spans="6:37">
      <c r="G216" s="1"/>
      <c r="I216">
        <v>8</v>
      </c>
      <c r="J216" s="26">
        <f t="shared" si="182"/>
        <v>20166.543279965823</v>
      </c>
      <c r="K216" s="24">
        <f t="shared" si="183"/>
        <v>3156.5842376961432</v>
      </c>
      <c r="L216" s="24">
        <f t="shared" si="184"/>
        <v>2180.6662781914752</v>
      </c>
      <c r="M216" s="24">
        <f t="shared" si="185"/>
        <v>1311.9287898014015</v>
      </c>
      <c r="N216" s="48"/>
      <c r="O216" s="32">
        <f t="shared" si="161"/>
        <v>10082.99055914864</v>
      </c>
      <c r="P216" s="32">
        <f t="shared" si="173"/>
        <v>1145.3860008200695</v>
      </c>
      <c r="Q216" s="32">
        <f t="shared" si="174"/>
        <v>8937.6045583285704</v>
      </c>
      <c r="R216" s="45">
        <f t="shared" si="178"/>
        <v>265955.03563848813</v>
      </c>
      <c r="S216" s="31">
        <f t="shared" si="162"/>
        <v>12371.977973456733</v>
      </c>
      <c r="T216" s="32">
        <f t="shared" si="163"/>
        <v>5072.5109691172602</v>
      </c>
      <c r="U216" s="32">
        <f t="shared" si="164"/>
        <v>-1638.1375539890978</v>
      </c>
      <c r="V216" s="32">
        <v>0</v>
      </c>
      <c r="W216" s="32">
        <f t="shared" si="165"/>
        <v>1854.4575140037789</v>
      </c>
      <c r="X216" s="32">
        <f t="shared" si="186"/>
        <v>770.56540064277499</v>
      </c>
      <c r="Y216" s="102">
        <f t="shared" si="175"/>
        <v>-170329.17371892484</v>
      </c>
      <c r="Z216" s="32">
        <f t="shared" si="179"/>
        <v>-215284.44991476191</v>
      </c>
      <c r="AA216" s="45">
        <f t="shared" si="180"/>
        <v>-215284.44991476196</v>
      </c>
      <c r="AB216" s="1"/>
      <c r="AC216" s="40">
        <f t="shared" si="167"/>
        <v>13517.363974276803</v>
      </c>
      <c r="AD216" s="40">
        <f t="shared" si="168"/>
        <v>5542.1192294534885</v>
      </c>
      <c r="AE216" s="40">
        <f t="shared" si="169"/>
        <v>7975.2447448233142</v>
      </c>
      <c r="AF216" s="40">
        <f t="shared" si="170"/>
        <v>0</v>
      </c>
      <c r="AG216" s="40">
        <f t="shared" si="171"/>
        <v>11467.83981281619</v>
      </c>
      <c r="AH216" s="40">
        <f t="shared" si="187"/>
        <v>4765.1243089367781</v>
      </c>
      <c r="AI216" s="106">
        <f t="shared" si="181"/>
        <v>-324491.62394222134</v>
      </c>
      <c r="AJ216" s="40">
        <f t="shared" si="176"/>
        <v>1872488.9906020288</v>
      </c>
      <c r="AK216" s="108">
        <f t="shared" si="177"/>
        <v>344660.68940159166</v>
      </c>
    </row>
    <row r="217" spans="6:37">
      <c r="G217" s="1"/>
      <c r="I217">
        <v>9</v>
      </c>
      <c r="J217" s="26">
        <f t="shared" si="182"/>
        <v>17981.834424636192</v>
      </c>
      <c r="K217" s="24">
        <f t="shared" si="183"/>
        <v>3156.5842376961432</v>
      </c>
      <c r="L217" s="24">
        <f t="shared" si="184"/>
        <v>2180.6662781914752</v>
      </c>
      <c r="M217" s="24">
        <f t="shared" si="185"/>
        <v>1311.9287898014015</v>
      </c>
      <c r="N217" s="48"/>
      <c r="O217" s="32">
        <f t="shared" si="161"/>
        <v>10082.99055914864</v>
      </c>
      <c r="P217" s="32">
        <f t="shared" si="173"/>
        <v>1108.1459818270339</v>
      </c>
      <c r="Q217" s="32">
        <f t="shared" si="174"/>
        <v>8974.8445773216063</v>
      </c>
      <c r="R217" s="45">
        <f t="shared" si="178"/>
        <v>256980.19106116652</v>
      </c>
      <c r="S217" s="31">
        <f t="shared" si="162"/>
        <v>10224.50913712014</v>
      </c>
      <c r="T217" s="32">
        <f t="shared" si="163"/>
        <v>4192.0487462192568</v>
      </c>
      <c r="U217" s="32">
        <f t="shared" si="164"/>
        <v>-2942.3841864207234</v>
      </c>
      <c r="V217" s="32">
        <v>0</v>
      </c>
      <c r="W217" s="32">
        <f t="shared" si="165"/>
        <v>550.21088157215331</v>
      </c>
      <c r="X217" s="32">
        <f t="shared" si="186"/>
        <v>228.62398582607636</v>
      </c>
      <c r="Y217" s="102">
        <f t="shared" si="175"/>
        <v>-170100.54973309877</v>
      </c>
      <c r="Z217" s="32">
        <f t="shared" si="179"/>
        <v>-214734.23903318975</v>
      </c>
      <c r="AA217" s="45">
        <f t="shared" si="180"/>
        <v>-214734.23903318981</v>
      </c>
      <c r="AB217" s="1"/>
      <c r="AC217" s="40">
        <f t="shared" si="167"/>
        <v>11332.655118947174</v>
      </c>
      <c r="AD217" s="40">
        <f t="shared" si="168"/>
        <v>4646.3885987683407</v>
      </c>
      <c r="AE217" s="40">
        <f t="shared" si="169"/>
        <v>6686.2665201788332</v>
      </c>
      <c r="AF217" s="40">
        <f t="shared" si="170"/>
        <v>0</v>
      </c>
      <c r="AG217" s="40">
        <f t="shared" si="171"/>
        <v>10178.861588171709</v>
      </c>
      <c r="AH217" s="40">
        <f t="shared" si="187"/>
        <v>4229.5272329225782</v>
      </c>
      <c r="AI217" s="106">
        <f t="shared" si="181"/>
        <v>-320262.09670929878</v>
      </c>
      <c r="AJ217" s="40">
        <f t="shared" si="176"/>
        <v>1882667.8521902005</v>
      </c>
      <c r="AK217" s="108">
        <f t="shared" si="177"/>
        <v>354839.55098976335</v>
      </c>
    </row>
    <row r="218" spans="6:37">
      <c r="G218" s="1"/>
      <c r="I218">
        <v>10</v>
      </c>
      <c r="J218" s="26">
        <f t="shared" si="182"/>
        <v>12503.256833578811</v>
      </c>
      <c r="K218" s="24">
        <f t="shared" si="183"/>
        <v>3156.5842376961432</v>
      </c>
      <c r="L218" s="24">
        <f t="shared" si="184"/>
        <v>2180.6662781914752</v>
      </c>
      <c r="M218" s="24">
        <f t="shared" si="185"/>
        <v>1311.9287898014015</v>
      </c>
      <c r="N218" s="48"/>
      <c r="O218" s="32">
        <f t="shared" si="161"/>
        <v>10082.99055914864</v>
      </c>
      <c r="P218" s="32">
        <f t="shared" si="173"/>
        <v>1070.7507960881937</v>
      </c>
      <c r="Q218" s="32">
        <f t="shared" si="174"/>
        <v>9012.2397630604464</v>
      </c>
      <c r="R218" s="45">
        <f t="shared" si="178"/>
        <v>247967.95129810608</v>
      </c>
      <c r="S218" s="31">
        <f t="shared" si="162"/>
        <v>4783.3267318015978</v>
      </c>
      <c r="T218" s="32">
        <f t="shared" si="163"/>
        <v>1961.163960038655</v>
      </c>
      <c r="U218" s="32">
        <f t="shared" si="164"/>
        <v>-6190.0769912975038</v>
      </c>
      <c r="V218" s="32">
        <v>0</v>
      </c>
      <c r="W218" s="32">
        <f t="shared" si="165"/>
        <v>-2697.4819233046273</v>
      </c>
      <c r="X218" s="32">
        <f t="shared" si="186"/>
        <v>-1120.8594552647367</v>
      </c>
      <c r="Y218" s="102">
        <f t="shared" si="175"/>
        <v>-171221.4091883635</v>
      </c>
      <c r="Z218" s="32">
        <f t="shared" si="179"/>
        <v>-217431.72095649436</v>
      </c>
      <c r="AA218" s="45">
        <f t="shared" si="180"/>
        <v>-217431.72095649442</v>
      </c>
      <c r="AB218" s="1"/>
      <c r="AC218" s="40">
        <f t="shared" si="167"/>
        <v>5854.0775278897918</v>
      </c>
      <c r="AD218" s="40">
        <f t="shared" si="168"/>
        <v>2400.1717864348143</v>
      </c>
      <c r="AE218" s="40">
        <f t="shared" si="169"/>
        <v>3453.9057414549775</v>
      </c>
      <c r="AF218" s="40">
        <f t="shared" si="170"/>
        <v>0</v>
      </c>
      <c r="AG218" s="40">
        <f t="shared" si="171"/>
        <v>6946.5008094478544</v>
      </c>
      <c r="AH218" s="40">
        <f t="shared" si="187"/>
        <v>2886.4145653792743</v>
      </c>
      <c r="AI218" s="106">
        <f t="shared" si="181"/>
        <v>-317375.68214391952</v>
      </c>
      <c r="AJ218" s="40">
        <f t="shared" si="176"/>
        <v>1889614.3529996483</v>
      </c>
      <c r="AK218" s="108">
        <f t="shared" si="177"/>
        <v>361786.05179921119</v>
      </c>
    </row>
    <row r="219" spans="6:37">
      <c r="G219" s="1"/>
      <c r="I219">
        <v>11</v>
      </c>
      <c r="J219" s="26">
        <f t="shared" si="182"/>
        <v>6789.402904255161</v>
      </c>
      <c r="K219" s="24">
        <f t="shared" si="183"/>
        <v>3156.5842376961432</v>
      </c>
      <c r="L219" s="24">
        <f t="shared" si="184"/>
        <v>2180.6662781914752</v>
      </c>
      <c r="M219" s="24">
        <f t="shared" si="185"/>
        <v>1311.9287898014015</v>
      </c>
      <c r="N219" s="48"/>
      <c r="O219" s="32">
        <f t="shared" si="161"/>
        <v>10082.99055914864</v>
      </c>
      <c r="P219" s="32">
        <f t="shared" si="173"/>
        <v>1033.1997970754419</v>
      </c>
      <c r="Q219" s="32">
        <f t="shared" si="174"/>
        <v>9049.7907620731985</v>
      </c>
      <c r="R219" s="45">
        <f t="shared" si="178"/>
        <v>238918.1605360329</v>
      </c>
      <c r="S219" s="31">
        <f t="shared" si="162"/>
        <v>-892.97619850930073</v>
      </c>
      <c r="T219" s="32">
        <f t="shared" si="163"/>
        <v>-366.12024138881327</v>
      </c>
      <c r="U219" s="32">
        <f t="shared" si="164"/>
        <v>-9576.6467191936863</v>
      </c>
      <c r="V219" s="32">
        <v>0</v>
      </c>
      <c r="W219" s="32">
        <f t="shared" si="165"/>
        <v>-6084.0516512008098</v>
      </c>
      <c r="X219" s="32">
        <f t="shared" si="186"/>
        <v>-2528.0491263545528</v>
      </c>
      <c r="Y219" s="102">
        <f t="shared" si="175"/>
        <v>-173749.45831471804</v>
      </c>
      <c r="Z219" s="32">
        <f t="shared" si="179"/>
        <v>-223515.77260769517</v>
      </c>
      <c r="AA219" s="45">
        <f t="shared" si="180"/>
        <v>-223515.77260769522</v>
      </c>
      <c r="AB219" s="1"/>
      <c r="AC219" s="40">
        <f t="shared" si="167"/>
        <v>140.22359856614116</v>
      </c>
      <c r="AD219" s="40">
        <f t="shared" si="168"/>
        <v>57.491675412117871</v>
      </c>
      <c r="AE219" s="40">
        <f t="shared" si="169"/>
        <v>82.731923154023292</v>
      </c>
      <c r="AF219" s="40">
        <f t="shared" si="170"/>
        <v>0</v>
      </c>
      <c r="AG219" s="40">
        <f t="shared" si="171"/>
        <v>3575.3269911468997</v>
      </c>
      <c r="AH219" s="40">
        <f t="shared" si="187"/>
        <v>1485.6222127267479</v>
      </c>
      <c r="AI219" s="106">
        <f t="shared" si="181"/>
        <v>-315890.05993119278</v>
      </c>
      <c r="AJ219" s="40">
        <f t="shared" si="176"/>
        <v>1893189.6799907952</v>
      </c>
      <c r="AK219" s="108">
        <f t="shared" si="177"/>
        <v>365361.37879035808</v>
      </c>
    </row>
    <row r="220" spans="6:37">
      <c r="G220" s="1"/>
      <c r="I220">
        <v>12</v>
      </c>
      <c r="J220" s="26">
        <f t="shared" si="182"/>
        <v>5713.8539293236499</v>
      </c>
      <c r="K220" s="24">
        <f t="shared" si="183"/>
        <v>3156.5842376961432</v>
      </c>
      <c r="L220" s="24">
        <f t="shared" si="184"/>
        <v>2180.6662781914752</v>
      </c>
      <c r="M220" s="24">
        <f t="shared" si="185"/>
        <v>1311.9287898014015</v>
      </c>
      <c r="N220" s="48"/>
      <c r="O220" s="32">
        <f t="shared" si="161"/>
        <v>10082.99055914864</v>
      </c>
      <c r="P220" s="32">
        <f t="shared" si="173"/>
        <v>995.49233556680372</v>
      </c>
      <c r="Q220" s="32">
        <f t="shared" si="174"/>
        <v>9087.498223581837</v>
      </c>
      <c r="R220" s="45">
        <f t="shared" si="178"/>
        <v>229830.66231245105</v>
      </c>
      <c r="S220" s="31">
        <f t="shared" si="162"/>
        <v>-1930.8177119321736</v>
      </c>
      <c r="T220" s="32">
        <f t="shared" si="163"/>
        <v>-791.63526189219112</v>
      </c>
      <c r="U220" s="32">
        <f t="shared" si="164"/>
        <v>-10226.680673621819</v>
      </c>
      <c r="V220" s="32">
        <v>0</v>
      </c>
      <c r="W220" s="32">
        <f t="shared" si="165"/>
        <v>-6734.0856056289422</v>
      </c>
      <c r="X220" s="32">
        <f t="shared" si="186"/>
        <v>-2798.1516607846297</v>
      </c>
      <c r="Y220" s="102">
        <f t="shared" si="175"/>
        <v>-176547.60997550268</v>
      </c>
      <c r="Z220" s="32">
        <f t="shared" si="179"/>
        <v>-230249.8582133241</v>
      </c>
      <c r="AA220" s="45">
        <f t="shared" si="180"/>
        <v>-230249.85821332416</v>
      </c>
      <c r="AB220" s="1"/>
      <c r="AC220" s="40">
        <f t="shared" si="167"/>
        <v>-935.32537636536995</v>
      </c>
      <c r="AD220" s="40">
        <f t="shared" si="168"/>
        <v>-383.48340430980164</v>
      </c>
      <c r="AE220" s="40">
        <f t="shared" si="169"/>
        <v>-551.84197205556825</v>
      </c>
      <c r="AF220" s="40">
        <f t="shared" si="170"/>
        <v>0</v>
      </c>
      <c r="AG220" s="40">
        <f t="shared" si="171"/>
        <v>2940.7530959373084</v>
      </c>
      <c r="AH220" s="40">
        <f t="shared" si="187"/>
        <v>1221.9436522274489</v>
      </c>
      <c r="AI220" s="106">
        <f t="shared" si="181"/>
        <v>-314668.11627896532</v>
      </c>
      <c r="AJ220" s="40">
        <f t="shared" si="176"/>
        <v>1896130.4330867324</v>
      </c>
      <c r="AK220" s="108">
        <f t="shared" si="177"/>
        <v>368302.13188629539</v>
      </c>
    </row>
    <row r="221" spans="6:37">
      <c r="F221" s="132" t="s">
        <v>88</v>
      </c>
      <c r="G221" s="1">
        <f>SUM(S221:S232)</f>
        <v>91132.763722331118</v>
      </c>
      <c r="H221">
        <v>2033</v>
      </c>
      <c r="I221">
        <v>1</v>
      </c>
      <c r="J221" s="26">
        <f t="shared" ref="J221:J232" si="188">C23*$C$56*$D$56</f>
        <v>6143.1929135730288</v>
      </c>
      <c r="K221" s="24">
        <f t="shared" ref="K221:K232" si="189">$K$220*$C$8</f>
        <v>3251.2817648270275</v>
      </c>
      <c r="L221" s="24">
        <f t="shared" ref="L221:L232" si="190">(($C$5-SUM($L$5:$L$220))*0.5)/12</f>
        <v>2180.6695491942132</v>
      </c>
      <c r="M221" s="24">
        <f t="shared" ref="M221:M232" si="191">(($C$9-SUM($M$125:$M$220))*0.15)/12</f>
        <v>1115.1394713311913</v>
      </c>
      <c r="N221" s="48"/>
      <c r="O221" s="32">
        <f t="shared" si="161"/>
        <v>10082.99055914864</v>
      </c>
      <c r="P221" s="32">
        <f t="shared" si="173"/>
        <v>957.62775963521267</v>
      </c>
      <c r="Q221" s="32">
        <f t="shared" si="174"/>
        <v>9125.3627995134284</v>
      </c>
      <c r="R221" s="45">
        <f t="shared" si="178"/>
        <v>220705.29951293764</v>
      </c>
      <c r="S221" s="31">
        <f t="shared" si="162"/>
        <v>-1361.5256314146159</v>
      </c>
      <c r="T221" s="32">
        <f t="shared" si="163"/>
        <v>-558.2255088799925</v>
      </c>
      <c r="U221" s="32">
        <f t="shared" si="164"/>
        <v>-9928.6629220480518</v>
      </c>
      <c r="V221" s="32">
        <v>0</v>
      </c>
      <c r="W221" s="32">
        <f t="shared" si="165"/>
        <v>-6632.853901522647</v>
      </c>
      <c r="X221" s="32">
        <f t="shared" ref="X221:X232" si="192">W221/(1+$C$18)^19</f>
        <v>-2624.8455207628863</v>
      </c>
      <c r="Y221" s="102">
        <f t="shared" si="175"/>
        <v>-179172.45549626555</v>
      </c>
      <c r="Z221" s="32">
        <f t="shared" si="179"/>
        <v>-236882.71211484674</v>
      </c>
      <c r="AA221" s="45">
        <f t="shared" si="180"/>
        <v>-236882.7121148468</v>
      </c>
      <c r="AB221" s="1"/>
      <c r="AC221" s="40">
        <f t="shared" si="167"/>
        <v>-403.8978717794032</v>
      </c>
      <c r="AD221" s="40">
        <f t="shared" si="168"/>
        <v>-165.59812742955529</v>
      </c>
      <c r="AE221" s="40">
        <f t="shared" si="169"/>
        <v>-238.29974434984791</v>
      </c>
      <c r="AF221" s="40">
        <f t="shared" si="170"/>
        <v>0</v>
      </c>
      <c r="AG221" s="40">
        <f t="shared" si="171"/>
        <v>3057.5092761755568</v>
      </c>
      <c r="AH221" s="40">
        <f t="shared" ref="AH221:AH232" si="193">AG221/(1+$C$18)^19</f>
        <v>1209.9602444760683</v>
      </c>
      <c r="AI221" s="106">
        <f t="shared" si="181"/>
        <v>-313458.15603448922</v>
      </c>
      <c r="AJ221" s="40">
        <f t="shared" si="176"/>
        <v>1899187.942362908</v>
      </c>
      <c r="AK221" s="108">
        <f t="shared" si="177"/>
        <v>371359.64116247097</v>
      </c>
    </row>
    <row r="222" spans="6:37">
      <c r="F222" s="17" t="s">
        <v>31</v>
      </c>
      <c r="G222">
        <v>19</v>
      </c>
      <c r="I222">
        <v>2</v>
      </c>
      <c r="J222" s="26">
        <f t="shared" si="188"/>
        <v>9401.460978230547</v>
      </c>
      <c r="K222" s="24">
        <f t="shared" si="189"/>
        <v>3251.2817648270275</v>
      </c>
      <c r="L222" s="24">
        <f t="shared" si="190"/>
        <v>2180.6695491942132</v>
      </c>
      <c r="M222" s="24">
        <f t="shared" si="191"/>
        <v>1115.1394713311913</v>
      </c>
      <c r="N222" s="48"/>
      <c r="O222" s="32">
        <f t="shared" si="161"/>
        <v>10082.99055914864</v>
      </c>
      <c r="P222" s="32">
        <f t="shared" si="173"/>
        <v>919.60541463724019</v>
      </c>
      <c r="Q222" s="32">
        <f t="shared" si="174"/>
        <v>9163.3851445113996</v>
      </c>
      <c r="R222" s="45">
        <f t="shared" si="178"/>
        <v>211541.91436842622</v>
      </c>
      <c r="S222" s="31">
        <f t="shared" si="162"/>
        <v>1934.7647782408744</v>
      </c>
      <c r="T222" s="32">
        <f t="shared" si="163"/>
        <v>793.25355907875849</v>
      </c>
      <c r="U222" s="32">
        <f t="shared" si="164"/>
        <v>-8021.873925349284</v>
      </c>
      <c r="V222" s="32">
        <v>0</v>
      </c>
      <c r="W222" s="32">
        <f t="shared" si="165"/>
        <v>-4726.0649048238793</v>
      </c>
      <c r="X222" s="32">
        <f t="shared" si="192"/>
        <v>-1870.2643659034741</v>
      </c>
      <c r="Y222" s="102">
        <f t="shared" si="175"/>
        <v>-181042.71986216903</v>
      </c>
      <c r="Z222" s="32">
        <f t="shared" si="179"/>
        <v>-241608.77701967061</v>
      </c>
      <c r="AA222" s="45">
        <f t="shared" si="180"/>
        <v>-241608.77701967067</v>
      </c>
      <c r="AB222" s="1"/>
      <c r="AC222" s="40">
        <f t="shared" si="167"/>
        <v>2854.3701928781147</v>
      </c>
      <c r="AD222" s="40">
        <f t="shared" si="168"/>
        <v>1170.291779080027</v>
      </c>
      <c r="AE222" s="40">
        <f t="shared" si="169"/>
        <v>1684.0784137980877</v>
      </c>
      <c r="AF222" s="40">
        <f t="shared" si="170"/>
        <v>0</v>
      </c>
      <c r="AG222" s="40">
        <f t="shared" si="171"/>
        <v>4979.887434323492</v>
      </c>
      <c r="AH222" s="40">
        <f t="shared" si="193"/>
        <v>1970.7105598823314</v>
      </c>
      <c r="AI222" s="106">
        <f t="shared" si="181"/>
        <v>-311487.44547460688</v>
      </c>
      <c r="AJ222" s="40">
        <f t="shared" si="176"/>
        <v>1904167.8297972316</v>
      </c>
      <c r="AK222" s="108">
        <f t="shared" si="177"/>
        <v>376339.52859679447</v>
      </c>
    </row>
    <row r="223" spans="6:37">
      <c r="F223" s="13" t="s">
        <v>30</v>
      </c>
      <c r="G223" s="1">
        <v>0</v>
      </c>
      <c r="I223">
        <v>3</v>
      </c>
      <c r="J223" s="26">
        <f t="shared" si="188"/>
        <v>16851.355146900602</v>
      </c>
      <c r="K223" s="24">
        <f t="shared" si="189"/>
        <v>3251.2817648270275</v>
      </c>
      <c r="L223" s="24">
        <f t="shared" si="190"/>
        <v>2180.6695491942132</v>
      </c>
      <c r="M223" s="24">
        <f t="shared" si="191"/>
        <v>1115.1394713311913</v>
      </c>
      <c r="N223" s="48"/>
      <c r="O223" s="32">
        <f t="shared" si="161"/>
        <v>10082.99055914864</v>
      </c>
      <c r="P223" s="32">
        <f t="shared" si="173"/>
        <v>881.42464320177589</v>
      </c>
      <c r="Q223" s="32">
        <f t="shared" si="174"/>
        <v>9201.5659159468651</v>
      </c>
      <c r="R223" s="45">
        <f t="shared" si="178"/>
        <v>202340.34845247935</v>
      </c>
      <c r="S223" s="31">
        <f t="shared" si="162"/>
        <v>9422.8397183463931</v>
      </c>
      <c r="T223" s="32">
        <f t="shared" si="163"/>
        <v>3863.3642845220211</v>
      </c>
      <c r="U223" s="32">
        <f t="shared" si="164"/>
        <v>-3642.0904821224931</v>
      </c>
      <c r="V223" s="32">
        <v>0</v>
      </c>
      <c r="W223" s="32">
        <f t="shared" si="165"/>
        <v>-346.28146159708854</v>
      </c>
      <c r="X223" s="32">
        <f t="shared" si="192"/>
        <v>-137.0353330393252</v>
      </c>
      <c r="Y223" s="102">
        <f t="shared" si="175"/>
        <v>-181179.75519520836</v>
      </c>
      <c r="Z223" s="32">
        <f t="shared" si="179"/>
        <v>-241955.05848126771</v>
      </c>
      <c r="AA223" s="45">
        <f t="shared" si="180"/>
        <v>-241955.05848126777</v>
      </c>
      <c r="AB223" s="1"/>
      <c r="AC223" s="40">
        <f t="shared" si="167"/>
        <v>10304.264361548168</v>
      </c>
      <c r="AD223" s="40">
        <f t="shared" si="168"/>
        <v>4224.7483882347487</v>
      </c>
      <c r="AE223" s="40">
        <f t="shared" si="169"/>
        <v>6079.5159733134196</v>
      </c>
      <c r="AF223" s="40">
        <f t="shared" si="170"/>
        <v>0</v>
      </c>
      <c r="AG223" s="40">
        <f t="shared" si="171"/>
        <v>9375.3249938388235</v>
      </c>
      <c r="AH223" s="40">
        <f t="shared" si="193"/>
        <v>3710.1344581289432</v>
      </c>
      <c r="AI223" s="106">
        <f t="shared" si="181"/>
        <v>-307777.31101647794</v>
      </c>
      <c r="AJ223" s="40">
        <f t="shared" si="176"/>
        <v>1913543.1547910704</v>
      </c>
      <c r="AK223" s="108">
        <f t="shared" si="177"/>
        <v>385714.85359063331</v>
      </c>
    </row>
    <row r="224" spans="6:37">
      <c r="F224" s="18" t="s">
        <v>39</v>
      </c>
      <c r="G224" s="1">
        <f>G221</f>
        <v>91132.763722331118</v>
      </c>
      <c r="I224">
        <v>4</v>
      </c>
      <c r="J224" s="26">
        <f t="shared" si="188"/>
        <v>19345.966633904016</v>
      </c>
      <c r="K224" s="24">
        <f t="shared" si="189"/>
        <v>3251.2817648270275</v>
      </c>
      <c r="L224" s="24">
        <f t="shared" si="190"/>
        <v>2180.6695491942132</v>
      </c>
      <c r="M224" s="24">
        <f t="shared" si="191"/>
        <v>1115.1394713311913</v>
      </c>
      <c r="N224" s="48"/>
      <c r="O224" s="32">
        <f t="shared" si="161"/>
        <v>10082.99055914864</v>
      </c>
      <c r="P224" s="32">
        <f t="shared" si="173"/>
        <v>843.08478521866391</v>
      </c>
      <c r="Q224" s="32">
        <f t="shared" si="174"/>
        <v>9239.9057739299769</v>
      </c>
      <c r="R224" s="45">
        <f t="shared" si="178"/>
        <v>193100.44267854936</v>
      </c>
      <c r="S224" s="31">
        <f t="shared" si="162"/>
        <v>11955.791063332919</v>
      </c>
      <c r="T224" s="32">
        <f t="shared" si="163"/>
        <v>4901.8743359664968</v>
      </c>
      <c r="U224" s="32">
        <f t="shared" si="164"/>
        <v>-2185.9890465635544</v>
      </c>
      <c r="V224" s="32">
        <v>0</v>
      </c>
      <c r="W224" s="32">
        <f t="shared" si="165"/>
        <v>1109.8199739618501</v>
      </c>
      <c r="X224" s="32">
        <f t="shared" si="192"/>
        <v>439.19344987203908</v>
      </c>
      <c r="Y224" s="102">
        <f t="shared" si="175"/>
        <v>-180740.56174533631</v>
      </c>
      <c r="Z224" s="32">
        <f t="shared" si="179"/>
        <v>-240845.23850730585</v>
      </c>
      <c r="AA224" s="45">
        <f t="shared" si="180"/>
        <v>-240845.23850730591</v>
      </c>
      <c r="AB224" s="1"/>
      <c r="AC224" s="40">
        <f t="shared" si="167"/>
        <v>12798.875848551583</v>
      </c>
      <c r="AD224" s="40">
        <f t="shared" si="168"/>
        <v>5247.5390979061485</v>
      </c>
      <c r="AE224" s="40">
        <f t="shared" si="169"/>
        <v>7551.3367506454342</v>
      </c>
      <c r="AF224" s="40">
        <f t="shared" si="170"/>
        <v>0</v>
      </c>
      <c r="AG224" s="40">
        <f t="shared" si="171"/>
        <v>10847.145771170839</v>
      </c>
      <c r="AH224" s="40">
        <f t="shared" si="193"/>
        <v>4292.5839183618646</v>
      </c>
      <c r="AI224" s="106">
        <f t="shared" si="181"/>
        <v>-303484.72709811607</v>
      </c>
      <c r="AJ224" s="40">
        <f t="shared" si="176"/>
        <v>1924390.3005622411</v>
      </c>
      <c r="AK224" s="108">
        <f t="shared" si="177"/>
        <v>396561.99936180416</v>
      </c>
    </row>
    <row r="225" spans="6:37">
      <c r="F225" s="16" t="s">
        <v>90</v>
      </c>
      <c r="G225" s="129">
        <f>$C$63</f>
        <v>0.41</v>
      </c>
      <c r="I225">
        <v>5</v>
      </c>
      <c r="J225" s="26">
        <f t="shared" si="188"/>
        <v>20024.772480707667</v>
      </c>
      <c r="K225" s="24">
        <f t="shared" si="189"/>
        <v>3251.2817648270275</v>
      </c>
      <c r="L225" s="24">
        <f t="shared" si="190"/>
        <v>2180.6695491942132</v>
      </c>
      <c r="M225" s="24">
        <f t="shared" si="191"/>
        <v>1115.1394713311913</v>
      </c>
      <c r="N225" s="48"/>
      <c r="O225" s="32">
        <f t="shared" si="161"/>
        <v>10082.99055914864</v>
      </c>
      <c r="P225" s="32">
        <f t="shared" si="173"/>
        <v>804.58517782728893</v>
      </c>
      <c r="Q225" s="32">
        <f t="shared" si="174"/>
        <v>9278.4053813213523</v>
      </c>
      <c r="R225" s="45">
        <f t="shared" si="178"/>
        <v>183822.037297228</v>
      </c>
      <c r="S225" s="31">
        <f t="shared" si="162"/>
        <v>12673.096517527945</v>
      </c>
      <c r="T225" s="32">
        <f t="shared" si="163"/>
        <v>5195.9695721864573</v>
      </c>
      <c r="U225" s="32">
        <f t="shared" si="164"/>
        <v>-1801.2784359798643</v>
      </c>
      <c r="V225" s="32">
        <v>0</v>
      </c>
      <c r="W225" s="32">
        <f t="shared" si="165"/>
        <v>1494.5305845455403</v>
      </c>
      <c r="X225" s="32">
        <f t="shared" si="192"/>
        <v>591.43650210461453</v>
      </c>
      <c r="Y225" s="102">
        <f t="shared" si="175"/>
        <v>-180149.12524323168</v>
      </c>
      <c r="Z225" s="32">
        <f t="shared" si="179"/>
        <v>-239350.70792276031</v>
      </c>
      <c r="AA225" s="45">
        <f t="shared" si="180"/>
        <v>-239350.70792276037</v>
      </c>
      <c r="AB225" s="1"/>
      <c r="AC225" s="40">
        <f t="shared" si="167"/>
        <v>13477.681695355233</v>
      </c>
      <c r="AD225" s="40">
        <f t="shared" si="168"/>
        <v>5525.8494950956456</v>
      </c>
      <c r="AE225" s="40">
        <f t="shared" si="169"/>
        <v>7951.8322002595878</v>
      </c>
      <c r="AF225" s="40">
        <f t="shared" si="170"/>
        <v>0</v>
      </c>
      <c r="AG225" s="40">
        <f t="shared" si="171"/>
        <v>11247.641220784992</v>
      </c>
      <c r="AH225" s="40">
        <f t="shared" si="193"/>
        <v>4451.0735674048356</v>
      </c>
      <c r="AI225" s="106">
        <f t="shared" si="181"/>
        <v>-299033.65353071125</v>
      </c>
      <c r="AJ225" s="40">
        <f t="shared" si="176"/>
        <v>1935637.9417830261</v>
      </c>
      <c r="AK225" s="108">
        <f t="shared" si="177"/>
        <v>407809.64058258914</v>
      </c>
    </row>
    <row r="226" spans="6:37">
      <c r="G226" s="1"/>
      <c r="I226">
        <v>6</v>
      </c>
      <c r="J226" s="26">
        <f t="shared" si="188"/>
        <v>20873.279789212225</v>
      </c>
      <c r="K226" s="24">
        <f t="shared" si="189"/>
        <v>3251.2817648270275</v>
      </c>
      <c r="L226" s="24">
        <f t="shared" si="190"/>
        <v>2180.6695491942132</v>
      </c>
      <c r="M226" s="24">
        <f t="shared" si="191"/>
        <v>1115.1394713311913</v>
      </c>
      <c r="N226" s="48"/>
      <c r="O226" s="32">
        <f t="shared" si="161"/>
        <v>10082.99055914864</v>
      </c>
      <c r="P226" s="32">
        <f t="shared" si="173"/>
        <v>765.9251554051167</v>
      </c>
      <c r="Q226" s="32">
        <f t="shared" si="174"/>
        <v>9317.0654037435233</v>
      </c>
      <c r="R226" s="45">
        <f t="shared" si="178"/>
        <v>174504.97189348447</v>
      </c>
      <c r="S226" s="31">
        <f t="shared" si="162"/>
        <v>13560.263848454675</v>
      </c>
      <c r="T226" s="32">
        <f t="shared" si="163"/>
        <v>5559.708177866416</v>
      </c>
      <c r="U226" s="32">
        <f t="shared" si="164"/>
        <v>-1316.5097331552643</v>
      </c>
      <c r="V226" s="32">
        <v>0</v>
      </c>
      <c r="W226" s="32">
        <f t="shared" si="165"/>
        <v>1979.2992873701403</v>
      </c>
      <c r="X226" s="32">
        <f t="shared" si="192"/>
        <v>783.27593911122233</v>
      </c>
      <c r="Y226" s="102">
        <f t="shared" si="175"/>
        <v>-179365.84930412046</v>
      </c>
      <c r="Z226" s="32">
        <f t="shared" si="179"/>
        <v>-237371.40863539017</v>
      </c>
      <c r="AA226" s="45">
        <f t="shared" si="180"/>
        <v>-237371.40863539022</v>
      </c>
      <c r="AB226" s="1"/>
      <c r="AC226" s="40">
        <f t="shared" si="167"/>
        <v>14326.189003859792</v>
      </c>
      <c r="AD226" s="40">
        <f t="shared" si="168"/>
        <v>5873.7374915825148</v>
      </c>
      <c r="AE226" s="40">
        <f t="shared" si="169"/>
        <v>8452.4515122772773</v>
      </c>
      <c r="AF226" s="40">
        <f t="shared" si="170"/>
        <v>0</v>
      </c>
      <c r="AG226" s="40">
        <f t="shared" si="171"/>
        <v>11748.260532802682</v>
      </c>
      <c r="AH226" s="40">
        <f t="shared" si="193"/>
        <v>4649.1856287085493</v>
      </c>
      <c r="AI226" s="106">
        <f t="shared" si="181"/>
        <v>-294384.46790200268</v>
      </c>
      <c r="AJ226" s="40">
        <f t="shared" si="176"/>
        <v>1947386.2023158288</v>
      </c>
      <c r="AK226" s="108">
        <f t="shared" si="177"/>
        <v>419557.90111539181</v>
      </c>
    </row>
    <row r="227" spans="6:37">
      <c r="G227" s="1"/>
      <c r="I227">
        <v>7</v>
      </c>
      <c r="J227" s="26">
        <f t="shared" si="188"/>
        <v>22230.891482819523</v>
      </c>
      <c r="K227" s="24">
        <f t="shared" si="189"/>
        <v>3251.2817648270275</v>
      </c>
      <c r="L227" s="24">
        <f t="shared" si="190"/>
        <v>2180.6695491942132</v>
      </c>
      <c r="M227" s="24">
        <f t="shared" si="191"/>
        <v>1115.1394713311913</v>
      </c>
      <c r="N227" s="48"/>
      <c r="O227" s="32">
        <f t="shared" si="161"/>
        <v>10082.99055914864</v>
      </c>
      <c r="P227" s="32">
        <f t="shared" si="173"/>
        <v>727.10404955618526</v>
      </c>
      <c r="Q227" s="32">
        <f t="shared" si="174"/>
        <v>9355.8865095924557</v>
      </c>
      <c r="R227" s="45">
        <f t="shared" si="178"/>
        <v>165149.085383892</v>
      </c>
      <c r="S227" s="31">
        <f t="shared" si="162"/>
        <v>14956.696647910907</v>
      </c>
      <c r="T227" s="32">
        <f t="shared" si="163"/>
        <v>6132.2456256434716</v>
      </c>
      <c r="U227" s="32">
        <f t="shared" si="164"/>
        <v>-531.43548732502131</v>
      </c>
      <c r="V227" s="32">
        <v>0</v>
      </c>
      <c r="W227" s="32">
        <f t="shared" si="165"/>
        <v>2764.3735332003835</v>
      </c>
      <c r="X227" s="32">
        <f t="shared" si="192"/>
        <v>1093.9564769654871</v>
      </c>
      <c r="Y227" s="102">
        <f t="shared" si="175"/>
        <v>-178271.89282715498</v>
      </c>
      <c r="Z227" s="32">
        <f t="shared" si="179"/>
        <v>-234607.03510218978</v>
      </c>
      <c r="AA227" s="45">
        <f t="shared" si="180"/>
        <v>-234607.03510218984</v>
      </c>
      <c r="AB227" s="1"/>
      <c r="AC227" s="40">
        <f t="shared" si="167"/>
        <v>15683.800697467092</v>
      </c>
      <c r="AD227" s="40">
        <f t="shared" si="168"/>
        <v>6430.3582859615071</v>
      </c>
      <c r="AE227" s="40">
        <f t="shared" si="169"/>
        <v>9253.4424115055845</v>
      </c>
      <c r="AF227" s="40">
        <f t="shared" si="170"/>
        <v>0</v>
      </c>
      <c r="AG227" s="40">
        <f t="shared" si="171"/>
        <v>12549.251432030989</v>
      </c>
      <c r="AH227" s="40">
        <f t="shared" si="193"/>
        <v>4966.1649267944922</v>
      </c>
      <c r="AI227" s="106">
        <f t="shared" si="181"/>
        <v>-289418.30297520821</v>
      </c>
      <c r="AJ227" s="40">
        <f t="shared" si="176"/>
        <v>1959935.4537478597</v>
      </c>
      <c r="AK227" s="108">
        <f t="shared" si="177"/>
        <v>432107.1525474228</v>
      </c>
    </row>
    <row r="228" spans="6:37">
      <c r="G228" s="1"/>
      <c r="I228">
        <v>8</v>
      </c>
      <c r="J228" s="26">
        <f t="shared" si="188"/>
        <v>20364.17540410949</v>
      </c>
      <c r="K228" s="24">
        <f t="shared" si="189"/>
        <v>3251.2817648270275</v>
      </c>
      <c r="L228" s="24">
        <f t="shared" si="190"/>
        <v>2180.6695491942132</v>
      </c>
      <c r="M228" s="24">
        <f t="shared" si="191"/>
        <v>1115.1394713311913</v>
      </c>
      <c r="N228" s="48"/>
      <c r="O228" s="32">
        <f t="shared" si="161"/>
        <v>10082.99055914864</v>
      </c>
      <c r="P228" s="32">
        <f t="shared" si="173"/>
        <v>688.12118909954995</v>
      </c>
      <c r="Q228" s="32">
        <f t="shared" si="174"/>
        <v>9394.8693700490912</v>
      </c>
      <c r="R228" s="45">
        <f t="shared" si="178"/>
        <v>155754.2160138429</v>
      </c>
      <c r="S228" s="31">
        <f t="shared" si="162"/>
        <v>13128.963429657508</v>
      </c>
      <c r="T228" s="32">
        <f t="shared" si="163"/>
        <v>5382.8750061595774</v>
      </c>
      <c r="U228" s="32">
        <f t="shared" si="164"/>
        <v>-1648.7809465511618</v>
      </c>
      <c r="V228" s="32">
        <v>0</v>
      </c>
      <c r="W228" s="32">
        <f t="shared" si="165"/>
        <v>1647.0280739742427</v>
      </c>
      <c r="X228" s="32">
        <f t="shared" si="192"/>
        <v>651.78493703133984</v>
      </c>
      <c r="Y228" s="102">
        <f t="shared" si="175"/>
        <v>-177620.10789012365</v>
      </c>
      <c r="Z228" s="32">
        <f t="shared" si="179"/>
        <v>-232960.00702821554</v>
      </c>
      <c r="AA228" s="45">
        <f t="shared" si="180"/>
        <v>-232960.00702821559</v>
      </c>
      <c r="AB228" s="1"/>
      <c r="AC228" s="40">
        <f t="shared" si="167"/>
        <v>13817.084618757057</v>
      </c>
      <c r="AD228" s="40">
        <f t="shared" si="168"/>
        <v>5665.0046936903927</v>
      </c>
      <c r="AE228" s="40">
        <f t="shared" si="169"/>
        <v>8152.0799250666641</v>
      </c>
      <c r="AF228" s="40">
        <f t="shared" si="170"/>
        <v>0</v>
      </c>
      <c r="AG228" s="40">
        <f t="shared" si="171"/>
        <v>11447.888945592069</v>
      </c>
      <c r="AH228" s="40">
        <f t="shared" si="193"/>
        <v>4530.3183919263211</v>
      </c>
      <c r="AI228" s="106">
        <f t="shared" si="181"/>
        <v>-284887.98458328191</v>
      </c>
      <c r="AJ228" s="40">
        <f t="shared" si="176"/>
        <v>1971383.3426934518</v>
      </c>
      <c r="AK228" s="108">
        <f t="shared" si="177"/>
        <v>443555.04149301484</v>
      </c>
    </row>
    <row r="229" spans="6:37">
      <c r="G229" s="1"/>
      <c r="I229">
        <v>9</v>
      </c>
      <c r="J229" s="26">
        <f t="shared" si="188"/>
        <v>18158.056401997626</v>
      </c>
      <c r="K229" s="24">
        <f t="shared" si="189"/>
        <v>3251.2817648270275</v>
      </c>
      <c r="L229" s="24">
        <f t="shared" si="190"/>
        <v>2180.6695491942132</v>
      </c>
      <c r="M229" s="24">
        <f t="shared" si="191"/>
        <v>1115.1394713311913</v>
      </c>
      <c r="N229" s="48"/>
      <c r="O229" s="32">
        <f t="shared" si="161"/>
        <v>10082.99055914864</v>
      </c>
      <c r="P229" s="32">
        <f t="shared" si="173"/>
        <v>648.9759000576787</v>
      </c>
      <c r="Q229" s="32">
        <f t="shared" si="174"/>
        <v>9434.0146590909608</v>
      </c>
      <c r="R229" s="45">
        <f t="shared" si="178"/>
        <v>146320.20135475195</v>
      </c>
      <c r="S229" s="31">
        <f t="shared" si="162"/>
        <v>10961.989716587515</v>
      </c>
      <c r="T229" s="32">
        <f t="shared" si="163"/>
        <v>4494.4157838008814</v>
      </c>
      <c r="U229" s="32">
        <f t="shared" si="164"/>
        <v>-2966.4407263043286</v>
      </c>
      <c r="V229" s="32">
        <v>0</v>
      </c>
      <c r="W229" s="32">
        <f t="shared" si="165"/>
        <v>329.36829422107598</v>
      </c>
      <c r="X229" s="32">
        <f t="shared" si="192"/>
        <v>130.34221838793081</v>
      </c>
      <c r="Y229" s="102">
        <f t="shared" si="175"/>
        <v>-177489.76567173572</v>
      </c>
      <c r="Z229" s="32">
        <f t="shared" si="179"/>
        <v>-232630.63873399445</v>
      </c>
      <c r="AA229" s="45">
        <f t="shared" si="180"/>
        <v>-232630.63873399451</v>
      </c>
      <c r="AB229" s="1"/>
      <c r="AC229" s="40">
        <f t="shared" si="167"/>
        <v>11610.965616645193</v>
      </c>
      <c r="AD229" s="40">
        <f t="shared" si="168"/>
        <v>4760.4959028245294</v>
      </c>
      <c r="AE229" s="40">
        <f t="shared" si="169"/>
        <v>6850.4697138206639</v>
      </c>
      <c r="AF229" s="40">
        <f t="shared" si="170"/>
        <v>0</v>
      </c>
      <c r="AG229" s="40">
        <f t="shared" si="171"/>
        <v>10146.278734346068</v>
      </c>
      <c r="AH229" s="40">
        <f t="shared" si="193"/>
        <v>4015.227032536663</v>
      </c>
      <c r="AI229" s="106">
        <f t="shared" si="181"/>
        <v>-280872.75755074527</v>
      </c>
      <c r="AJ229" s="40">
        <f t="shared" si="176"/>
        <v>1981529.6214277979</v>
      </c>
      <c r="AK229" s="108">
        <f t="shared" si="177"/>
        <v>453701.32022736093</v>
      </c>
    </row>
    <row r="230" spans="6:37">
      <c r="G230" s="1"/>
      <c r="I230">
        <v>10</v>
      </c>
      <c r="J230" s="26">
        <f t="shared" si="188"/>
        <v>12625.788750547883</v>
      </c>
      <c r="K230" s="24">
        <f t="shared" si="189"/>
        <v>3251.2817648270275</v>
      </c>
      <c r="L230" s="24">
        <f t="shared" si="190"/>
        <v>2180.6695491942132</v>
      </c>
      <c r="M230" s="24">
        <f t="shared" si="191"/>
        <v>1115.1394713311913</v>
      </c>
      <c r="N230" s="48"/>
      <c r="O230" s="32">
        <f t="shared" si="161"/>
        <v>10082.99055914864</v>
      </c>
      <c r="P230" s="32">
        <f t="shared" si="173"/>
        <v>609.6675056447998</v>
      </c>
      <c r="Q230" s="32">
        <f t="shared" si="174"/>
        <v>9473.3230535038401</v>
      </c>
      <c r="R230" s="45">
        <f t="shared" si="178"/>
        <v>136846.8783012481</v>
      </c>
      <c r="S230" s="31">
        <f t="shared" si="162"/>
        <v>5469.0304595506495</v>
      </c>
      <c r="T230" s="32">
        <f t="shared" si="163"/>
        <v>2242.3024884157662</v>
      </c>
      <c r="U230" s="32">
        <f t="shared" si="164"/>
        <v>-6246.5950823689564</v>
      </c>
      <c r="V230" s="32">
        <v>0</v>
      </c>
      <c r="W230" s="32">
        <f t="shared" si="165"/>
        <v>-2950.7860618435516</v>
      </c>
      <c r="X230" s="32">
        <f t="shared" si="192"/>
        <v>-1167.7262445629278</v>
      </c>
      <c r="Y230" s="102">
        <f t="shared" si="175"/>
        <v>-178657.49191629863</v>
      </c>
      <c r="Z230" s="32">
        <f t="shared" si="179"/>
        <v>-235581.42479583801</v>
      </c>
      <c r="AA230" s="45">
        <f t="shared" si="180"/>
        <v>-235581.42479583807</v>
      </c>
      <c r="AB230" s="1"/>
      <c r="AC230" s="40">
        <f t="shared" si="167"/>
        <v>6078.6979651954498</v>
      </c>
      <c r="AD230" s="40">
        <f t="shared" si="168"/>
        <v>2492.2661657301342</v>
      </c>
      <c r="AE230" s="40">
        <f t="shared" si="169"/>
        <v>3586.4317994653156</v>
      </c>
      <c r="AF230" s="40">
        <f t="shared" si="170"/>
        <v>0</v>
      </c>
      <c r="AG230" s="40">
        <f t="shared" si="171"/>
        <v>6882.2408199907204</v>
      </c>
      <c r="AH230" s="40">
        <f t="shared" si="193"/>
        <v>2723.5363928364459</v>
      </c>
      <c r="AI230" s="106">
        <f t="shared" si="181"/>
        <v>-278149.22115790885</v>
      </c>
      <c r="AJ230" s="40">
        <f t="shared" si="176"/>
        <v>1988411.8622477886</v>
      </c>
      <c r="AK230" s="108">
        <f t="shared" si="177"/>
        <v>460583.56104735163</v>
      </c>
    </row>
    <row r="231" spans="6:37">
      <c r="G231" s="1"/>
      <c r="I231">
        <v>11</v>
      </c>
      <c r="J231" s="26">
        <f t="shared" si="188"/>
        <v>6855.9390527168616</v>
      </c>
      <c r="K231" s="24">
        <f t="shared" si="189"/>
        <v>3251.2817648270275</v>
      </c>
      <c r="L231" s="24">
        <f t="shared" si="190"/>
        <v>2180.6695491942132</v>
      </c>
      <c r="M231" s="24">
        <f t="shared" si="191"/>
        <v>1115.1394713311913</v>
      </c>
      <c r="N231" s="48"/>
      <c r="O231" s="32">
        <f t="shared" si="161"/>
        <v>10082.99055914864</v>
      </c>
      <c r="P231" s="32">
        <f t="shared" si="173"/>
        <v>570.19532625520037</v>
      </c>
      <c r="Q231" s="32">
        <f t="shared" si="174"/>
        <v>9512.7952328934407</v>
      </c>
      <c r="R231" s="45">
        <f t="shared" si="178"/>
        <v>127334.08306835467</v>
      </c>
      <c r="S231" s="31">
        <f t="shared" si="162"/>
        <v>-261.34705889077077</v>
      </c>
      <c r="T231" s="32">
        <f t="shared" si="163"/>
        <v>-107.152294145216</v>
      </c>
      <c r="U231" s="32">
        <f t="shared" si="164"/>
        <v>-9666.9899976389952</v>
      </c>
      <c r="V231" s="32">
        <v>0</v>
      </c>
      <c r="W231" s="32">
        <f t="shared" si="165"/>
        <v>-6371.1809771135904</v>
      </c>
      <c r="X231" s="32">
        <f t="shared" si="192"/>
        <v>-2521.2926589423714</v>
      </c>
      <c r="Y231" s="102">
        <f t="shared" si="175"/>
        <v>-181178.78457524101</v>
      </c>
      <c r="Z231" s="32">
        <f t="shared" si="179"/>
        <v>-241952.60577295162</v>
      </c>
      <c r="AA231" s="45">
        <f t="shared" si="180"/>
        <v>-241952.60577295168</v>
      </c>
      <c r="AB231" s="1"/>
      <c r="AC231" s="40">
        <f t="shared" si="167"/>
        <v>308.8482673644296</v>
      </c>
      <c r="AD231" s="40">
        <f t="shared" si="168"/>
        <v>126.62778961941613</v>
      </c>
      <c r="AE231" s="40">
        <f t="shared" si="169"/>
        <v>182.22047774501345</v>
      </c>
      <c r="AF231" s="40">
        <f t="shared" si="170"/>
        <v>0</v>
      </c>
      <c r="AG231" s="40">
        <f t="shared" si="171"/>
        <v>3478.0294982704181</v>
      </c>
      <c r="AH231" s="40">
        <f t="shared" si="193"/>
        <v>1376.3743759711886</v>
      </c>
      <c r="AI231" s="106">
        <f t="shared" si="181"/>
        <v>-276772.84678193764</v>
      </c>
      <c r="AJ231" s="40">
        <f t="shared" si="176"/>
        <v>1991889.8917460591</v>
      </c>
      <c r="AK231" s="108">
        <f t="shared" si="177"/>
        <v>464061.59054562205</v>
      </c>
    </row>
    <row r="232" spans="6:37">
      <c r="G232" s="1"/>
      <c r="I232">
        <v>12</v>
      </c>
      <c r="J232" s="26">
        <f t="shared" si="188"/>
        <v>5769.8496978310213</v>
      </c>
      <c r="K232" s="24">
        <f t="shared" si="189"/>
        <v>3251.2817648270275</v>
      </c>
      <c r="L232" s="24">
        <f t="shared" si="190"/>
        <v>2180.6695491942132</v>
      </c>
      <c r="M232" s="24">
        <f t="shared" si="191"/>
        <v>1115.1394713311913</v>
      </c>
      <c r="N232" s="48"/>
      <c r="O232" s="32">
        <f t="shared" si="161"/>
        <v>10082.99055914864</v>
      </c>
      <c r="P232" s="32">
        <f t="shared" si="173"/>
        <v>530.55867945147781</v>
      </c>
      <c r="Q232" s="32">
        <f t="shared" si="174"/>
        <v>9552.431879697162</v>
      </c>
      <c r="R232" s="45">
        <f t="shared" si="178"/>
        <v>117781.6511886575</v>
      </c>
      <c r="S232" s="31">
        <f t="shared" si="162"/>
        <v>-1307.7997669728884</v>
      </c>
      <c r="T232" s="32">
        <f t="shared" si="163"/>
        <v>-536.19790445888418</v>
      </c>
      <c r="U232" s="32">
        <f t="shared" si="164"/>
        <v>-10324.033742211166</v>
      </c>
      <c r="V232" s="32">
        <v>0</v>
      </c>
      <c r="W232" s="32">
        <f t="shared" si="165"/>
        <v>-7028.2247216857613</v>
      </c>
      <c r="X232" s="32">
        <f t="shared" si="192"/>
        <v>-2781.3071799149543</v>
      </c>
      <c r="Y232" s="102">
        <f t="shared" si="175"/>
        <v>-183960.09175515597</v>
      </c>
      <c r="Z232" s="32">
        <f t="shared" si="179"/>
        <v>-248980.83049463737</v>
      </c>
      <c r="AA232" s="45">
        <f t="shared" si="180"/>
        <v>-248980.83049463743</v>
      </c>
      <c r="AB232" s="1"/>
      <c r="AC232" s="40">
        <f t="shared" si="167"/>
        <v>-777.24108752141069</v>
      </c>
      <c r="AD232" s="40">
        <f t="shared" si="168"/>
        <v>-318.66884588377837</v>
      </c>
      <c r="AE232" s="40">
        <f t="shared" si="169"/>
        <v>-458.57224163763232</v>
      </c>
      <c r="AF232" s="40">
        <f t="shared" si="170"/>
        <v>0</v>
      </c>
      <c r="AG232" s="40">
        <f t="shared" si="171"/>
        <v>2837.2367788877723</v>
      </c>
      <c r="AH232" s="40">
        <f t="shared" si="193"/>
        <v>1122.790937502434</v>
      </c>
      <c r="AI232" s="106">
        <f t="shared" si="181"/>
        <v>-275650.05584443518</v>
      </c>
      <c r="AJ232" s="40">
        <f t="shared" si="176"/>
        <v>1994727.1285249467</v>
      </c>
      <c r="AK232" s="108">
        <f t="shared" si="177"/>
        <v>466898.8273245098</v>
      </c>
    </row>
    <row r="233" spans="6:37">
      <c r="F233" s="132" t="s">
        <v>88</v>
      </c>
      <c r="G233" s="1">
        <f>SUM(S233:S244)</f>
        <v>99452.911741832708</v>
      </c>
      <c r="H233">
        <v>2034</v>
      </c>
      <c r="I233">
        <v>1</v>
      </c>
      <c r="J233" s="26">
        <f t="shared" ref="J233:J244" si="194">C23*$C$57*$D$57</f>
        <v>6203.3962041260447</v>
      </c>
      <c r="K233" s="24">
        <f t="shared" ref="K233:K244" si="195">$K$232*$C$8</f>
        <v>3348.8202177718385</v>
      </c>
      <c r="L233" s="24">
        <f t="shared" ref="L233:L244" si="196">(($C$5-SUM($L$5:$L$232))*1)/12</f>
        <v>2180.6695491942614</v>
      </c>
      <c r="M233" s="24">
        <f t="shared" ref="M233:M244" si="197">(($C$9-SUM($M$125:$M$232))*0.15)/12</f>
        <v>947.86855063151086</v>
      </c>
      <c r="N233" s="48"/>
      <c r="O233" s="32">
        <f t="shared" si="161"/>
        <v>10082.99055914864</v>
      </c>
      <c r="P233" s="32">
        <f t="shared" si="173"/>
        <v>490.75687995273961</v>
      </c>
      <c r="Q233" s="32">
        <f t="shared" si="174"/>
        <v>9592.2336791959005</v>
      </c>
      <c r="R233" s="45">
        <f t="shared" si="178"/>
        <v>108189.41750946161</v>
      </c>
      <c r="S233" s="31">
        <f t="shared" si="162"/>
        <v>-764.71899342430572</v>
      </c>
      <c r="T233" s="32">
        <f t="shared" si="163"/>
        <v>-313.53478730396535</v>
      </c>
      <c r="U233" s="32">
        <f t="shared" si="164"/>
        <v>-10043.417885316241</v>
      </c>
      <c r="V233" s="32">
        <v>0</v>
      </c>
      <c r="W233" s="32">
        <f t="shared" si="165"/>
        <v>-6914.8797854904697</v>
      </c>
      <c r="X233" s="32">
        <f t="shared" ref="X233:X244" si="198">W233/(1+$C$18)^20</f>
        <v>-2606.1454664824682</v>
      </c>
      <c r="Y233" s="102">
        <f t="shared" si="175"/>
        <v>-186566.23722163844</v>
      </c>
      <c r="Z233" s="32">
        <f t="shared" si="179"/>
        <v>-255895.71028012782</v>
      </c>
      <c r="AA233" s="45">
        <f t="shared" si="180"/>
        <v>-255895.71028012788</v>
      </c>
      <c r="AB233" s="1"/>
      <c r="AC233" s="40">
        <f t="shared" si="167"/>
        <v>-273.96211347156611</v>
      </c>
      <c r="AD233" s="40">
        <f t="shared" si="168"/>
        <v>-112.3244665233421</v>
      </c>
      <c r="AE233" s="40">
        <f t="shared" si="169"/>
        <v>-161.63764694822402</v>
      </c>
      <c r="AF233" s="40">
        <f t="shared" si="170"/>
        <v>0</v>
      </c>
      <c r="AG233" s="40">
        <f t="shared" si="171"/>
        <v>2966.9004528775481</v>
      </c>
      <c r="AH233" s="40">
        <f t="shared" ref="AH233:AH244" si="199">AG233/(1+$C$18)^20</f>
        <v>1118.1935774206904</v>
      </c>
      <c r="AI233" s="106">
        <f t="shared" si="181"/>
        <v>-274531.86226701451</v>
      </c>
      <c r="AJ233" s="40">
        <f t="shared" si="176"/>
        <v>1997694.0289778244</v>
      </c>
      <c r="AK233" s="108">
        <f t="shared" si="177"/>
        <v>469865.72777738736</v>
      </c>
    </row>
    <row r="234" spans="6:37">
      <c r="F234" s="17" t="s">
        <v>31</v>
      </c>
      <c r="G234">
        <v>20</v>
      </c>
      <c r="I234">
        <v>2</v>
      </c>
      <c r="J234" s="26">
        <f t="shared" si="194"/>
        <v>9493.5952958172074</v>
      </c>
      <c r="K234" s="24">
        <f t="shared" si="195"/>
        <v>3348.8202177718385</v>
      </c>
      <c r="L234" s="24">
        <f t="shared" si="196"/>
        <v>2180.6695491942614</v>
      </c>
      <c r="M234" s="24">
        <f t="shared" si="197"/>
        <v>947.86855063151086</v>
      </c>
      <c r="N234" s="48"/>
      <c r="O234" s="32">
        <f t="shared" si="161"/>
        <v>10082.99055914864</v>
      </c>
      <c r="P234" s="32">
        <f t="shared" si="173"/>
        <v>450.78923962275667</v>
      </c>
      <c r="Q234" s="32">
        <f t="shared" si="174"/>
        <v>9632.2013195258842</v>
      </c>
      <c r="R234" s="45">
        <f t="shared" si="178"/>
        <v>98557.216189935716</v>
      </c>
      <c r="S234" s="31">
        <f t="shared" si="162"/>
        <v>2565.4477385968398</v>
      </c>
      <c r="T234" s="32">
        <f t="shared" si="163"/>
        <v>1051.8335728247043</v>
      </c>
      <c r="U234" s="32">
        <f t="shared" si="164"/>
        <v>-8118.5871537537478</v>
      </c>
      <c r="V234" s="32">
        <v>0</v>
      </c>
      <c r="W234" s="32">
        <f t="shared" si="165"/>
        <v>-4990.0490539279763</v>
      </c>
      <c r="X234" s="32">
        <f t="shared" si="198"/>
        <v>-1880.6970074458209</v>
      </c>
      <c r="Y234" s="102">
        <f t="shared" si="175"/>
        <v>-188446.93422908426</v>
      </c>
      <c r="Z234" s="32">
        <f t="shared" si="179"/>
        <v>-260885.75933405579</v>
      </c>
      <c r="AA234" s="45">
        <f t="shared" si="180"/>
        <v>-260885.75933405585</v>
      </c>
      <c r="AB234" s="1"/>
      <c r="AC234" s="40">
        <f t="shared" si="167"/>
        <v>3016.2369782195965</v>
      </c>
      <c r="AD234" s="40">
        <f t="shared" si="168"/>
        <v>1236.6571610700346</v>
      </c>
      <c r="AE234" s="40">
        <f t="shared" si="169"/>
        <v>1779.5798171495619</v>
      </c>
      <c r="AF234" s="40">
        <f t="shared" si="170"/>
        <v>0</v>
      </c>
      <c r="AG234" s="40">
        <f t="shared" si="171"/>
        <v>4908.1179169753341</v>
      </c>
      <c r="AH234" s="40">
        <f t="shared" si="199"/>
        <v>1849.8180236085425</v>
      </c>
      <c r="AI234" s="106">
        <f t="shared" si="181"/>
        <v>-272682.04424340598</v>
      </c>
      <c r="AJ234" s="40">
        <f t="shared" si="176"/>
        <v>2002602.1468947998</v>
      </c>
      <c r="AK234" s="108">
        <f t="shared" si="177"/>
        <v>474773.84569436271</v>
      </c>
    </row>
    <row r="235" spans="6:37">
      <c r="F235" s="13" t="s">
        <v>30</v>
      </c>
      <c r="G235" s="1">
        <v>0</v>
      </c>
      <c r="I235">
        <v>3</v>
      </c>
      <c r="J235" s="26">
        <f t="shared" si="194"/>
        <v>17016.498427340226</v>
      </c>
      <c r="K235" s="24">
        <f t="shared" si="195"/>
        <v>3348.8202177718385</v>
      </c>
      <c r="L235" s="24">
        <f t="shared" si="196"/>
        <v>2180.6695491942614</v>
      </c>
      <c r="M235" s="24">
        <f t="shared" si="197"/>
        <v>947.86855063151086</v>
      </c>
      <c r="N235" s="48"/>
      <c r="O235" s="32">
        <f t="shared" si="161"/>
        <v>10082.99055914864</v>
      </c>
      <c r="P235" s="32">
        <f t="shared" si="173"/>
        <v>410.6550674580655</v>
      </c>
      <c r="Q235" s="32">
        <f t="shared" si="174"/>
        <v>9672.3354916905755</v>
      </c>
      <c r="R235" s="45">
        <f t="shared" si="178"/>
        <v>88884.880698245135</v>
      </c>
      <c r="S235" s="31">
        <f t="shared" si="162"/>
        <v>10128.485042284552</v>
      </c>
      <c r="T235" s="32">
        <f t="shared" si="163"/>
        <v>4152.6788673366664</v>
      </c>
      <c r="U235" s="32">
        <f t="shared" si="164"/>
        <v>-3696.5293167426898</v>
      </c>
      <c r="V235" s="32">
        <v>0</v>
      </c>
      <c r="W235" s="32">
        <f t="shared" si="165"/>
        <v>-567.99121691691755</v>
      </c>
      <c r="X235" s="32">
        <f t="shared" si="198"/>
        <v>-214.06991602022336</v>
      </c>
      <c r="Y235" s="102">
        <f t="shared" si="175"/>
        <v>-188661.0041451045</v>
      </c>
      <c r="Z235" s="32">
        <f t="shared" si="179"/>
        <v>-261453.75055097271</v>
      </c>
      <c r="AA235" s="45">
        <f t="shared" si="180"/>
        <v>-261453.75055097276</v>
      </c>
      <c r="AB235" s="1"/>
      <c r="AC235" s="40">
        <f t="shared" si="167"/>
        <v>10539.140109742617</v>
      </c>
      <c r="AD235" s="40">
        <f t="shared" si="168"/>
        <v>4321.0474449944722</v>
      </c>
      <c r="AE235" s="40">
        <f t="shared" si="169"/>
        <v>6218.0926647481447</v>
      </c>
      <c r="AF235" s="40">
        <f t="shared" si="170"/>
        <v>0</v>
      </c>
      <c r="AG235" s="40">
        <f t="shared" si="171"/>
        <v>9346.6307645739162</v>
      </c>
      <c r="AH235" s="40">
        <f t="shared" si="199"/>
        <v>3522.6468354651415</v>
      </c>
      <c r="AI235" s="106">
        <f t="shared" si="181"/>
        <v>-269159.39740794082</v>
      </c>
      <c r="AJ235" s="40">
        <f t="shared" si="176"/>
        <v>2011948.7776593736</v>
      </c>
      <c r="AK235" s="108">
        <f t="shared" si="177"/>
        <v>484120.47645893664</v>
      </c>
    </row>
    <row r="236" spans="6:37">
      <c r="F236" s="18" t="s">
        <v>39</v>
      </c>
      <c r="G236" s="1">
        <f>G233</f>
        <v>99452.911741832708</v>
      </c>
      <c r="I236">
        <v>4</v>
      </c>
      <c r="J236" s="26">
        <f t="shared" si="194"/>
        <v>19535.557106916272</v>
      </c>
      <c r="K236" s="24">
        <f t="shared" si="195"/>
        <v>3348.8202177718385</v>
      </c>
      <c r="L236" s="24">
        <f t="shared" si="196"/>
        <v>2180.6695491942614</v>
      </c>
      <c r="M236" s="24">
        <f t="shared" si="197"/>
        <v>947.86855063151086</v>
      </c>
      <c r="N236" s="48"/>
      <c r="O236" s="32">
        <f t="shared" si="161"/>
        <v>10082.99055914864</v>
      </c>
      <c r="P236" s="32">
        <f t="shared" si="173"/>
        <v>370.35366957602139</v>
      </c>
      <c r="Q236" s="32">
        <f t="shared" si="174"/>
        <v>9712.6368895726191</v>
      </c>
      <c r="R236" s="45">
        <f t="shared" si="178"/>
        <v>79172.243808672516</v>
      </c>
      <c r="S236" s="31">
        <f t="shared" si="162"/>
        <v>12687.845119742642</v>
      </c>
      <c r="T236" s="32">
        <f t="shared" si="163"/>
        <v>5202.0164990944832</v>
      </c>
      <c r="U236" s="32">
        <f t="shared" si="164"/>
        <v>-2226.8082689244602</v>
      </c>
      <c r="V236" s="32">
        <v>0</v>
      </c>
      <c r="W236" s="32">
        <f t="shared" si="165"/>
        <v>901.72983090131208</v>
      </c>
      <c r="X236" s="32">
        <f t="shared" si="198"/>
        <v>339.85248965955378</v>
      </c>
      <c r="Y236" s="102">
        <f t="shared" si="175"/>
        <v>-188321.15165544493</v>
      </c>
      <c r="Z236" s="32">
        <f t="shared" si="179"/>
        <v>-260552.02072007139</v>
      </c>
      <c r="AA236" s="45">
        <f t="shared" si="180"/>
        <v>-260552.02072007145</v>
      </c>
      <c r="AB236" s="1"/>
      <c r="AC236" s="40">
        <f t="shared" si="167"/>
        <v>13058.198789318663</v>
      </c>
      <c r="AD236" s="40">
        <f t="shared" si="168"/>
        <v>5353.861503620652</v>
      </c>
      <c r="AE236" s="40">
        <f t="shared" si="169"/>
        <v>7704.3372856980113</v>
      </c>
      <c r="AF236" s="40">
        <f t="shared" si="170"/>
        <v>0</v>
      </c>
      <c r="AG236" s="40">
        <f t="shared" si="171"/>
        <v>10832.875385523783</v>
      </c>
      <c r="AH236" s="40">
        <f t="shared" si="199"/>
        <v>4082.7968020777157</v>
      </c>
      <c r="AI236" s="106">
        <f t="shared" si="181"/>
        <v>-265076.60060586309</v>
      </c>
      <c r="AJ236" s="40">
        <f t="shared" si="176"/>
        <v>2022781.6530448974</v>
      </c>
      <c r="AK236" s="108">
        <f t="shared" si="177"/>
        <v>494953.35184446041</v>
      </c>
    </row>
    <row r="237" spans="6:37">
      <c r="F237" s="16" t="s">
        <v>90</v>
      </c>
      <c r="G237" s="129">
        <f>$C$63</f>
        <v>0.41</v>
      </c>
      <c r="I237">
        <v>5</v>
      </c>
      <c r="J237" s="26">
        <f t="shared" si="194"/>
        <v>20221.015251018598</v>
      </c>
      <c r="K237" s="24">
        <f t="shared" si="195"/>
        <v>3348.8202177718385</v>
      </c>
      <c r="L237" s="24">
        <f t="shared" si="196"/>
        <v>2180.6695491942614</v>
      </c>
      <c r="M237" s="24">
        <f t="shared" si="197"/>
        <v>947.86855063151086</v>
      </c>
      <c r="N237" s="48"/>
      <c r="O237" s="32">
        <f t="shared" si="161"/>
        <v>10082.99055914864</v>
      </c>
      <c r="P237" s="32">
        <f t="shared" si="173"/>
        <v>329.88434920280213</v>
      </c>
      <c r="Q237" s="32">
        <f t="shared" si="174"/>
        <v>9753.1062099458377</v>
      </c>
      <c r="R237" s="45">
        <f t="shared" si="178"/>
        <v>69419.13759872668</v>
      </c>
      <c r="S237" s="31">
        <f t="shared" si="162"/>
        <v>13413.772584218186</v>
      </c>
      <c r="T237" s="32">
        <f t="shared" si="163"/>
        <v>5499.6467595294562</v>
      </c>
      <c r="U237" s="32">
        <f t="shared" si="164"/>
        <v>-1838.9803852571076</v>
      </c>
      <c r="V237" s="32">
        <v>0</v>
      </c>
      <c r="W237" s="32">
        <f t="shared" si="165"/>
        <v>1289.5577145686648</v>
      </c>
      <c r="X237" s="32">
        <f t="shared" si="198"/>
        <v>486.02074017867255</v>
      </c>
      <c r="Y237" s="102">
        <f t="shared" si="175"/>
        <v>-187835.13091526626</v>
      </c>
      <c r="Z237" s="32">
        <f t="shared" si="179"/>
        <v>-259262.46300550274</v>
      </c>
      <c r="AA237" s="45">
        <f t="shared" si="180"/>
        <v>-259262.4630055028</v>
      </c>
      <c r="AB237" s="1"/>
      <c r="AC237" s="40">
        <f t="shared" si="167"/>
        <v>13743.656933420989</v>
      </c>
      <c r="AD237" s="40">
        <f t="shared" si="168"/>
        <v>5634.8993427026053</v>
      </c>
      <c r="AE237" s="40">
        <f t="shared" si="169"/>
        <v>8108.7575907183837</v>
      </c>
      <c r="AF237" s="40">
        <f t="shared" si="170"/>
        <v>0</v>
      </c>
      <c r="AG237" s="40">
        <f t="shared" si="171"/>
        <v>11237.295690544155</v>
      </c>
      <c r="AH237" s="40">
        <f t="shared" si="199"/>
        <v>4235.2185617001851</v>
      </c>
      <c r="AI237" s="106">
        <f t="shared" si="181"/>
        <v>-260841.38204416289</v>
      </c>
      <c r="AJ237" s="40">
        <f t="shared" si="176"/>
        <v>2034018.9487354415</v>
      </c>
      <c r="AK237" s="108">
        <f t="shared" si="177"/>
        <v>506190.64753500459</v>
      </c>
    </row>
    <row r="238" spans="6:37">
      <c r="G238" s="1"/>
      <c r="I238">
        <v>6</v>
      </c>
      <c r="J238" s="26">
        <f t="shared" si="194"/>
        <v>21077.837931146507</v>
      </c>
      <c r="K238" s="24">
        <f t="shared" si="195"/>
        <v>3348.8202177718385</v>
      </c>
      <c r="L238" s="24">
        <f t="shared" si="196"/>
        <v>2180.6695491942614</v>
      </c>
      <c r="M238" s="24">
        <f t="shared" si="197"/>
        <v>947.86855063151086</v>
      </c>
      <c r="N238" s="48"/>
      <c r="O238" s="32">
        <f t="shared" si="161"/>
        <v>10082.99055914864</v>
      </c>
      <c r="P238" s="32">
        <f t="shared" si="173"/>
        <v>289.24640666136116</v>
      </c>
      <c r="Q238" s="32">
        <f t="shared" si="174"/>
        <v>9793.7441524872793</v>
      </c>
      <c r="R238" s="45">
        <f t="shared" si="178"/>
        <v>59625.393446239403</v>
      </c>
      <c r="S238" s="31">
        <f t="shared" si="162"/>
        <v>14311.233206887537</v>
      </c>
      <c r="T238" s="32">
        <f t="shared" si="163"/>
        <v>5867.6056148238895</v>
      </c>
      <c r="U238" s="32">
        <f t="shared" si="164"/>
        <v>-1350.1165604236321</v>
      </c>
      <c r="V238" s="32">
        <v>0</v>
      </c>
      <c r="W238" s="32">
        <f t="shared" si="165"/>
        <v>1778.4215394021403</v>
      </c>
      <c r="X238" s="32">
        <f t="shared" si="198"/>
        <v>670.26837431547835</v>
      </c>
      <c r="Y238" s="102">
        <f t="shared" si="175"/>
        <v>-187164.86254095077</v>
      </c>
      <c r="Z238" s="32">
        <f t="shared" si="179"/>
        <v>-257484.04146610061</v>
      </c>
      <c r="AA238" s="45">
        <f t="shared" si="180"/>
        <v>-257484.04146610067</v>
      </c>
      <c r="AB238" s="1"/>
      <c r="AC238" s="40">
        <f t="shared" si="167"/>
        <v>14600.479613548898</v>
      </c>
      <c r="AD238" s="40">
        <f t="shared" si="168"/>
        <v>5986.1966415550478</v>
      </c>
      <c r="AE238" s="40">
        <f t="shared" si="169"/>
        <v>8614.2829719938491</v>
      </c>
      <c r="AF238" s="40">
        <f t="shared" si="170"/>
        <v>0</v>
      </c>
      <c r="AG238" s="40">
        <f t="shared" si="171"/>
        <v>11742.821071819621</v>
      </c>
      <c r="AH238" s="40">
        <f t="shared" si="199"/>
        <v>4425.7457612282715</v>
      </c>
      <c r="AI238" s="106">
        <f t="shared" si="181"/>
        <v>-256415.63628293463</v>
      </c>
      <c r="AJ238" s="40">
        <f t="shared" si="176"/>
        <v>2045761.7698072612</v>
      </c>
      <c r="AK238" s="108">
        <f t="shared" si="177"/>
        <v>517933.46860682423</v>
      </c>
    </row>
    <row r="239" spans="6:37">
      <c r="G239" s="1"/>
      <c r="I239">
        <v>7</v>
      </c>
      <c r="J239" s="26">
        <f t="shared" si="194"/>
        <v>22448.754219351158</v>
      </c>
      <c r="K239" s="24">
        <f t="shared" si="195"/>
        <v>3348.8202177718385</v>
      </c>
      <c r="L239" s="24">
        <f t="shared" si="196"/>
        <v>2180.6695491942614</v>
      </c>
      <c r="M239" s="24">
        <f t="shared" si="197"/>
        <v>947.86855063151086</v>
      </c>
      <c r="N239" s="48"/>
      <c r="O239" s="32">
        <f t="shared" si="161"/>
        <v>10082.99055914864</v>
      </c>
      <c r="P239" s="32">
        <f t="shared" si="173"/>
        <v>248.43913935933085</v>
      </c>
      <c r="Q239" s="32">
        <f t="shared" si="174"/>
        <v>9834.5514197893099</v>
      </c>
      <c r="R239" s="45">
        <f t="shared" si="178"/>
        <v>49790.842026450089</v>
      </c>
      <c r="S239" s="31">
        <f t="shared" si="162"/>
        <v>15722.956762394217</v>
      </c>
      <c r="T239" s="32">
        <f t="shared" si="163"/>
        <v>6446.4122725816287</v>
      </c>
      <c r="U239" s="32">
        <f t="shared" si="164"/>
        <v>-558.00692997672195</v>
      </c>
      <c r="V239" s="32">
        <v>0</v>
      </c>
      <c r="W239" s="32">
        <f t="shared" si="165"/>
        <v>2570.5311698490505</v>
      </c>
      <c r="X239" s="32">
        <f t="shared" si="198"/>
        <v>968.80616331333795</v>
      </c>
      <c r="Y239" s="102">
        <f t="shared" si="175"/>
        <v>-186196.05637763743</v>
      </c>
      <c r="Z239" s="32">
        <f t="shared" si="179"/>
        <v>-254913.51029625157</v>
      </c>
      <c r="AA239" s="45">
        <f t="shared" si="180"/>
        <v>-254913.51029625162</v>
      </c>
      <c r="AB239" s="1"/>
      <c r="AC239" s="40">
        <f t="shared" si="167"/>
        <v>15971.395901753547</v>
      </c>
      <c r="AD239" s="40">
        <f t="shared" si="168"/>
        <v>6548.2723197189543</v>
      </c>
      <c r="AE239" s="40">
        <f t="shared" si="169"/>
        <v>9423.1235820345937</v>
      </c>
      <c r="AF239" s="40">
        <f t="shared" si="170"/>
        <v>0</v>
      </c>
      <c r="AG239" s="40">
        <f t="shared" si="171"/>
        <v>12551.661681860365</v>
      </c>
      <c r="AH239" s="40">
        <f t="shared" si="199"/>
        <v>4730.5892804732102</v>
      </c>
      <c r="AI239" s="106">
        <f t="shared" si="181"/>
        <v>-251685.04700246142</v>
      </c>
      <c r="AJ239" s="40">
        <f t="shared" si="176"/>
        <v>2058313.4314891216</v>
      </c>
      <c r="AK239" s="108">
        <f t="shared" si="177"/>
        <v>530485.13028868462</v>
      </c>
    </row>
    <row r="240" spans="6:37">
      <c r="G240" s="1"/>
      <c r="I240">
        <v>8</v>
      </c>
      <c r="J240" s="26">
        <f t="shared" si="194"/>
        <v>20563.744323069761</v>
      </c>
      <c r="K240" s="24">
        <f t="shared" si="195"/>
        <v>3348.8202177718385</v>
      </c>
      <c r="L240" s="24">
        <f t="shared" si="196"/>
        <v>2180.6695491942614</v>
      </c>
      <c r="M240" s="24">
        <f t="shared" si="197"/>
        <v>947.86855063151086</v>
      </c>
      <c r="N240" s="48"/>
      <c r="O240" s="32">
        <f t="shared" si="161"/>
        <v>10082.99055914864</v>
      </c>
      <c r="P240" s="32">
        <f t="shared" si="173"/>
        <v>207.46184177687536</v>
      </c>
      <c r="Q240" s="32">
        <f t="shared" si="174"/>
        <v>9875.5287173717643</v>
      </c>
      <c r="R240" s="45">
        <f t="shared" si="178"/>
        <v>39915.313309078323</v>
      </c>
      <c r="S240" s="31">
        <f t="shared" si="162"/>
        <v>13878.924163695276</v>
      </c>
      <c r="T240" s="32">
        <f t="shared" si="163"/>
        <v>5690.3589071150627</v>
      </c>
      <c r="U240" s="32">
        <f t="shared" si="164"/>
        <v>-1686.9634607915523</v>
      </c>
      <c r="V240" s="32">
        <v>1</v>
      </c>
      <c r="W240" s="32">
        <f t="shared" si="165"/>
        <v>1440.5746390342201</v>
      </c>
      <c r="X240" s="32">
        <f t="shared" si="198"/>
        <v>542.93743074556676</v>
      </c>
      <c r="Y240" s="102">
        <f t="shared" si="175"/>
        <v>-185653.11894689186</v>
      </c>
      <c r="Z240" s="32">
        <f t="shared" si="179"/>
        <v>-253472.93565721734</v>
      </c>
      <c r="AA240" s="45">
        <f t="shared" si="180"/>
        <v>-253472.9356572174</v>
      </c>
      <c r="AB240" s="1"/>
      <c r="AC240" s="40">
        <f t="shared" si="167"/>
        <v>14086.386005472152</v>
      </c>
      <c r="AD240" s="40">
        <f t="shared" si="168"/>
        <v>5775.4182622435819</v>
      </c>
      <c r="AE240" s="40">
        <f t="shared" si="169"/>
        <v>8310.9677432285698</v>
      </c>
      <c r="AF240" s="40">
        <f t="shared" si="170"/>
        <v>1</v>
      </c>
      <c r="AG240" s="40">
        <f t="shared" si="171"/>
        <v>11438.505843054341</v>
      </c>
      <c r="AH240" s="40">
        <f t="shared" si="199"/>
        <v>4311.0525520285464</v>
      </c>
      <c r="AI240" s="106">
        <f t="shared" si="181"/>
        <v>-247373.99445043286</v>
      </c>
      <c r="AJ240" s="40">
        <f t="shared" si="176"/>
        <v>2069751.9373321759</v>
      </c>
      <c r="AK240" s="108">
        <f t="shared" si="177"/>
        <v>541923.63613173901</v>
      </c>
    </row>
    <row r="241" spans="7:37">
      <c r="G241" s="1"/>
      <c r="I241">
        <v>9</v>
      </c>
      <c r="J241" s="26">
        <f t="shared" si="194"/>
        <v>18336.005354737204</v>
      </c>
      <c r="K241" s="24">
        <f t="shared" si="195"/>
        <v>3348.8202177718385</v>
      </c>
      <c r="L241" s="24">
        <f t="shared" si="196"/>
        <v>2180.6695491942614</v>
      </c>
      <c r="M241" s="24">
        <f t="shared" si="197"/>
        <v>947.86855063151086</v>
      </c>
      <c r="N241" s="48"/>
      <c r="O241" s="32">
        <f t="shared" si="161"/>
        <v>10082.99055914864</v>
      </c>
      <c r="P241" s="32">
        <f t="shared" si="173"/>
        <v>166.31380545449301</v>
      </c>
      <c r="Q241" s="32">
        <f t="shared" si="174"/>
        <v>9916.6767536941479</v>
      </c>
      <c r="R241" s="45">
        <f t="shared" si="178"/>
        <v>29998.636555384175</v>
      </c>
      <c r="S241" s="31">
        <f t="shared" si="162"/>
        <v>11692.333231685103</v>
      </c>
      <c r="T241" s="32">
        <f t="shared" si="163"/>
        <v>4793.8566249908918</v>
      </c>
      <c r="U241" s="32">
        <f t="shared" si="164"/>
        <v>-3018.2001469999368</v>
      </c>
      <c r="V241" s="32">
        <v>2</v>
      </c>
      <c r="W241" s="32">
        <f t="shared" si="165"/>
        <v>108.33795282583549</v>
      </c>
      <c r="X241" s="32">
        <f t="shared" si="198"/>
        <v>40.831435016048673</v>
      </c>
      <c r="Y241" s="102">
        <f t="shared" si="175"/>
        <v>-185612.28751187582</v>
      </c>
      <c r="Z241" s="32">
        <f t="shared" si="179"/>
        <v>-253364.59770439152</v>
      </c>
      <c r="AA241" s="45">
        <f t="shared" si="180"/>
        <v>-253364.59770439158</v>
      </c>
      <c r="AB241" s="1"/>
      <c r="AC241" s="40">
        <f t="shared" si="167"/>
        <v>11858.647037139595</v>
      </c>
      <c r="AD241" s="40">
        <f t="shared" si="168"/>
        <v>4862.0452852272338</v>
      </c>
      <c r="AE241" s="40">
        <f t="shared" si="169"/>
        <v>6996.6017519123616</v>
      </c>
      <c r="AF241" s="40">
        <f t="shared" si="170"/>
        <v>2</v>
      </c>
      <c r="AG241" s="40">
        <f t="shared" si="171"/>
        <v>10123.139851738133</v>
      </c>
      <c r="AH241" s="40">
        <f t="shared" si="199"/>
        <v>3815.304943772649</v>
      </c>
      <c r="AI241" s="106">
        <f t="shared" si="181"/>
        <v>-243558.68950666022</v>
      </c>
      <c r="AJ241" s="40">
        <f t="shared" si="176"/>
        <v>2079875.0771839141</v>
      </c>
      <c r="AK241" s="108">
        <f t="shared" si="177"/>
        <v>552046.77598347713</v>
      </c>
    </row>
    <row r="242" spans="7:37">
      <c r="G242" s="1"/>
      <c r="I242">
        <v>10</v>
      </c>
      <c r="J242" s="26">
        <f t="shared" si="194"/>
        <v>12749.521480303252</v>
      </c>
      <c r="K242" s="24">
        <f t="shared" si="195"/>
        <v>3348.8202177718385</v>
      </c>
      <c r="L242" s="24">
        <f t="shared" si="196"/>
        <v>2180.6695491942614</v>
      </c>
      <c r="M242" s="24">
        <f t="shared" si="197"/>
        <v>947.86855063151086</v>
      </c>
      <c r="N242" s="48"/>
      <c r="O242" s="32">
        <f t="shared" si="161"/>
        <v>10082.99055914864</v>
      </c>
      <c r="P242" s="32">
        <f t="shared" si="173"/>
        <v>124.99431898076739</v>
      </c>
      <c r="Q242" s="32">
        <f t="shared" si="174"/>
        <v>9957.9962401678731</v>
      </c>
      <c r="R242" s="45">
        <f t="shared" si="178"/>
        <v>20040.640315216304</v>
      </c>
      <c r="S242" s="31">
        <f t="shared" si="162"/>
        <v>6147.168843724874</v>
      </c>
      <c r="T242" s="32">
        <f t="shared" si="163"/>
        <v>2520.3392259271982</v>
      </c>
      <c r="U242" s="32">
        <f t="shared" si="164"/>
        <v>-6331.1666223701977</v>
      </c>
      <c r="V242" s="32">
        <v>3</v>
      </c>
      <c r="W242" s="32">
        <f t="shared" si="165"/>
        <v>-3205.6285225444258</v>
      </c>
      <c r="X242" s="32">
        <f t="shared" si="198"/>
        <v>-1208.1676761447095</v>
      </c>
      <c r="Y242" s="102">
        <f t="shared" si="175"/>
        <v>-186820.45518802054</v>
      </c>
      <c r="Z242" s="32">
        <f t="shared" si="179"/>
        <v>-256570.22622693595</v>
      </c>
      <c r="AA242" s="45">
        <f t="shared" si="180"/>
        <v>-256570.22622693601</v>
      </c>
      <c r="AB242" s="1"/>
      <c r="AC242" s="40">
        <f t="shared" si="167"/>
        <v>6272.1631627056413</v>
      </c>
      <c r="AD242" s="40">
        <f t="shared" si="168"/>
        <v>2571.5868967093129</v>
      </c>
      <c r="AE242" s="40">
        <f t="shared" si="169"/>
        <v>3700.5762659963284</v>
      </c>
      <c r="AF242" s="40">
        <f t="shared" si="170"/>
        <v>3</v>
      </c>
      <c r="AG242" s="40">
        <f t="shared" si="171"/>
        <v>6826.1143658221008</v>
      </c>
      <c r="AH242" s="40">
        <f t="shared" si="199"/>
        <v>2572.6907133666518</v>
      </c>
      <c r="AI242" s="106">
        <f t="shared" si="181"/>
        <v>-240985.99879329358</v>
      </c>
      <c r="AJ242" s="40">
        <f t="shared" si="176"/>
        <v>2086701.1915497363</v>
      </c>
      <c r="AK242" s="108">
        <f t="shared" si="177"/>
        <v>558872.89034929918</v>
      </c>
    </row>
    <row r="243" spans="7:37">
      <c r="G243" s="1"/>
      <c r="I243">
        <v>11</v>
      </c>
      <c r="J243" s="26">
        <f t="shared" si="194"/>
        <v>6923.1272554334855</v>
      </c>
      <c r="K243" s="24">
        <f t="shared" si="195"/>
        <v>3348.8202177718385</v>
      </c>
      <c r="L243" s="24">
        <f t="shared" si="196"/>
        <v>2180.6695491942614</v>
      </c>
      <c r="M243" s="24">
        <f t="shared" si="197"/>
        <v>947.86855063151086</v>
      </c>
      <c r="N243" s="48"/>
      <c r="O243" s="32">
        <f t="shared" si="161"/>
        <v>10082.99055914864</v>
      </c>
      <c r="P243" s="32">
        <f t="shared" si="173"/>
        <v>83.502667980067926</v>
      </c>
      <c r="Q243" s="32">
        <f t="shared" si="174"/>
        <v>9999.4878911685719</v>
      </c>
      <c r="R243" s="45">
        <f t="shared" si="178"/>
        <v>10041.152424047732</v>
      </c>
      <c r="S243" s="31">
        <f t="shared" si="162"/>
        <v>362.26626985580674</v>
      </c>
      <c r="T243" s="32">
        <f t="shared" si="163"/>
        <v>148.52917064088075</v>
      </c>
      <c r="U243" s="32">
        <f t="shared" si="164"/>
        <v>-9785.7507919536456</v>
      </c>
      <c r="V243" s="32">
        <v>4</v>
      </c>
      <c r="W243" s="32">
        <f t="shared" si="165"/>
        <v>-6661.2126921278741</v>
      </c>
      <c r="X243" s="32">
        <f t="shared" si="198"/>
        <v>-2510.5410068431424</v>
      </c>
      <c r="Y243" s="102">
        <f t="shared" si="175"/>
        <v>-189330.99619486369</v>
      </c>
      <c r="Z243" s="32">
        <f t="shared" si="179"/>
        <v>-263231.43891906383</v>
      </c>
      <c r="AA243" s="45">
        <f t="shared" si="180"/>
        <v>-263231.43891906389</v>
      </c>
      <c r="AB243" s="1"/>
      <c r="AC243" s="40">
        <f t="shared" si="167"/>
        <v>445.76893783587468</v>
      </c>
      <c r="AD243" s="40">
        <f t="shared" si="168"/>
        <v>182.7652645127086</v>
      </c>
      <c r="AE243" s="40">
        <f t="shared" si="169"/>
        <v>263.00367332316608</v>
      </c>
      <c r="AF243" s="40">
        <f t="shared" si="170"/>
        <v>4</v>
      </c>
      <c r="AG243" s="40">
        <f t="shared" si="171"/>
        <v>3387.5417731489383</v>
      </c>
      <c r="AH243" s="40">
        <f t="shared" si="199"/>
        <v>1276.7288670927908</v>
      </c>
      <c r="AI243" s="106">
        <f t="shared" si="181"/>
        <v>-239709.2699262008</v>
      </c>
      <c r="AJ243" s="40">
        <f t="shared" si="176"/>
        <v>2090088.7333228854</v>
      </c>
      <c r="AK243" s="108">
        <f t="shared" si="177"/>
        <v>562260.43212244811</v>
      </c>
    </row>
    <row r="244" spans="7:37" ht="15" thickBot="1">
      <c r="G244" s="1"/>
      <c r="I244">
        <v>12</v>
      </c>
      <c r="J244" s="27">
        <f t="shared" si="194"/>
        <v>5826.3942248697658</v>
      </c>
      <c r="K244" s="28">
        <f t="shared" si="195"/>
        <v>3348.8202177718385</v>
      </c>
      <c r="L244" s="28">
        <f t="shared" si="196"/>
        <v>2180.6695491942614</v>
      </c>
      <c r="M244" s="28">
        <f t="shared" si="197"/>
        <v>947.86855063151086</v>
      </c>
      <c r="N244" s="48"/>
      <c r="O244" s="34">
        <f t="shared" si="161"/>
        <v>10082.99055914864</v>
      </c>
      <c r="P244" s="34">
        <f t="shared" si="173"/>
        <v>41.838135100198883</v>
      </c>
      <c r="Q244" s="34">
        <f t="shared" si="174"/>
        <v>10041.152424048441</v>
      </c>
      <c r="R244" s="46">
        <f t="shared" si="178"/>
        <v>-7.0940586738288403E-10</v>
      </c>
      <c r="S244" s="33">
        <f t="shared" si="162"/>
        <v>-692.8022278280439</v>
      </c>
      <c r="T244" s="34">
        <f t="shared" si="163"/>
        <v>-284.04891340949797</v>
      </c>
      <c r="U244" s="34">
        <f t="shared" si="164"/>
        <v>-10449.905738466987</v>
      </c>
      <c r="V244" s="34">
        <v>5</v>
      </c>
      <c r="W244" s="34">
        <f t="shared" si="165"/>
        <v>-7326.3676386412153</v>
      </c>
      <c r="X244" s="34">
        <f t="shared" si="198"/>
        <v>-2761.2309106649741</v>
      </c>
      <c r="Y244" s="104">
        <f t="shared" si="175"/>
        <v>-192092.22710552867</v>
      </c>
      <c r="Z244" s="34">
        <f t="shared" si="179"/>
        <v>-270557.80655770504</v>
      </c>
      <c r="AA244" s="46">
        <f t="shared" si="180"/>
        <v>-270557.8065577051</v>
      </c>
      <c r="AB244" s="1"/>
      <c r="AC244" s="41">
        <f t="shared" si="167"/>
        <v>-650.96409272784501</v>
      </c>
      <c r="AD244" s="41">
        <f t="shared" si="168"/>
        <v>-266.89527801841643</v>
      </c>
      <c r="AE244" s="41">
        <f t="shared" si="169"/>
        <v>-384.06881470942858</v>
      </c>
      <c r="AF244" s="41">
        <f t="shared" si="170"/>
        <v>5</v>
      </c>
      <c r="AG244" s="41">
        <f t="shared" si="171"/>
        <v>2739.4692851163436</v>
      </c>
      <c r="AH244" s="41">
        <f t="shared" si="199"/>
        <v>1032.4771622139674</v>
      </c>
      <c r="AI244" s="109">
        <f t="shared" si="181"/>
        <v>-238676.79276398683</v>
      </c>
      <c r="AJ244" s="41">
        <f t="shared" si="176"/>
        <v>2092828.2026080017</v>
      </c>
      <c r="AK244" s="110">
        <f t="shared" si="177"/>
        <v>564999.90140756441</v>
      </c>
    </row>
    <row r="245" spans="7:37">
      <c r="G245" s="1"/>
      <c r="J245" s="1">
        <f>SUM(J5:J244)</f>
        <v>3293866.9852506071</v>
      </c>
    </row>
    <row r="246" spans="7:37">
      <c r="J246" s="1"/>
      <c r="Z246" s="48">
        <f>Z244/(1+$C$18)^20</f>
        <v>-101970.39180078679</v>
      </c>
      <c r="AA246" s="48"/>
    </row>
    <row r="247" spans="7:37">
      <c r="J247" s="1"/>
    </row>
    <row r="248" spans="7:37">
      <c r="J248" s="1"/>
    </row>
    <row r="249" spans="7:37">
      <c r="J249" s="1"/>
    </row>
    <row r="250" spans="7:37">
      <c r="J250" s="1"/>
    </row>
    <row r="251" spans="7:37">
      <c r="J251" s="1"/>
    </row>
    <row r="252" spans="7:37">
      <c r="J252" s="1"/>
    </row>
  </sheetData>
  <mergeCells count="8">
    <mergeCell ref="B67:E67"/>
    <mergeCell ref="AM3:AO3"/>
    <mergeCell ref="B1:E1"/>
    <mergeCell ref="B2:E2"/>
    <mergeCell ref="B3:E3"/>
    <mergeCell ref="AC3:AK3"/>
    <mergeCell ref="O3:AA3"/>
    <mergeCell ref="J3:M3"/>
  </mergeCells>
  <conditionalFormatting sqref="C71">
    <cfRule type="cellIs" dxfId="31" priority="17" operator="greaterThanOrEqual">
      <formula>0</formula>
    </cfRule>
    <cfRule type="cellIs" dxfId="30" priority="19" operator="lessThan">
      <formula>0</formula>
    </cfRule>
  </conditionalFormatting>
  <conditionalFormatting sqref="D71">
    <cfRule type="cellIs" dxfId="29" priority="16" operator="greaterThanOrEqual">
      <formula>0</formula>
    </cfRule>
    <cfRule type="cellIs" dxfId="28" priority="18" operator="lessThan">
      <formula>0</formula>
    </cfRule>
  </conditionalFormatting>
  <conditionalFormatting sqref="C70">
    <cfRule type="cellIs" dxfId="27" priority="14" operator="greaterThanOrEqual">
      <formula>$C$18</formula>
    </cfRule>
    <cfRule type="cellIs" dxfId="26" priority="15" operator="lessThan">
      <formula>$C$18</formula>
    </cfRule>
  </conditionalFormatting>
  <conditionalFormatting sqref="E72">
    <cfRule type="cellIs" dxfId="25" priority="10" operator="lessThan">
      <formula>1</formula>
    </cfRule>
    <cfRule type="cellIs" dxfId="24" priority="11" operator="greaterThanOrEqual">
      <formula>1</formula>
    </cfRule>
  </conditionalFormatting>
  <conditionalFormatting sqref="E71">
    <cfRule type="cellIs" dxfId="23" priority="8" operator="greaterThanOrEqual">
      <formula>0</formula>
    </cfRule>
    <cfRule type="cellIs" dxfId="22" priority="9" operator="lessThan">
      <formula>0</formula>
    </cfRule>
  </conditionalFormatting>
  <conditionalFormatting sqref="E69:E75">
    <cfRule type="expression" dxfId="21" priority="5">
      <formula>$C$11=100%</formula>
    </cfRule>
  </conditionalFormatting>
  <conditionalFormatting sqref="D69:D75">
    <cfRule type="expression" dxfId="20" priority="4">
      <formula>$C$11&lt;100%</formula>
    </cfRule>
  </conditionalFormatting>
  <conditionalFormatting sqref="C73 E73">
    <cfRule type="cellIs" dxfId="19" priority="12" operator="greaterThan">
      <formula>20</formula>
    </cfRule>
    <cfRule type="cellIs" dxfId="18" priority="13" operator="lessThanOrEqual">
      <formula>20</formula>
    </cfRule>
  </conditionalFormatting>
  <conditionalFormatting sqref="C72">
    <cfRule type="cellIs" dxfId="17" priority="2" operator="lessThan">
      <formula>1</formula>
    </cfRule>
    <cfRule type="cellIs" dxfId="16" priority="3" operator="greaterThanOrEqual">
      <formula>1</formula>
    </cfRule>
  </conditionalFormatting>
  <pageMargins left="0.7" right="0.7" top="0.78740157499999996" bottom="0.78740157499999996" header="0.3" footer="0.3"/>
  <pageSetup paperSize="9" orientation="portrait" horizontalDpi="1200" verticalDpi="120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O252"/>
  <sheetViews>
    <sheetView topLeftCell="A11" workbookViewId="0">
      <selection activeCell="C11" sqref="C11"/>
    </sheetView>
  </sheetViews>
  <sheetFormatPr baseColWidth="10" defaultColWidth="8.83203125" defaultRowHeight="14" x14ac:dyDescent="0"/>
  <cols>
    <col min="1" max="1" width="3.1640625" customWidth="1"/>
    <col min="2" max="2" width="28.5" bestFit="1" customWidth="1"/>
    <col min="3" max="3" width="14.6640625" customWidth="1"/>
    <col min="4" max="4" width="19.1640625" customWidth="1"/>
    <col min="5" max="5" width="16.33203125" customWidth="1"/>
    <col min="6" max="6" width="19.33203125" style="12" customWidth="1"/>
    <col min="7" max="7" width="13.33203125" customWidth="1"/>
    <col min="8" max="8" width="5.1640625" bestFit="1" customWidth="1"/>
    <col min="9" max="9" width="6" bestFit="1" customWidth="1"/>
    <col min="10" max="10" width="8.33203125" customWidth="1"/>
    <col min="11" max="11" width="15.33203125" customWidth="1"/>
    <col min="12" max="12" width="13.5" customWidth="1"/>
    <col min="13" max="13" width="19.5" customWidth="1"/>
    <col min="14" max="14" width="3.6640625" style="21" customWidth="1"/>
    <col min="15" max="15" width="8" customWidth="1"/>
    <col min="16" max="16" width="14.1640625" customWidth="1"/>
    <col min="17" max="18" width="16.1640625" customWidth="1"/>
    <col min="19" max="19" width="8.5" customWidth="1"/>
    <col min="20" max="20" width="9.1640625" customWidth="1"/>
    <col min="21" max="21" width="10" customWidth="1"/>
    <col min="22" max="22" width="18.5" customWidth="1"/>
    <col min="23" max="23" width="7.6640625" customWidth="1"/>
    <col min="24" max="24" width="7.5" customWidth="1"/>
    <col min="25" max="25" width="14.1640625" customWidth="1"/>
    <col min="27" max="27" width="25.6640625" customWidth="1"/>
    <col min="28" max="28" width="3.5" customWidth="1"/>
    <col min="29" max="29" width="10" bestFit="1" customWidth="1"/>
    <col min="31" max="31" width="9.6640625" customWidth="1"/>
    <col min="32" max="32" width="18.6640625" customWidth="1"/>
    <col min="33" max="34" width="7.33203125" customWidth="1"/>
    <col min="35" max="35" width="19.33203125" customWidth="1"/>
    <col min="36" max="36" width="9.83203125" customWidth="1"/>
    <col min="37" max="37" width="18.5" customWidth="1"/>
    <col min="38" max="38" width="16.33203125" customWidth="1"/>
    <col min="39" max="39" width="13.6640625" customWidth="1"/>
    <col min="40" max="40" width="11.5" customWidth="1"/>
    <col min="41" max="41" width="4.83203125" customWidth="1"/>
  </cols>
  <sheetData>
    <row r="1" spans="2:41" ht="18">
      <c r="B1" s="150" t="s">
        <v>97</v>
      </c>
      <c r="C1" s="150"/>
      <c r="D1" s="150"/>
      <c r="E1" s="150"/>
      <c r="F1" s="130"/>
      <c r="G1" s="53"/>
      <c r="J1" s="53" t="s">
        <v>85</v>
      </c>
      <c r="K1" s="53"/>
      <c r="L1" s="53"/>
      <c r="M1" s="53"/>
    </row>
    <row r="2" spans="2:41" ht="15" thickBot="1">
      <c r="B2" s="151" t="s">
        <v>91</v>
      </c>
      <c r="C2" s="151"/>
      <c r="D2" s="151"/>
      <c r="E2" s="151"/>
      <c r="F2" s="131"/>
      <c r="G2" s="54"/>
      <c r="J2" s="1"/>
      <c r="AJ2" s="11"/>
    </row>
    <row r="3" spans="2:41" ht="15.75" customHeight="1" thickBot="1">
      <c r="B3" s="152" t="s">
        <v>60</v>
      </c>
      <c r="C3" s="152"/>
      <c r="D3" s="152"/>
      <c r="E3" s="152"/>
      <c r="G3" s="22"/>
      <c r="H3" s="22"/>
      <c r="I3" s="22"/>
      <c r="J3" s="159" t="s">
        <v>83</v>
      </c>
      <c r="K3" s="160"/>
      <c r="L3" s="160"/>
      <c r="M3" s="160"/>
      <c r="N3" s="47"/>
      <c r="O3" s="156" t="s">
        <v>61</v>
      </c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8"/>
      <c r="AC3" s="153" t="s">
        <v>62</v>
      </c>
      <c r="AD3" s="154"/>
      <c r="AE3" s="154"/>
      <c r="AF3" s="154"/>
      <c r="AG3" s="154"/>
      <c r="AH3" s="154"/>
      <c r="AI3" s="154"/>
      <c r="AJ3" s="154"/>
      <c r="AK3" s="155"/>
      <c r="AM3" s="147" t="s">
        <v>78</v>
      </c>
      <c r="AN3" s="148"/>
      <c r="AO3" s="149"/>
    </row>
    <row r="4" spans="2:41" ht="15" thickBot="1">
      <c r="E4" s="5"/>
      <c r="F4" s="18"/>
      <c r="G4" t="s">
        <v>28</v>
      </c>
      <c r="H4" t="s">
        <v>18</v>
      </c>
      <c r="I4" t="s">
        <v>5</v>
      </c>
      <c r="J4" s="25" t="s">
        <v>23</v>
      </c>
      <c r="K4" s="23" t="s">
        <v>22</v>
      </c>
      <c r="L4" s="23" t="s">
        <v>73</v>
      </c>
      <c r="M4" s="23" t="s">
        <v>74</v>
      </c>
      <c r="O4" s="43" t="s">
        <v>43</v>
      </c>
      <c r="P4" s="43" t="s">
        <v>21</v>
      </c>
      <c r="Q4" s="43" t="s">
        <v>44</v>
      </c>
      <c r="R4" s="44" t="s">
        <v>71</v>
      </c>
      <c r="S4" s="29" t="s">
        <v>68</v>
      </c>
      <c r="T4" s="30" t="s">
        <v>27</v>
      </c>
      <c r="U4" s="30" t="s">
        <v>29</v>
      </c>
      <c r="V4" s="30" t="s">
        <v>26</v>
      </c>
      <c r="W4" s="30" t="s">
        <v>69</v>
      </c>
      <c r="X4" s="30" t="s">
        <v>70</v>
      </c>
      <c r="Y4" s="101" t="s">
        <v>100</v>
      </c>
      <c r="Z4" s="30" t="s">
        <v>76</v>
      </c>
      <c r="AA4" s="103" t="s">
        <v>81</v>
      </c>
      <c r="AB4" s="48"/>
      <c r="AC4" s="39" t="s">
        <v>68</v>
      </c>
      <c r="AD4" s="39" t="s">
        <v>27</v>
      </c>
      <c r="AE4" s="39" t="s">
        <v>29</v>
      </c>
      <c r="AF4" s="39" t="s">
        <v>26</v>
      </c>
      <c r="AG4" s="39" t="s">
        <v>69</v>
      </c>
      <c r="AH4" s="39" t="s">
        <v>70</v>
      </c>
      <c r="AI4" s="105" t="s">
        <v>72</v>
      </c>
      <c r="AJ4" s="39" t="s">
        <v>76</v>
      </c>
      <c r="AK4" s="107" t="s">
        <v>89</v>
      </c>
      <c r="AM4" s="125" t="s">
        <v>79</v>
      </c>
      <c r="AN4" s="126" t="s">
        <v>80</v>
      </c>
      <c r="AO4" s="127" t="s">
        <v>18</v>
      </c>
    </row>
    <row r="5" spans="2:41" ht="15" thickBot="1">
      <c r="B5" s="55" t="s">
        <v>1</v>
      </c>
      <c r="C5" s="56">
        <f>42000000/$C$19</f>
        <v>1527828.3012004367</v>
      </c>
      <c r="D5" s="5"/>
      <c r="E5" s="4"/>
      <c r="F5" s="132" t="s">
        <v>88</v>
      </c>
      <c r="G5" s="1">
        <f>SUM(S5:S16)</f>
        <v>-91944.137815536495</v>
      </c>
      <c r="H5">
        <v>2015</v>
      </c>
      <c r="I5">
        <v>1</v>
      </c>
      <c r="J5" s="26">
        <f>C23*$C$38*$D$38</f>
        <v>2636.1</v>
      </c>
      <c r="K5" s="24">
        <f t="shared" ref="K5:K16" si="0">$C$5*$C$7/12</f>
        <v>1909.7853765005457</v>
      </c>
      <c r="L5" s="24">
        <f>$C$5/$C$6</f>
        <v>6365.9512550018198</v>
      </c>
      <c r="M5" s="24">
        <v>0</v>
      </c>
      <c r="N5" s="48"/>
      <c r="O5" s="32">
        <f t="shared" ref="O5:O68" si="1">-PMT($C$13/12,$C$14,$C$12,0,0)</f>
        <v>10082.99055914864</v>
      </c>
      <c r="P5" s="32">
        <f>($C$13/12)*$C$12*C11</f>
        <v>6365.9512550018189</v>
      </c>
      <c r="Q5" s="32">
        <f>O5-P5</f>
        <v>3717.0393041468215</v>
      </c>
      <c r="R5" s="45">
        <f>$C$12*C11-Q5</f>
        <v>1524111.2618962899</v>
      </c>
      <c r="S5" s="31">
        <f t="shared" ref="S5:S68" si="2">J5-K5-L5-M5-P5</f>
        <v>-12005.587886504185</v>
      </c>
      <c r="T5" s="32">
        <f>S5*$C$60</f>
        <v>0</v>
      </c>
      <c r="U5" s="32">
        <f t="shared" ref="U5:U68" si="3">J5-K5-L5-M5-T5-O5</f>
        <v>-15722.627190651006</v>
      </c>
      <c r="V5" s="32">
        <f t="shared" ref="V5:V36" si="4">$C$9/120</f>
        <v>2728.2648235722081</v>
      </c>
      <c r="W5" s="32">
        <f t="shared" ref="W5:W68" si="5">U5-V5+L5+M5</f>
        <v>-12084.940759221397</v>
      </c>
      <c r="X5" s="32">
        <f t="shared" ref="X5:X16" si="6">W5/(1+$C$18)</f>
        <v>-11509.467389734664</v>
      </c>
      <c r="Y5" s="102">
        <f>-C5+C5*C11+X5</f>
        <v>-11509.467389734664</v>
      </c>
      <c r="Z5" s="32">
        <f>W5</f>
        <v>-12084.940759221397</v>
      </c>
      <c r="AA5" s="45">
        <f>W5-C5+C5*C11</f>
        <v>-12084.940759221325</v>
      </c>
      <c r="AB5" s="1"/>
      <c r="AC5" s="40">
        <f t="shared" ref="AC5:AC68" si="7">J5-K5-L5-M5</f>
        <v>-5639.6366315023661</v>
      </c>
      <c r="AD5" s="40">
        <f>AC5*$C$60</f>
        <v>0</v>
      </c>
      <c r="AE5" s="40">
        <f t="shared" ref="AE5:AE68" si="8">J5-K5-L5-M5-AD5</f>
        <v>-5639.6366315023661</v>
      </c>
      <c r="AF5" s="40">
        <f t="shared" ref="AF5:AF68" si="9">V5</f>
        <v>2728.2648235722081</v>
      </c>
      <c r="AG5" s="40">
        <f t="shared" ref="AG5:AG68" si="10">AE5-AF5+L5+M5</f>
        <v>-2001.9502000727543</v>
      </c>
      <c r="AH5" s="40">
        <f t="shared" ref="AH5:AH16" si="11">AG5/(1+$C$18)</f>
        <v>-1906.6192381645278</v>
      </c>
      <c r="AI5" s="106">
        <f>-C5+AH5</f>
        <v>-1529734.9204386012</v>
      </c>
      <c r="AJ5" s="40">
        <f>AG5</f>
        <v>-2001.9502000727543</v>
      </c>
      <c r="AK5" s="108">
        <f>AG5-C5</f>
        <v>-1529830.2514005094</v>
      </c>
      <c r="AL5" s="49" t="s">
        <v>1</v>
      </c>
      <c r="AM5" s="122">
        <f>-C5</f>
        <v>-1527828.3012004367</v>
      </c>
      <c r="AN5" s="123">
        <f>-C5+C5*C11</f>
        <v>0</v>
      </c>
      <c r="AO5" s="124" t="s">
        <v>75</v>
      </c>
    </row>
    <row r="6" spans="2:41">
      <c r="B6" s="57" t="s">
        <v>2</v>
      </c>
      <c r="C6" s="58">
        <f>12*20</f>
        <v>240</v>
      </c>
      <c r="D6" s="4"/>
      <c r="E6" s="6"/>
      <c r="F6" s="17" t="s">
        <v>31</v>
      </c>
      <c r="G6">
        <v>1</v>
      </c>
      <c r="I6">
        <v>2</v>
      </c>
      <c r="J6" s="26">
        <f t="shared" ref="J6:J16" si="12">C24*$C$38*$D$38</f>
        <v>4097.7</v>
      </c>
      <c r="K6" s="24">
        <f t="shared" si="0"/>
        <v>1909.7853765005457</v>
      </c>
      <c r="L6" s="24">
        <f t="shared" ref="L6:L69" si="13">$C$5/$C$6</f>
        <v>6365.9512550018198</v>
      </c>
      <c r="M6" s="24">
        <v>0</v>
      </c>
      <c r="N6" s="48"/>
      <c r="O6" s="32">
        <f t="shared" si="1"/>
        <v>10082.99055914864</v>
      </c>
      <c r="P6" s="32">
        <f t="shared" ref="P6:P69" si="14">($C$13/12)*R5</f>
        <v>6350.4635912345411</v>
      </c>
      <c r="Q6" s="32">
        <f t="shared" ref="Q6:Q69" si="15">O6-P6</f>
        <v>3732.5269679140993</v>
      </c>
      <c r="R6" s="45">
        <f>R5-Q6</f>
        <v>1520378.7349283758</v>
      </c>
      <c r="S6" s="31">
        <f t="shared" si="2"/>
        <v>-10528.500222736908</v>
      </c>
      <c r="T6" s="32">
        <f t="shared" ref="T6:T69" si="16">S6*$C$60</f>
        <v>0</v>
      </c>
      <c r="U6" s="32">
        <f t="shared" si="3"/>
        <v>-14261.027190651006</v>
      </c>
      <c r="V6" s="32">
        <f t="shared" si="4"/>
        <v>2728.2648235722081</v>
      </c>
      <c r="W6" s="32">
        <f t="shared" si="5"/>
        <v>-10623.340759221395</v>
      </c>
      <c r="X6" s="32">
        <f t="shared" si="6"/>
        <v>-10117.467389734662</v>
      </c>
      <c r="Y6" s="102">
        <f>Y5+X6</f>
        <v>-21626.934779469324</v>
      </c>
      <c r="Z6" s="32">
        <f>Z5+W6</f>
        <v>-22708.281518442793</v>
      </c>
      <c r="AA6" s="45">
        <f>AA5+W6</f>
        <v>-22708.28151844272</v>
      </c>
      <c r="AB6" s="1"/>
      <c r="AC6" s="40">
        <f t="shared" si="7"/>
        <v>-4178.0366315023657</v>
      </c>
      <c r="AD6" s="40">
        <f t="shared" ref="AD6:AD69" si="17">AC6*$C$60</f>
        <v>0</v>
      </c>
      <c r="AE6" s="40">
        <f t="shared" si="8"/>
        <v>-4178.0366315023657</v>
      </c>
      <c r="AF6" s="40">
        <f t="shared" si="9"/>
        <v>2728.2648235722081</v>
      </c>
      <c r="AG6" s="40">
        <f t="shared" si="10"/>
        <v>-540.35020007275398</v>
      </c>
      <c r="AH6" s="40">
        <f t="shared" si="11"/>
        <v>-514.61923816452759</v>
      </c>
      <c r="AI6" s="106">
        <f>AI5+AH6</f>
        <v>-1530249.5396767657</v>
      </c>
      <c r="AJ6" s="40">
        <f t="shared" ref="AJ6:AJ69" si="18">AJ5+AG6</f>
        <v>-2542.3004001455083</v>
      </c>
      <c r="AK6" s="108">
        <f t="shared" ref="AK6:AK69" si="19">AK5+AG6</f>
        <v>-1530370.6016005822</v>
      </c>
      <c r="AM6" s="119">
        <f>SUM(AG5:AG16)</f>
        <v>27062.997599126949</v>
      </c>
      <c r="AN6" s="120">
        <f>SUM(W5:W16)</f>
        <v>-93932.889110656746</v>
      </c>
      <c r="AO6" s="121">
        <v>1</v>
      </c>
    </row>
    <row r="7" spans="2:41">
      <c r="B7" s="57" t="s">
        <v>3</v>
      </c>
      <c r="C7" s="59">
        <v>1.4999999999999999E-2</v>
      </c>
      <c r="D7" s="6"/>
      <c r="F7" s="12" t="s">
        <v>30</v>
      </c>
      <c r="G7" s="128" t="s">
        <v>75</v>
      </c>
      <c r="I7">
        <v>3</v>
      </c>
      <c r="J7" s="26">
        <f t="shared" si="12"/>
        <v>7647.2999999999993</v>
      </c>
      <c r="K7" s="24">
        <f t="shared" si="0"/>
        <v>1909.7853765005457</v>
      </c>
      <c r="L7" s="24">
        <f t="shared" si="13"/>
        <v>6365.9512550018198</v>
      </c>
      <c r="M7" s="24">
        <v>0</v>
      </c>
      <c r="N7" s="48"/>
      <c r="O7" s="32">
        <f t="shared" si="1"/>
        <v>10082.99055914864</v>
      </c>
      <c r="P7" s="32">
        <f t="shared" si="14"/>
        <v>6334.9113955348994</v>
      </c>
      <c r="Q7" s="32">
        <f t="shared" si="15"/>
        <v>3748.079163613741</v>
      </c>
      <c r="R7" s="45">
        <f t="shared" ref="R7:R70" si="20">R6-Q7</f>
        <v>1516630.6557647621</v>
      </c>
      <c r="S7" s="31">
        <f t="shared" si="2"/>
        <v>-6963.3480270372656</v>
      </c>
      <c r="T7" s="32">
        <f t="shared" si="16"/>
        <v>0</v>
      </c>
      <c r="U7" s="32">
        <f t="shared" si="3"/>
        <v>-10711.427190651008</v>
      </c>
      <c r="V7" s="32">
        <f t="shared" si="4"/>
        <v>2728.2648235722081</v>
      </c>
      <c r="W7" s="32">
        <f t="shared" si="5"/>
        <v>-7073.7407592213958</v>
      </c>
      <c r="X7" s="32">
        <f t="shared" si="6"/>
        <v>-6736.8959611632336</v>
      </c>
      <c r="Y7" s="102">
        <f t="shared" ref="Y7:Y70" si="21">Y6+X7</f>
        <v>-28363.830740632558</v>
      </c>
      <c r="Z7" s="32">
        <f t="shared" ref="Z7:Z70" si="22">Z6+W7</f>
        <v>-29782.022277664189</v>
      </c>
      <c r="AA7" s="45">
        <f t="shared" ref="AA7:AA70" si="23">AA6+W7</f>
        <v>-29782.022277664117</v>
      </c>
      <c r="AB7" s="1"/>
      <c r="AC7" s="40">
        <f t="shared" si="7"/>
        <v>-628.43663150236625</v>
      </c>
      <c r="AD7" s="40">
        <f t="shared" si="17"/>
        <v>0</v>
      </c>
      <c r="AE7" s="40">
        <f t="shared" si="8"/>
        <v>-628.43663150236625</v>
      </c>
      <c r="AF7" s="40">
        <f t="shared" si="9"/>
        <v>2728.2648235722081</v>
      </c>
      <c r="AG7" s="40">
        <f t="shared" si="10"/>
        <v>3009.2497999272455</v>
      </c>
      <c r="AH7" s="40">
        <f t="shared" si="11"/>
        <v>2865.9521904069002</v>
      </c>
      <c r="AI7" s="106">
        <f t="shared" ref="AI7:AI70" si="24">AI6+AH7</f>
        <v>-1527383.5874863588</v>
      </c>
      <c r="AJ7" s="40">
        <f t="shared" si="18"/>
        <v>466.94939978173716</v>
      </c>
      <c r="AK7" s="108">
        <f t="shared" si="19"/>
        <v>-1527361.351800655</v>
      </c>
      <c r="AM7" s="36">
        <f>SUM(AG17:AG28)</f>
        <v>25548.278863586751</v>
      </c>
      <c r="AN7" s="35">
        <f>SUM(W17:W28)</f>
        <v>-95447.607846196915</v>
      </c>
      <c r="AO7" s="95">
        <v>2</v>
      </c>
    </row>
    <row r="8" spans="2:41">
      <c r="B8" s="57" t="s">
        <v>4</v>
      </c>
      <c r="C8" s="58">
        <v>1.03</v>
      </c>
      <c r="E8" s="5"/>
      <c r="F8" s="18" t="s">
        <v>39</v>
      </c>
      <c r="G8" s="1">
        <v>0</v>
      </c>
      <c r="I8">
        <v>4</v>
      </c>
      <c r="J8" s="26">
        <f t="shared" si="12"/>
        <v>9831</v>
      </c>
      <c r="K8" s="24">
        <f t="shared" si="0"/>
        <v>1909.7853765005457</v>
      </c>
      <c r="L8" s="24">
        <f t="shared" si="13"/>
        <v>6365.9512550018198</v>
      </c>
      <c r="M8" s="24">
        <v>0</v>
      </c>
      <c r="N8" s="48"/>
      <c r="O8" s="32">
        <f t="shared" si="1"/>
        <v>10082.99055914864</v>
      </c>
      <c r="P8" s="32">
        <f t="shared" si="14"/>
        <v>6319.2943990198419</v>
      </c>
      <c r="Q8" s="32">
        <f t="shared" si="15"/>
        <v>3763.6961601287985</v>
      </c>
      <c r="R8" s="45">
        <f t="shared" si="20"/>
        <v>1512866.9596046333</v>
      </c>
      <c r="S8" s="31">
        <f t="shared" si="2"/>
        <v>-4764.0310305222074</v>
      </c>
      <c r="T8" s="32">
        <f t="shared" si="16"/>
        <v>0</v>
      </c>
      <c r="U8" s="32">
        <f t="shared" si="3"/>
        <v>-8527.7271906510068</v>
      </c>
      <c r="V8" s="32">
        <f t="shared" si="4"/>
        <v>2728.2648235722081</v>
      </c>
      <c r="W8" s="32">
        <f t="shared" si="5"/>
        <v>-4890.0407592213951</v>
      </c>
      <c r="X8" s="32">
        <f t="shared" si="6"/>
        <v>-4657.1816754489473</v>
      </c>
      <c r="Y8" s="102">
        <f t="shared" si="21"/>
        <v>-33021.012416081503</v>
      </c>
      <c r="Z8" s="32">
        <f t="shared" si="22"/>
        <v>-34672.063036885585</v>
      </c>
      <c r="AA8" s="45">
        <f t="shared" si="23"/>
        <v>-34672.063036885513</v>
      </c>
      <c r="AB8" s="1"/>
      <c r="AC8" s="40">
        <f t="shared" si="7"/>
        <v>1555.2633684976345</v>
      </c>
      <c r="AD8" s="40">
        <f t="shared" si="17"/>
        <v>0</v>
      </c>
      <c r="AE8" s="40">
        <f t="shared" si="8"/>
        <v>1555.2633684976345</v>
      </c>
      <c r="AF8" s="40">
        <f t="shared" si="9"/>
        <v>2728.2648235722081</v>
      </c>
      <c r="AG8" s="40">
        <f t="shared" si="10"/>
        <v>5192.9497999272462</v>
      </c>
      <c r="AH8" s="40">
        <f t="shared" si="11"/>
        <v>4945.6664761211869</v>
      </c>
      <c r="AI8" s="106">
        <f t="shared" si="24"/>
        <v>-1522437.9210102377</v>
      </c>
      <c r="AJ8" s="40">
        <f t="shared" si="18"/>
        <v>5659.8991997089834</v>
      </c>
      <c r="AK8" s="108">
        <f t="shared" si="19"/>
        <v>-1522168.4020007278</v>
      </c>
      <c r="AM8" s="36">
        <f>SUM(AG29:AG40)</f>
        <v>24021.206405980345</v>
      </c>
      <c r="AN8" s="35">
        <f>SUM(W29:W40)</f>
        <v>-96974.680303803325</v>
      </c>
      <c r="AO8" s="95">
        <v>3</v>
      </c>
    </row>
    <row r="9" spans="2:41" ht="15" thickBot="1">
      <c r="B9" s="60" t="s">
        <v>24</v>
      </c>
      <c r="C9" s="61">
        <f>9000000/$C$19</f>
        <v>327391.77882866497</v>
      </c>
      <c r="D9" s="5"/>
      <c r="E9" s="7"/>
      <c r="F9" s="16" t="s">
        <v>90</v>
      </c>
      <c r="G9" s="129">
        <f>$C$60</f>
        <v>0</v>
      </c>
      <c r="I9">
        <v>5</v>
      </c>
      <c r="J9" s="26">
        <f t="shared" si="12"/>
        <v>10092</v>
      </c>
      <c r="K9" s="24">
        <f t="shared" si="0"/>
        <v>1909.7853765005457</v>
      </c>
      <c r="L9" s="24">
        <f t="shared" si="13"/>
        <v>6365.9512550018198</v>
      </c>
      <c r="M9" s="24">
        <v>0</v>
      </c>
      <c r="N9" s="48"/>
      <c r="O9" s="32">
        <f t="shared" si="1"/>
        <v>10082.99055914864</v>
      </c>
      <c r="P9" s="32">
        <f t="shared" si="14"/>
        <v>6303.6123316859721</v>
      </c>
      <c r="Q9" s="32">
        <f t="shared" si="15"/>
        <v>3779.3782274626683</v>
      </c>
      <c r="R9" s="45">
        <f t="shared" si="20"/>
        <v>1509087.5813771705</v>
      </c>
      <c r="S9" s="31">
        <f t="shared" si="2"/>
        <v>-4487.3489631883376</v>
      </c>
      <c r="T9" s="32">
        <f t="shared" si="16"/>
        <v>0</v>
      </c>
      <c r="U9" s="32">
        <f t="shared" si="3"/>
        <v>-8266.7271906510068</v>
      </c>
      <c r="V9" s="32">
        <f t="shared" si="4"/>
        <v>2728.2648235722081</v>
      </c>
      <c r="W9" s="32">
        <f t="shared" si="5"/>
        <v>-4629.0407592213951</v>
      </c>
      <c r="X9" s="32">
        <f t="shared" si="6"/>
        <v>-4408.6102468775189</v>
      </c>
      <c r="Y9" s="102">
        <f t="shared" si="21"/>
        <v>-37429.622662959024</v>
      </c>
      <c r="Z9" s="32">
        <f t="shared" si="22"/>
        <v>-39301.103796106981</v>
      </c>
      <c r="AA9" s="45">
        <f t="shared" si="23"/>
        <v>-39301.103796106909</v>
      </c>
      <c r="AB9" s="1"/>
      <c r="AC9" s="40">
        <f t="shared" si="7"/>
        <v>1816.2633684976345</v>
      </c>
      <c r="AD9" s="40">
        <f t="shared" si="17"/>
        <v>0</v>
      </c>
      <c r="AE9" s="40">
        <f t="shared" si="8"/>
        <v>1816.2633684976345</v>
      </c>
      <c r="AF9" s="40">
        <f t="shared" si="9"/>
        <v>2728.2648235722081</v>
      </c>
      <c r="AG9" s="40">
        <f t="shared" si="10"/>
        <v>5453.9497999272462</v>
      </c>
      <c r="AH9" s="40">
        <f t="shared" si="11"/>
        <v>5194.2379046926153</v>
      </c>
      <c r="AI9" s="106">
        <f t="shared" si="24"/>
        <v>-1517243.6831055451</v>
      </c>
      <c r="AJ9" s="40">
        <f t="shared" si="18"/>
        <v>11113.84899963623</v>
      </c>
      <c r="AK9" s="108">
        <f t="shared" si="19"/>
        <v>-1516714.4522008006</v>
      </c>
      <c r="AM9" s="36">
        <f>SUM(AG41:AG52)</f>
        <v>22481.078736245752</v>
      </c>
      <c r="AN9" s="35">
        <f>SUM(W41:W52)</f>
        <v>-98514.807973537943</v>
      </c>
      <c r="AO9" s="95">
        <v>4</v>
      </c>
    </row>
    <row r="10" spans="2:41" ht="15" thickBot="1">
      <c r="D10" s="7"/>
      <c r="G10" s="1"/>
      <c r="I10">
        <v>6</v>
      </c>
      <c r="J10" s="26">
        <f t="shared" si="12"/>
        <v>10092</v>
      </c>
      <c r="K10" s="24">
        <f t="shared" si="0"/>
        <v>1909.7853765005457</v>
      </c>
      <c r="L10" s="24">
        <f t="shared" si="13"/>
        <v>6365.9512550018198</v>
      </c>
      <c r="M10" s="24">
        <v>0</v>
      </c>
      <c r="N10" s="48"/>
      <c r="O10" s="32">
        <f t="shared" si="1"/>
        <v>10082.99055914864</v>
      </c>
      <c r="P10" s="32">
        <f t="shared" si="14"/>
        <v>6287.8649224048768</v>
      </c>
      <c r="Q10" s="32">
        <f t="shared" si="15"/>
        <v>3795.1256367437636</v>
      </c>
      <c r="R10" s="45">
        <f t="shared" si="20"/>
        <v>1505292.4557404267</v>
      </c>
      <c r="S10" s="31">
        <f t="shared" si="2"/>
        <v>-4471.6015539072423</v>
      </c>
      <c r="T10" s="32">
        <f t="shared" si="16"/>
        <v>0</v>
      </c>
      <c r="U10" s="32">
        <f t="shared" si="3"/>
        <v>-8266.7271906510068</v>
      </c>
      <c r="V10" s="32">
        <f t="shared" si="4"/>
        <v>2728.2648235722081</v>
      </c>
      <c r="W10" s="32">
        <f t="shared" si="5"/>
        <v>-4629.0407592213951</v>
      </c>
      <c r="X10" s="32">
        <f t="shared" si="6"/>
        <v>-4408.6102468775189</v>
      </c>
      <c r="Y10" s="102">
        <f t="shared" si="21"/>
        <v>-41838.232909836544</v>
      </c>
      <c r="Z10" s="32">
        <f t="shared" si="22"/>
        <v>-43930.144555328377</v>
      </c>
      <c r="AA10" s="45">
        <f t="shared" si="23"/>
        <v>-43930.144555328305</v>
      </c>
      <c r="AB10" s="1"/>
      <c r="AC10" s="40">
        <f t="shared" si="7"/>
        <v>1816.2633684976345</v>
      </c>
      <c r="AD10" s="40">
        <f t="shared" si="17"/>
        <v>0</v>
      </c>
      <c r="AE10" s="40">
        <f t="shared" si="8"/>
        <v>1816.2633684976345</v>
      </c>
      <c r="AF10" s="40">
        <f t="shared" si="9"/>
        <v>2728.2648235722081</v>
      </c>
      <c r="AG10" s="40">
        <f t="shared" si="10"/>
        <v>5453.9497999272462</v>
      </c>
      <c r="AH10" s="40">
        <f t="shared" si="11"/>
        <v>5194.2379046926153</v>
      </c>
      <c r="AI10" s="106">
        <f t="shared" si="24"/>
        <v>-1512049.4452008526</v>
      </c>
      <c r="AJ10" s="40">
        <f t="shared" si="18"/>
        <v>16567.798799563476</v>
      </c>
      <c r="AK10" s="108">
        <f t="shared" si="19"/>
        <v>-1511260.5024008735</v>
      </c>
      <c r="AM10" s="36">
        <f>SUM(AG53:AG64)</f>
        <v>20927.176628403126</v>
      </c>
      <c r="AN10" s="35">
        <f>SUM(W53:W64)</f>
        <v>-100068.71008138056</v>
      </c>
      <c r="AO10" s="95">
        <v>5</v>
      </c>
    </row>
    <row r="11" spans="2:41" ht="15" thickBot="1">
      <c r="B11" s="115" t="s">
        <v>47</v>
      </c>
      <c r="C11" s="114">
        <v>1</v>
      </c>
      <c r="G11" s="1"/>
      <c r="I11">
        <v>7</v>
      </c>
      <c r="J11" s="26">
        <f t="shared" si="12"/>
        <v>10092</v>
      </c>
      <c r="K11" s="24">
        <f t="shared" si="0"/>
        <v>1909.7853765005457</v>
      </c>
      <c r="L11" s="24">
        <f t="shared" si="13"/>
        <v>6365.9512550018198</v>
      </c>
      <c r="M11" s="24">
        <v>0</v>
      </c>
      <c r="N11" s="48"/>
      <c r="O11" s="32">
        <f t="shared" si="1"/>
        <v>10082.99055914864</v>
      </c>
      <c r="P11" s="32">
        <f t="shared" si="14"/>
        <v>6272.0518989184447</v>
      </c>
      <c r="Q11" s="32">
        <f t="shared" si="15"/>
        <v>3810.9386602301956</v>
      </c>
      <c r="R11" s="45">
        <f t="shared" si="20"/>
        <v>1501481.5170801964</v>
      </c>
      <c r="S11" s="31">
        <f t="shared" si="2"/>
        <v>-4455.7885304208103</v>
      </c>
      <c r="T11" s="32">
        <f t="shared" si="16"/>
        <v>0</v>
      </c>
      <c r="U11" s="32">
        <f t="shared" si="3"/>
        <v>-8266.7271906510068</v>
      </c>
      <c r="V11" s="32">
        <f t="shared" si="4"/>
        <v>2728.2648235722081</v>
      </c>
      <c r="W11" s="32">
        <f t="shared" si="5"/>
        <v>-4629.0407592213951</v>
      </c>
      <c r="X11" s="32">
        <f t="shared" si="6"/>
        <v>-4408.6102468775189</v>
      </c>
      <c r="Y11" s="102">
        <f t="shared" si="21"/>
        <v>-46246.843156714065</v>
      </c>
      <c r="Z11" s="32">
        <f t="shared" si="22"/>
        <v>-48559.185314549773</v>
      </c>
      <c r="AA11" s="45">
        <f t="shared" si="23"/>
        <v>-48559.185314549701</v>
      </c>
      <c r="AB11" s="1"/>
      <c r="AC11" s="40">
        <f t="shared" si="7"/>
        <v>1816.2633684976345</v>
      </c>
      <c r="AD11" s="40">
        <f t="shared" si="17"/>
        <v>0</v>
      </c>
      <c r="AE11" s="40">
        <f t="shared" si="8"/>
        <v>1816.2633684976345</v>
      </c>
      <c r="AF11" s="40">
        <f t="shared" si="9"/>
        <v>2728.2648235722081</v>
      </c>
      <c r="AG11" s="40">
        <f t="shared" si="10"/>
        <v>5453.9497999272462</v>
      </c>
      <c r="AH11" s="40">
        <f t="shared" si="11"/>
        <v>5194.2379046926153</v>
      </c>
      <c r="AI11" s="106">
        <f t="shared" si="24"/>
        <v>-1506855.20729616</v>
      </c>
      <c r="AJ11" s="40">
        <f t="shared" si="18"/>
        <v>22021.748599490722</v>
      </c>
      <c r="AK11" s="108">
        <f t="shared" si="19"/>
        <v>-1505806.5526009463</v>
      </c>
      <c r="AM11" s="36">
        <f>SUM(AG65:AG76)</f>
        <v>19358.762555389374</v>
      </c>
      <c r="AN11" s="35">
        <f>SUM(W65:W76)</f>
        <v>-101637.1241543943</v>
      </c>
      <c r="AO11" s="95">
        <v>6</v>
      </c>
    </row>
    <row r="12" spans="2:41">
      <c r="B12" s="42" t="s">
        <v>42</v>
      </c>
      <c r="C12" s="88">
        <f>C5*C11</f>
        <v>1527828.3012004367</v>
      </c>
      <c r="G12" s="1"/>
      <c r="I12">
        <v>8</v>
      </c>
      <c r="J12" s="26">
        <f t="shared" si="12"/>
        <v>9483</v>
      </c>
      <c r="K12" s="24">
        <f t="shared" si="0"/>
        <v>1909.7853765005457</v>
      </c>
      <c r="L12" s="24">
        <f t="shared" si="13"/>
        <v>6365.9512550018198</v>
      </c>
      <c r="M12" s="24">
        <v>0</v>
      </c>
      <c r="N12" s="48"/>
      <c r="O12" s="32">
        <f t="shared" si="1"/>
        <v>10082.99055914864</v>
      </c>
      <c r="P12" s="32">
        <f t="shared" si="14"/>
        <v>6256.1729878341521</v>
      </c>
      <c r="Q12" s="32">
        <f t="shared" si="15"/>
        <v>3826.8175713144883</v>
      </c>
      <c r="R12" s="45">
        <f t="shared" si="20"/>
        <v>1497654.6995088819</v>
      </c>
      <c r="S12" s="31">
        <f t="shared" si="2"/>
        <v>-5048.9096193365176</v>
      </c>
      <c r="T12" s="32">
        <f t="shared" si="16"/>
        <v>0</v>
      </c>
      <c r="U12" s="32">
        <f t="shared" si="3"/>
        <v>-8875.7271906510068</v>
      </c>
      <c r="V12" s="32">
        <f t="shared" si="4"/>
        <v>2728.2648235722081</v>
      </c>
      <c r="W12" s="32">
        <f t="shared" si="5"/>
        <v>-5238.0407592213951</v>
      </c>
      <c r="X12" s="32">
        <f t="shared" si="6"/>
        <v>-4988.6102468775189</v>
      </c>
      <c r="Y12" s="102">
        <f>Y11+X12</f>
        <v>-51235.453403591586</v>
      </c>
      <c r="Z12" s="32">
        <f t="shared" si="22"/>
        <v>-53797.226073771169</v>
      </c>
      <c r="AA12" s="45">
        <f t="shared" si="23"/>
        <v>-53797.226073771097</v>
      </c>
      <c r="AB12" s="1"/>
      <c r="AC12" s="40">
        <f t="shared" si="7"/>
        <v>1207.2633684976345</v>
      </c>
      <c r="AD12" s="40">
        <f t="shared" si="17"/>
        <v>0</v>
      </c>
      <c r="AE12" s="40">
        <f t="shared" si="8"/>
        <v>1207.2633684976345</v>
      </c>
      <c r="AF12" s="40">
        <f t="shared" si="9"/>
        <v>2728.2648235722081</v>
      </c>
      <c r="AG12" s="40">
        <f t="shared" si="10"/>
        <v>4844.9497999272462</v>
      </c>
      <c r="AH12" s="40">
        <f t="shared" si="11"/>
        <v>4614.2379046926153</v>
      </c>
      <c r="AI12" s="106">
        <f t="shared" si="24"/>
        <v>-1502240.9693914675</v>
      </c>
      <c r="AJ12" s="40">
        <f t="shared" si="18"/>
        <v>26866.698399417968</v>
      </c>
      <c r="AK12" s="108">
        <f t="shared" si="19"/>
        <v>-1500961.6028010191</v>
      </c>
      <c r="AM12" s="36">
        <f>SUM(AG77:AG88)</f>
        <v>17775.080107268714</v>
      </c>
      <c r="AN12" s="35">
        <f>SUM(W77:W88)</f>
        <v>-103220.80660251496</v>
      </c>
      <c r="AO12" s="95">
        <v>7</v>
      </c>
    </row>
    <row r="13" spans="2:41">
      <c r="B13" s="89" t="s">
        <v>46</v>
      </c>
      <c r="C13" s="90">
        <v>0.05</v>
      </c>
      <c r="G13" s="1"/>
      <c r="I13">
        <v>9</v>
      </c>
      <c r="J13" s="26">
        <f t="shared" si="12"/>
        <v>7821.2999999999993</v>
      </c>
      <c r="K13" s="24">
        <f t="shared" si="0"/>
        <v>1909.7853765005457</v>
      </c>
      <c r="L13" s="24">
        <f t="shared" si="13"/>
        <v>6365.9512550018198</v>
      </c>
      <c r="M13" s="24">
        <v>0</v>
      </c>
      <c r="N13" s="48"/>
      <c r="O13" s="32">
        <f t="shared" si="1"/>
        <v>10082.99055914864</v>
      </c>
      <c r="P13" s="32">
        <f t="shared" si="14"/>
        <v>6240.2279146203409</v>
      </c>
      <c r="Q13" s="32">
        <f t="shared" si="15"/>
        <v>3842.7626445282995</v>
      </c>
      <c r="R13" s="45">
        <f t="shared" si="20"/>
        <v>1493811.9368643535</v>
      </c>
      <c r="S13" s="31">
        <f t="shared" si="2"/>
        <v>-6694.6645461227072</v>
      </c>
      <c r="T13" s="32">
        <f t="shared" si="16"/>
        <v>0</v>
      </c>
      <c r="U13" s="32">
        <f t="shared" si="3"/>
        <v>-10537.427190651008</v>
      </c>
      <c r="V13" s="32">
        <f t="shared" si="4"/>
        <v>2728.2648235722081</v>
      </c>
      <c r="W13" s="32">
        <f t="shared" si="5"/>
        <v>-6899.7407592213958</v>
      </c>
      <c r="X13" s="32">
        <f t="shared" si="6"/>
        <v>-6571.1816754489482</v>
      </c>
      <c r="Y13" s="102">
        <f t="shared" si="21"/>
        <v>-57806.635079040534</v>
      </c>
      <c r="Z13" s="32">
        <f t="shared" si="22"/>
        <v>-60696.966832992563</v>
      </c>
      <c r="AA13" s="45">
        <f t="shared" si="23"/>
        <v>-60696.96683299249</v>
      </c>
      <c r="AB13" s="1"/>
      <c r="AC13" s="40">
        <f t="shared" si="7"/>
        <v>-454.43663150236625</v>
      </c>
      <c r="AD13" s="40">
        <f t="shared" si="17"/>
        <v>0</v>
      </c>
      <c r="AE13" s="40">
        <f t="shared" si="8"/>
        <v>-454.43663150236625</v>
      </c>
      <c r="AF13" s="40">
        <f t="shared" si="9"/>
        <v>2728.2648235722081</v>
      </c>
      <c r="AG13" s="40">
        <f t="shared" si="10"/>
        <v>3183.2497999272455</v>
      </c>
      <c r="AH13" s="40">
        <f t="shared" si="11"/>
        <v>3031.666476121186</v>
      </c>
      <c r="AI13" s="106">
        <f t="shared" si="24"/>
        <v>-1499209.3029153463</v>
      </c>
      <c r="AJ13" s="40">
        <f t="shared" si="18"/>
        <v>30049.948199345214</v>
      </c>
      <c r="AK13" s="108">
        <f t="shared" si="19"/>
        <v>-1497778.3530010919</v>
      </c>
      <c r="AM13" s="36">
        <f>SUM(AG89:AG100)</f>
        <v>16175.353392317145</v>
      </c>
      <c r="AN13" s="35">
        <f>SUM(W89:W100)</f>
        <v>-104820.53331746653</v>
      </c>
      <c r="AO13" s="95">
        <v>8</v>
      </c>
    </row>
    <row r="14" spans="2:41" ht="15" thickBot="1">
      <c r="B14" s="91" t="s">
        <v>45</v>
      </c>
      <c r="C14" s="46">
        <v>240</v>
      </c>
      <c r="G14" s="1"/>
      <c r="I14">
        <v>10</v>
      </c>
      <c r="J14" s="26">
        <f t="shared" si="12"/>
        <v>5689.7999999999993</v>
      </c>
      <c r="K14" s="24">
        <f t="shared" si="0"/>
        <v>1909.7853765005457</v>
      </c>
      <c r="L14" s="24">
        <f t="shared" si="13"/>
        <v>6365.9512550018198</v>
      </c>
      <c r="M14" s="24">
        <v>0</v>
      </c>
      <c r="N14" s="48"/>
      <c r="O14" s="32">
        <f t="shared" si="1"/>
        <v>10082.99055914864</v>
      </c>
      <c r="P14" s="32">
        <f t="shared" si="14"/>
        <v>6224.2164036014728</v>
      </c>
      <c r="Q14" s="32">
        <f t="shared" si="15"/>
        <v>3858.7741555471675</v>
      </c>
      <c r="R14" s="45">
        <f t="shared" si="20"/>
        <v>1489953.1627088063</v>
      </c>
      <c r="S14" s="31">
        <f t="shared" si="2"/>
        <v>-8810.1530351038382</v>
      </c>
      <c r="T14" s="32">
        <f t="shared" si="16"/>
        <v>0</v>
      </c>
      <c r="U14" s="32">
        <f t="shared" si="3"/>
        <v>-12668.927190651008</v>
      </c>
      <c r="V14" s="32">
        <f t="shared" si="4"/>
        <v>2728.2648235722081</v>
      </c>
      <c r="W14" s="32">
        <f t="shared" si="5"/>
        <v>-9031.2407592213967</v>
      </c>
      <c r="X14" s="32">
        <f t="shared" si="6"/>
        <v>-8601.1816754489482</v>
      </c>
      <c r="Y14" s="102">
        <f t="shared" si="21"/>
        <v>-66407.816754489482</v>
      </c>
      <c r="Z14" s="32">
        <f t="shared" si="22"/>
        <v>-69728.207592213963</v>
      </c>
      <c r="AA14" s="45">
        <f t="shared" si="23"/>
        <v>-69728.20759221389</v>
      </c>
      <c r="AB14" s="1"/>
      <c r="AC14" s="40">
        <f t="shared" si="7"/>
        <v>-2585.9366315023663</v>
      </c>
      <c r="AD14" s="40">
        <f t="shared" si="17"/>
        <v>0</v>
      </c>
      <c r="AE14" s="40">
        <f t="shared" si="8"/>
        <v>-2585.9366315023663</v>
      </c>
      <c r="AF14" s="40">
        <f t="shared" si="9"/>
        <v>2728.2648235722081</v>
      </c>
      <c r="AG14" s="40">
        <f t="shared" si="10"/>
        <v>1051.7497999272455</v>
      </c>
      <c r="AH14" s="40">
        <f t="shared" si="11"/>
        <v>1001.6664761211862</v>
      </c>
      <c r="AI14" s="106">
        <f t="shared" si="24"/>
        <v>-1498207.6364392252</v>
      </c>
      <c r="AJ14" s="40">
        <f t="shared" si="18"/>
        <v>31101.697999272459</v>
      </c>
      <c r="AK14" s="108">
        <f t="shared" si="19"/>
        <v>-1496726.6032011646</v>
      </c>
      <c r="AM14" s="36">
        <f>SUM(AG101:AG112)</f>
        <v>14558.786420463573</v>
      </c>
      <c r="AN14" s="35">
        <f>SUM(W101:W112)</f>
        <v>-106437.10028932014</v>
      </c>
      <c r="AO14" s="95">
        <v>9</v>
      </c>
    </row>
    <row r="15" spans="2:41">
      <c r="B15" s="52" t="s">
        <v>82</v>
      </c>
      <c r="C15" s="5"/>
      <c r="G15" s="1"/>
      <c r="I15">
        <v>11</v>
      </c>
      <c r="J15" s="26">
        <f t="shared" si="12"/>
        <v>2984.1</v>
      </c>
      <c r="K15" s="24">
        <f t="shared" si="0"/>
        <v>1909.7853765005457</v>
      </c>
      <c r="L15" s="24">
        <f t="shared" si="13"/>
        <v>6365.9512550018198</v>
      </c>
      <c r="M15" s="24">
        <v>0</v>
      </c>
      <c r="N15" s="48"/>
      <c r="O15" s="32">
        <f t="shared" si="1"/>
        <v>10082.99055914864</v>
      </c>
      <c r="P15" s="32">
        <f t="shared" si="14"/>
        <v>6208.1381779533594</v>
      </c>
      <c r="Q15" s="32">
        <f t="shared" si="15"/>
        <v>3874.8523811952809</v>
      </c>
      <c r="R15" s="45">
        <f t="shared" si="20"/>
        <v>1486078.3103276112</v>
      </c>
      <c r="S15" s="31">
        <f t="shared" si="2"/>
        <v>-11499.774809455725</v>
      </c>
      <c r="T15" s="32">
        <f t="shared" si="16"/>
        <v>0</v>
      </c>
      <c r="U15" s="32">
        <f t="shared" si="3"/>
        <v>-15374.627190651006</v>
      </c>
      <c r="V15" s="32">
        <f t="shared" si="4"/>
        <v>2728.2648235722081</v>
      </c>
      <c r="W15" s="32">
        <f t="shared" si="5"/>
        <v>-11736.940759221397</v>
      </c>
      <c r="X15" s="32">
        <f t="shared" si="6"/>
        <v>-11178.038818306093</v>
      </c>
      <c r="Y15" s="102">
        <f t="shared" si="21"/>
        <v>-77585.855572795583</v>
      </c>
      <c r="Z15" s="32">
        <f t="shared" si="22"/>
        <v>-81465.14835143536</v>
      </c>
      <c r="AA15" s="45">
        <f t="shared" si="23"/>
        <v>-81465.148351435288</v>
      </c>
      <c r="AB15" s="1"/>
      <c r="AC15" s="40">
        <f t="shared" si="7"/>
        <v>-5291.6366315023661</v>
      </c>
      <c r="AD15" s="40">
        <f t="shared" si="17"/>
        <v>0</v>
      </c>
      <c r="AE15" s="40">
        <f t="shared" si="8"/>
        <v>-5291.6366315023661</v>
      </c>
      <c r="AF15" s="40">
        <f t="shared" si="9"/>
        <v>2728.2648235722081</v>
      </c>
      <c r="AG15" s="40">
        <f t="shared" si="10"/>
        <v>-1653.9502000727543</v>
      </c>
      <c r="AH15" s="40">
        <f t="shared" si="11"/>
        <v>-1575.1906667359565</v>
      </c>
      <c r="AI15" s="106">
        <f t="shared" si="24"/>
        <v>-1499782.827105961</v>
      </c>
      <c r="AJ15" s="40">
        <f t="shared" si="18"/>
        <v>29447.747799199704</v>
      </c>
      <c r="AK15" s="108">
        <f t="shared" si="19"/>
        <v>-1498380.5534012374</v>
      </c>
      <c r="AM15" s="36">
        <f>SUM(AG113:AG124)</f>
        <v>12924.562468555479</v>
      </c>
      <c r="AN15" s="35">
        <f>SUM(W113:W124)</f>
        <v>-108071.3242412282</v>
      </c>
      <c r="AO15" s="95">
        <v>10</v>
      </c>
    </row>
    <row r="16" spans="2:41" ht="15" thickBot="1">
      <c r="B16" s="4"/>
      <c r="C16" s="5"/>
      <c r="G16" s="1"/>
      <c r="I16">
        <v>12</v>
      </c>
      <c r="J16" s="26">
        <f t="shared" si="12"/>
        <v>2253.2999999999997</v>
      </c>
      <c r="K16" s="24">
        <f t="shared" si="0"/>
        <v>1909.7853765005457</v>
      </c>
      <c r="L16" s="24">
        <f t="shared" si="13"/>
        <v>6365.9512550018198</v>
      </c>
      <c r="M16" s="24">
        <v>0</v>
      </c>
      <c r="N16" s="48"/>
      <c r="O16" s="32">
        <f t="shared" si="1"/>
        <v>10082.99055914864</v>
      </c>
      <c r="P16" s="32">
        <f t="shared" si="14"/>
        <v>6191.9929596983802</v>
      </c>
      <c r="Q16" s="32">
        <f t="shared" si="15"/>
        <v>3890.9975994502602</v>
      </c>
      <c r="R16" s="45">
        <f t="shared" si="20"/>
        <v>1482187.312728161</v>
      </c>
      <c r="S16" s="31">
        <f t="shared" si="2"/>
        <v>-12214.429591200746</v>
      </c>
      <c r="T16" s="32">
        <f t="shared" si="16"/>
        <v>0</v>
      </c>
      <c r="U16" s="32">
        <f t="shared" si="3"/>
        <v>-16105.427190651006</v>
      </c>
      <c r="V16" s="32">
        <f t="shared" si="4"/>
        <v>2728.2648235722081</v>
      </c>
      <c r="W16" s="32">
        <f t="shared" si="5"/>
        <v>-12467.740759221393</v>
      </c>
      <c r="X16" s="32">
        <f t="shared" si="6"/>
        <v>-11874.038818306088</v>
      </c>
      <c r="Y16" s="102">
        <f t="shared" si="21"/>
        <v>-89459.894391101669</v>
      </c>
      <c r="Z16" s="32">
        <f t="shared" si="22"/>
        <v>-93932.889110656746</v>
      </c>
      <c r="AA16" s="45">
        <f t="shared" si="23"/>
        <v>-93932.889110656688</v>
      </c>
      <c r="AB16" s="1"/>
      <c r="AC16" s="40">
        <f t="shared" si="7"/>
        <v>-6022.4366315023653</v>
      </c>
      <c r="AD16" s="40">
        <f t="shared" si="17"/>
        <v>0</v>
      </c>
      <c r="AE16" s="40">
        <f t="shared" si="8"/>
        <v>-6022.4366315023653</v>
      </c>
      <c r="AF16" s="40">
        <f t="shared" si="9"/>
        <v>2728.2648235722081</v>
      </c>
      <c r="AG16" s="40">
        <f t="shared" si="10"/>
        <v>-2384.7502000727536</v>
      </c>
      <c r="AH16" s="40">
        <f t="shared" si="11"/>
        <v>-2271.1906667359558</v>
      </c>
      <c r="AI16" s="106">
        <f t="shared" si="24"/>
        <v>-1502054.0177726969</v>
      </c>
      <c r="AJ16" s="40">
        <f t="shared" si="18"/>
        <v>27062.997599126949</v>
      </c>
      <c r="AK16" s="108">
        <f t="shared" si="19"/>
        <v>-1500765.3036013101</v>
      </c>
      <c r="AM16" s="36">
        <f>SUM(AG125:AG136)</f>
        <v>44011.021309766715</v>
      </c>
      <c r="AN16" s="35">
        <f>SUM(W125:W136)</f>
        <v>-76984.865400016977</v>
      </c>
      <c r="AO16" s="95">
        <v>11</v>
      </c>
    </row>
    <row r="17" spans="2:41">
      <c r="B17" s="62" t="s">
        <v>41</v>
      </c>
      <c r="C17" s="63">
        <v>0</v>
      </c>
      <c r="D17" t="s">
        <v>63</v>
      </c>
      <c r="F17" s="132" t="s">
        <v>88</v>
      </c>
      <c r="G17" s="1">
        <f>SUM(S17:S28)</f>
        <v>-91123.776959636743</v>
      </c>
      <c r="H17">
        <v>2016</v>
      </c>
      <c r="I17">
        <v>1</v>
      </c>
      <c r="J17" s="26">
        <f t="shared" ref="J17:J28" si="25">C23*$C$39*$D$39</f>
        <v>2609.739</v>
      </c>
      <c r="K17" s="24">
        <f t="shared" ref="K17:K28" si="26">$K$16*$C$8</f>
        <v>1967.0789377955621</v>
      </c>
      <c r="L17" s="24">
        <f t="shared" si="13"/>
        <v>6365.9512550018198</v>
      </c>
      <c r="M17" s="24">
        <v>0</v>
      </c>
      <c r="N17" s="48"/>
      <c r="O17" s="32">
        <f t="shared" si="1"/>
        <v>10082.99055914864</v>
      </c>
      <c r="P17" s="32">
        <f t="shared" si="14"/>
        <v>6175.7804697006704</v>
      </c>
      <c r="Q17" s="32">
        <f t="shared" si="15"/>
        <v>3907.2100894479699</v>
      </c>
      <c r="R17" s="45">
        <f t="shared" si="20"/>
        <v>1478280.1026387131</v>
      </c>
      <c r="S17" s="31">
        <f t="shared" si="2"/>
        <v>-11899.071662498052</v>
      </c>
      <c r="T17" s="32">
        <f t="shared" si="16"/>
        <v>0</v>
      </c>
      <c r="U17" s="32">
        <f t="shared" si="3"/>
        <v>-15806.281751946022</v>
      </c>
      <c r="V17" s="32">
        <f t="shared" si="4"/>
        <v>2728.2648235722081</v>
      </c>
      <c r="W17" s="32">
        <f t="shared" si="5"/>
        <v>-12168.595320516411</v>
      </c>
      <c r="X17" s="32">
        <f t="shared" ref="X17:X28" si="27">W17/(1+$C$18)^2</f>
        <v>-11037.274667135067</v>
      </c>
      <c r="Y17" s="102">
        <f t="shared" si="21"/>
        <v>-100497.16905823673</v>
      </c>
      <c r="Z17" s="32">
        <f t="shared" si="22"/>
        <v>-106101.48443117316</v>
      </c>
      <c r="AA17" s="45">
        <f t="shared" si="23"/>
        <v>-106101.4844311731</v>
      </c>
      <c r="AB17" s="1"/>
      <c r="AC17" s="40">
        <f t="shared" si="7"/>
        <v>-5723.2911927973819</v>
      </c>
      <c r="AD17" s="40">
        <f t="shared" si="17"/>
        <v>0</v>
      </c>
      <c r="AE17" s="40">
        <f t="shared" si="8"/>
        <v>-5723.2911927973819</v>
      </c>
      <c r="AF17" s="40">
        <f t="shared" si="9"/>
        <v>2728.2648235722081</v>
      </c>
      <c r="AG17" s="40">
        <f t="shared" si="10"/>
        <v>-2085.6047613677702</v>
      </c>
      <c r="AH17" s="40">
        <f t="shared" ref="AH17:AH28" si="28">AG17/(1+$C$18)^2</f>
        <v>-1891.704998973034</v>
      </c>
      <c r="AI17" s="106">
        <f t="shared" si="24"/>
        <v>-1503945.72277167</v>
      </c>
      <c r="AJ17" s="40">
        <f t="shared" si="18"/>
        <v>24977.39283775918</v>
      </c>
      <c r="AK17" s="108">
        <f t="shared" si="19"/>
        <v>-1502850.9083626778</v>
      </c>
      <c r="AM17" s="36">
        <f>SUM(AG137:AG148)</f>
        <v>42338.947009383803</v>
      </c>
      <c r="AN17" s="35">
        <f>SUM(W137:W148)</f>
        <v>-78656.939700399904</v>
      </c>
      <c r="AO17" s="95">
        <v>12</v>
      </c>
    </row>
    <row r="18" spans="2:41">
      <c r="B18" s="25" t="s">
        <v>20</v>
      </c>
      <c r="C18" s="64">
        <v>0.05</v>
      </c>
      <c r="D18" s="50" t="s">
        <v>63</v>
      </c>
      <c r="F18" s="17" t="s">
        <v>31</v>
      </c>
      <c r="G18">
        <v>2</v>
      </c>
      <c r="I18">
        <v>2</v>
      </c>
      <c r="J18" s="26">
        <f t="shared" si="25"/>
        <v>4056.7229999999995</v>
      </c>
      <c r="K18" s="24">
        <f t="shared" si="26"/>
        <v>1967.0789377955621</v>
      </c>
      <c r="L18" s="24">
        <f t="shared" si="13"/>
        <v>6365.9512550018198</v>
      </c>
      <c r="M18" s="24">
        <v>0</v>
      </c>
      <c r="N18" s="48"/>
      <c r="O18" s="32">
        <f t="shared" si="1"/>
        <v>10082.99055914864</v>
      </c>
      <c r="P18" s="32">
        <f t="shared" si="14"/>
        <v>6159.5004276613045</v>
      </c>
      <c r="Q18" s="32">
        <f t="shared" si="15"/>
        <v>3923.4901314873359</v>
      </c>
      <c r="R18" s="45">
        <f t="shared" si="20"/>
        <v>1474356.6125072257</v>
      </c>
      <c r="S18" s="31">
        <f t="shared" si="2"/>
        <v>-10435.807620458687</v>
      </c>
      <c r="T18" s="32">
        <f t="shared" si="16"/>
        <v>0</v>
      </c>
      <c r="U18" s="32">
        <f t="shared" si="3"/>
        <v>-14359.297751946022</v>
      </c>
      <c r="V18" s="32">
        <f t="shared" si="4"/>
        <v>2728.2648235722081</v>
      </c>
      <c r="W18" s="32">
        <f t="shared" si="5"/>
        <v>-10721.611320516411</v>
      </c>
      <c r="X18" s="32">
        <f t="shared" si="27"/>
        <v>-9724.8175242779234</v>
      </c>
      <c r="Y18" s="102">
        <f t="shared" si="21"/>
        <v>-110221.98658251466</v>
      </c>
      <c r="Z18" s="32">
        <f t="shared" si="22"/>
        <v>-116823.09575168957</v>
      </c>
      <c r="AA18" s="45">
        <f t="shared" si="23"/>
        <v>-116823.09575168951</v>
      </c>
      <c r="AB18" s="1"/>
      <c r="AC18" s="40">
        <f t="shared" si="7"/>
        <v>-4276.3071927973824</v>
      </c>
      <c r="AD18" s="40">
        <f t="shared" si="17"/>
        <v>0</v>
      </c>
      <c r="AE18" s="40">
        <f t="shared" si="8"/>
        <v>-4276.3071927973824</v>
      </c>
      <c r="AF18" s="40">
        <f t="shared" si="9"/>
        <v>2728.2648235722081</v>
      </c>
      <c r="AG18" s="40">
        <f t="shared" si="10"/>
        <v>-638.62076136777068</v>
      </c>
      <c r="AH18" s="40">
        <f t="shared" si="28"/>
        <v>-579.24785611589175</v>
      </c>
      <c r="AI18" s="106">
        <f t="shared" si="24"/>
        <v>-1504524.9706277859</v>
      </c>
      <c r="AJ18" s="40">
        <f t="shared" si="18"/>
        <v>24338.772076391411</v>
      </c>
      <c r="AK18" s="108">
        <f t="shared" si="19"/>
        <v>-1503489.5291240455</v>
      </c>
      <c r="AM18" s="36">
        <f>SUM(AG149:AG160)</f>
        <v>40646.63452938613</v>
      </c>
      <c r="AN18" s="35">
        <f>SUM(W149:W160)</f>
        <v>-80349.252180397554</v>
      </c>
      <c r="AO18" s="95">
        <v>13</v>
      </c>
    </row>
    <row r="19" spans="2:41" ht="15" thickBot="1">
      <c r="B19" s="65" t="s">
        <v>25</v>
      </c>
      <c r="C19" s="66">
        <v>27.49</v>
      </c>
      <c r="D19" t="s">
        <v>64</v>
      </c>
      <c r="F19" s="12" t="s">
        <v>30</v>
      </c>
      <c r="G19" s="1">
        <f>G5+G17</f>
        <v>-183067.91477517324</v>
      </c>
      <c r="I19">
        <v>3</v>
      </c>
      <c r="J19" s="26">
        <f t="shared" si="25"/>
        <v>7570.8269999999993</v>
      </c>
      <c r="K19" s="24">
        <f t="shared" si="26"/>
        <v>1967.0789377955621</v>
      </c>
      <c r="L19" s="24">
        <f t="shared" si="13"/>
        <v>6365.9512550018198</v>
      </c>
      <c r="M19" s="24">
        <v>0</v>
      </c>
      <c r="N19" s="48"/>
      <c r="O19" s="32">
        <f t="shared" si="1"/>
        <v>10082.99055914864</v>
      </c>
      <c r="P19" s="32">
        <f t="shared" si="14"/>
        <v>6143.1525521134408</v>
      </c>
      <c r="Q19" s="32">
        <f t="shared" si="15"/>
        <v>3939.8380070351996</v>
      </c>
      <c r="R19" s="45">
        <f t="shared" si="20"/>
        <v>1470416.7745001905</v>
      </c>
      <c r="S19" s="31">
        <f t="shared" si="2"/>
        <v>-6905.3557449108239</v>
      </c>
      <c r="T19" s="32">
        <f t="shared" si="16"/>
        <v>0</v>
      </c>
      <c r="U19" s="32">
        <f t="shared" si="3"/>
        <v>-10845.193751946023</v>
      </c>
      <c r="V19" s="32">
        <f t="shared" si="4"/>
        <v>2728.2648235722081</v>
      </c>
      <c r="W19" s="32">
        <f t="shared" si="5"/>
        <v>-7207.5073205164108</v>
      </c>
      <c r="X19" s="32">
        <f t="shared" si="27"/>
        <v>-6537.4216059105765</v>
      </c>
      <c r="Y19" s="102">
        <f t="shared" si="21"/>
        <v>-116759.40818842524</v>
      </c>
      <c r="Z19" s="32">
        <f t="shared" si="22"/>
        <v>-124030.60307220598</v>
      </c>
      <c r="AA19" s="45">
        <f t="shared" si="23"/>
        <v>-124030.60307220592</v>
      </c>
      <c r="AB19" s="1"/>
      <c r="AC19" s="40">
        <f t="shared" si="7"/>
        <v>-762.20319279738305</v>
      </c>
      <c r="AD19" s="40">
        <f t="shared" si="17"/>
        <v>0</v>
      </c>
      <c r="AE19" s="40">
        <f t="shared" si="8"/>
        <v>-762.20319279738305</v>
      </c>
      <c r="AF19" s="40">
        <f t="shared" si="9"/>
        <v>2728.2648235722081</v>
      </c>
      <c r="AG19" s="40">
        <f t="shared" si="10"/>
        <v>2875.4832386322287</v>
      </c>
      <c r="AH19" s="40">
        <f t="shared" si="28"/>
        <v>2608.1480622514546</v>
      </c>
      <c r="AI19" s="106">
        <f t="shared" si="24"/>
        <v>-1501916.8225655344</v>
      </c>
      <c r="AJ19" s="40">
        <f t="shared" si="18"/>
        <v>27214.255315023642</v>
      </c>
      <c r="AK19" s="108">
        <f t="shared" si="19"/>
        <v>-1500614.0458854132</v>
      </c>
      <c r="AM19" s="36">
        <f>SUM(AG161:AG172)</f>
        <v>38933.177483891333</v>
      </c>
      <c r="AN19" s="35">
        <f>SUM(W161:W172)</f>
        <v>-82062.709225892351</v>
      </c>
      <c r="AO19" s="95">
        <v>14</v>
      </c>
    </row>
    <row r="20" spans="2:41">
      <c r="F20" s="18" t="s">
        <v>39</v>
      </c>
      <c r="G20" s="1">
        <v>0</v>
      </c>
      <c r="I20">
        <v>4</v>
      </c>
      <c r="J20" s="26">
        <f t="shared" si="25"/>
        <v>9732.6899999999987</v>
      </c>
      <c r="K20" s="24">
        <f t="shared" si="26"/>
        <v>1967.0789377955621</v>
      </c>
      <c r="L20" s="24">
        <f t="shared" si="13"/>
        <v>6365.9512550018198</v>
      </c>
      <c r="M20" s="24">
        <v>0</v>
      </c>
      <c r="N20" s="48"/>
      <c r="O20" s="32">
        <f t="shared" si="1"/>
        <v>10082.99055914864</v>
      </c>
      <c r="P20" s="32">
        <f t="shared" si="14"/>
        <v>6126.7365604174602</v>
      </c>
      <c r="Q20" s="32">
        <f t="shared" si="15"/>
        <v>3956.2539987311802</v>
      </c>
      <c r="R20" s="45">
        <f t="shared" si="20"/>
        <v>1466460.5205014593</v>
      </c>
      <c r="S20" s="31">
        <f t="shared" si="2"/>
        <v>-4727.0767532148438</v>
      </c>
      <c r="T20" s="32">
        <f t="shared" si="16"/>
        <v>0</v>
      </c>
      <c r="U20" s="32">
        <f t="shared" si="3"/>
        <v>-8683.330751946025</v>
      </c>
      <c r="V20" s="32">
        <f t="shared" si="4"/>
        <v>2728.2648235722081</v>
      </c>
      <c r="W20" s="32">
        <f t="shared" si="5"/>
        <v>-5045.6443205164132</v>
      </c>
      <c r="X20" s="32">
        <f t="shared" si="27"/>
        <v>-4576.5481365228234</v>
      </c>
      <c r="Y20" s="102">
        <f t="shared" si="21"/>
        <v>-121335.95632494806</v>
      </c>
      <c r="Z20" s="32">
        <f t="shared" si="22"/>
        <v>-129076.24739272239</v>
      </c>
      <c r="AA20" s="45">
        <f t="shared" si="23"/>
        <v>-129076.24739272233</v>
      </c>
      <c r="AB20" s="1"/>
      <c r="AC20" s="40">
        <f t="shared" si="7"/>
        <v>1399.6598072026163</v>
      </c>
      <c r="AD20" s="40">
        <f t="shared" si="17"/>
        <v>0</v>
      </c>
      <c r="AE20" s="40">
        <f t="shared" si="8"/>
        <v>1399.6598072026163</v>
      </c>
      <c r="AF20" s="40">
        <f t="shared" si="9"/>
        <v>2728.2648235722081</v>
      </c>
      <c r="AG20" s="40">
        <f t="shared" si="10"/>
        <v>5037.3462386322281</v>
      </c>
      <c r="AH20" s="40">
        <f t="shared" si="28"/>
        <v>4569.0215316392087</v>
      </c>
      <c r="AI20" s="106">
        <f t="shared" si="24"/>
        <v>-1497347.8010338952</v>
      </c>
      <c r="AJ20" s="40">
        <f t="shared" si="18"/>
        <v>32251.60155365587</v>
      </c>
      <c r="AK20" s="108">
        <f t="shared" si="19"/>
        <v>-1495576.699646781</v>
      </c>
      <c r="AM20" s="36">
        <f>SUM(AG173:AG184)</f>
        <v>37197.645287845451</v>
      </c>
      <c r="AN20" s="35">
        <f>SUM(W173:W184)</f>
        <v>-83798.241421938234</v>
      </c>
      <c r="AO20" s="95">
        <v>15</v>
      </c>
    </row>
    <row r="21" spans="2:41" ht="15" thickBot="1">
      <c r="B21" s="3" t="s">
        <v>86</v>
      </c>
      <c r="C21" s="4"/>
      <c r="D21" s="4"/>
      <c r="E21" s="4"/>
      <c r="F21" s="16" t="s">
        <v>90</v>
      </c>
      <c r="G21" s="129">
        <f>$C$60</f>
        <v>0</v>
      </c>
      <c r="I21">
        <v>5</v>
      </c>
      <c r="J21" s="26">
        <f t="shared" si="25"/>
        <v>9991.08</v>
      </c>
      <c r="K21" s="24">
        <f t="shared" si="26"/>
        <v>1967.0789377955621</v>
      </c>
      <c r="L21" s="24">
        <f t="shared" si="13"/>
        <v>6365.9512550018198</v>
      </c>
      <c r="M21" s="24">
        <v>0</v>
      </c>
      <c r="N21" s="48"/>
      <c r="O21" s="32">
        <f t="shared" si="1"/>
        <v>10082.99055914864</v>
      </c>
      <c r="P21" s="32">
        <f t="shared" si="14"/>
        <v>6110.2521687560802</v>
      </c>
      <c r="Q21" s="32">
        <f t="shared" si="15"/>
        <v>3972.7383903925602</v>
      </c>
      <c r="R21" s="45">
        <f t="shared" si="20"/>
        <v>1462487.7821110666</v>
      </c>
      <c r="S21" s="31">
        <f t="shared" si="2"/>
        <v>-4452.2023615534627</v>
      </c>
      <c r="T21" s="32">
        <f t="shared" si="16"/>
        <v>0</v>
      </c>
      <c r="U21" s="32">
        <f t="shared" si="3"/>
        <v>-8424.9407519460219</v>
      </c>
      <c r="V21" s="32">
        <f t="shared" si="4"/>
        <v>2728.2648235722081</v>
      </c>
      <c r="W21" s="32">
        <f t="shared" si="5"/>
        <v>-4787.2543205164102</v>
      </c>
      <c r="X21" s="32">
        <f t="shared" si="27"/>
        <v>-4342.1807895840457</v>
      </c>
      <c r="Y21" s="102">
        <f t="shared" si="21"/>
        <v>-125678.1371145321</v>
      </c>
      <c r="Z21" s="32">
        <f t="shared" si="22"/>
        <v>-133863.5017132388</v>
      </c>
      <c r="AA21" s="45">
        <f t="shared" si="23"/>
        <v>-133863.50171323874</v>
      </c>
      <c r="AB21" s="1"/>
      <c r="AC21" s="40">
        <f t="shared" si="7"/>
        <v>1658.0498072026176</v>
      </c>
      <c r="AD21" s="40">
        <f t="shared" si="17"/>
        <v>0</v>
      </c>
      <c r="AE21" s="40">
        <f t="shared" si="8"/>
        <v>1658.0498072026176</v>
      </c>
      <c r="AF21" s="40">
        <f t="shared" si="9"/>
        <v>2728.2648235722081</v>
      </c>
      <c r="AG21" s="40">
        <f t="shared" si="10"/>
        <v>5295.7362386322293</v>
      </c>
      <c r="AH21" s="40">
        <f t="shared" si="28"/>
        <v>4803.3888785779855</v>
      </c>
      <c r="AI21" s="106">
        <f t="shared" si="24"/>
        <v>-1492544.4121553171</v>
      </c>
      <c r="AJ21" s="40">
        <f t="shared" si="18"/>
        <v>37547.337792288097</v>
      </c>
      <c r="AK21" s="108">
        <f t="shared" si="19"/>
        <v>-1490280.9634081488</v>
      </c>
      <c r="AM21" s="36">
        <f>SUM(AG185:AG196)</f>
        <v>35439.082401123836</v>
      </c>
      <c r="AN21" s="35">
        <f>SUM(W185:W196)</f>
        <v>-85556.804308659848</v>
      </c>
      <c r="AO21" s="95">
        <v>16</v>
      </c>
    </row>
    <row r="22" spans="2:41" ht="15" thickBot="1">
      <c r="B22" s="67" t="s">
        <v>5</v>
      </c>
      <c r="C22" s="113" t="s">
        <v>0</v>
      </c>
      <c r="G22" s="1"/>
      <c r="I22">
        <v>6</v>
      </c>
      <c r="J22" s="26">
        <f t="shared" si="25"/>
        <v>9991.08</v>
      </c>
      <c r="K22" s="24">
        <f t="shared" si="26"/>
        <v>1967.0789377955621</v>
      </c>
      <c r="L22" s="24">
        <f t="shared" si="13"/>
        <v>6365.9512550018198</v>
      </c>
      <c r="M22" s="24">
        <v>0</v>
      </c>
      <c r="N22" s="48"/>
      <c r="O22" s="32">
        <f t="shared" si="1"/>
        <v>10082.99055914864</v>
      </c>
      <c r="P22" s="32">
        <f t="shared" si="14"/>
        <v>6093.6990921294446</v>
      </c>
      <c r="Q22" s="32">
        <f t="shared" si="15"/>
        <v>3989.2914670191958</v>
      </c>
      <c r="R22" s="45">
        <f t="shared" si="20"/>
        <v>1458498.4906440475</v>
      </c>
      <c r="S22" s="31">
        <f t="shared" si="2"/>
        <v>-4435.649284926827</v>
      </c>
      <c r="T22" s="32">
        <f t="shared" si="16"/>
        <v>0</v>
      </c>
      <c r="U22" s="32">
        <f t="shared" si="3"/>
        <v>-8424.9407519460219</v>
      </c>
      <c r="V22" s="32">
        <f t="shared" si="4"/>
        <v>2728.2648235722081</v>
      </c>
      <c r="W22" s="32">
        <f t="shared" si="5"/>
        <v>-4787.2543205164102</v>
      </c>
      <c r="X22" s="32">
        <f t="shared" si="27"/>
        <v>-4342.1807895840457</v>
      </c>
      <c r="Y22" s="102">
        <f t="shared" si="21"/>
        <v>-130020.31790411615</v>
      </c>
      <c r="Z22" s="32">
        <f t="shared" si="22"/>
        <v>-138650.7560337552</v>
      </c>
      <c r="AA22" s="45">
        <f t="shared" si="23"/>
        <v>-138650.75603375514</v>
      </c>
      <c r="AB22" s="1"/>
      <c r="AC22" s="40">
        <f t="shared" si="7"/>
        <v>1658.0498072026176</v>
      </c>
      <c r="AD22" s="40">
        <f t="shared" si="17"/>
        <v>0</v>
      </c>
      <c r="AE22" s="40">
        <f t="shared" si="8"/>
        <v>1658.0498072026176</v>
      </c>
      <c r="AF22" s="40">
        <f t="shared" si="9"/>
        <v>2728.2648235722081</v>
      </c>
      <c r="AG22" s="40">
        <f t="shared" si="10"/>
        <v>5295.7362386322293</v>
      </c>
      <c r="AH22" s="40">
        <f t="shared" si="28"/>
        <v>4803.3888785779855</v>
      </c>
      <c r="AI22" s="106">
        <f t="shared" si="24"/>
        <v>-1487741.0232767391</v>
      </c>
      <c r="AJ22" s="40">
        <f t="shared" si="18"/>
        <v>42843.074030920325</v>
      </c>
      <c r="AK22" s="108">
        <f t="shared" si="19"/>
        <v>-1484985.2271695167</v>
      </c>
      <c r="AM22" s="36">
        <f>SUM(AG197:AG208)</f>
        <v>33656.507550254122</v>
      </c>
      <c r="AN22" s="35">
        <f>SUM(W197:W208)</f>
        <v>-87339.379159529577</v>
      </c>
      <c r="AO22" s="95">
        <v>17</v>
      </c>
    </row>
    <row r="23" spans="2:41">
      <c r="B23" s="68" t="s">
        <v>6</v>
      </c>
      <c r="C23" s="69">
        <v>30300</v>
      </c>
      <c r="G23" s="1"/>
      <c r="I23">
        <v>7</v>
      </c>
      <c r="J23" s="26">
        <f t="shared" si="25"/>
        <v>9991.08</v>
      </c>
      <c r="K23" s="24">
        <f t="shared" si="26"/>
        <v>1967.0789377955621</v>
      </c>
      <c r="L23" s="24">
        <f t="shared" si="13"/>
        <v>6365.9512550018198</v>
      </c>
      <c r="M23" s="24">
        <v>0</v>
      </c>
      <c r="N23" s="48"/>
      <c r="O23" s="32">
        <f t="shared" si="1"/>
        <v>10082.99055914864</v>
      </c>
      <c r="P23" s="32">
        <f t="shared" si="14"/>
        <v>6077.0770443501979</v>
      </c>
      <c r="Q23" s="32">
        <f t="shared" si="15"/>
        <v>4005.9135147984425</v>
      </c>
      <c r="R23" s="45">
        <f t="shared" si="20"/>
        <v>1454492.577129249</v>
      </c>
      <c r="S23" s="31">
        <f t="shared" si="2"/>
        <v>-4419.0272371475803</v>
      </c>
      <c r="T23" s="32">
        <f t="shared" si="16"/>
        <v>0</v>
      </c>
      <c r="U23" s="32">
        <f t="shared" si="3"/>
        <v>-8424.9407519460219</v>
      </c>
      <c r="V23" s="32">
        <f t="shared" si="4"/>
        <v>2728.2648235722081</v>
      </c>
      <c r="W23" s="32">
        <f t="shared" si="5"/>
        <v>-4787.2543205164102</v>
      </c>
      <c r="X23" s="32">
        <f t="shared" si="27"/>
        <v>-4342.1807895840457</v>
      </c>
      <c r="Y23" s="102">
        <f t="shared" si="21"/>
        <v>-134362.49869370018</v>
      </c>
      <c r="Z23" s="32">
        <f t="shared" si="22"/>
        <v>-143438.0103542716</v>
      </c>
      <c r="AA23" s="45">
        <f t="shared" si="23"/>
        <v>-143438.01035427154</v>
      </c>
      <c r="AB23" s="1"/>
      <c r="AC23" s="40">
        <f t="shared" si="7"/>
        <v>1658.0498072026176</v>
      </c>
      <c r="AD23" s="40">
        <f t="shared" si="17"/>
        <v>0</v>
      </c>
      <c r="AE23" s="40">
        <f t="shared" si="8"/>
        <v>1658.0498072026176</v>
      </c>
      <c r="AF23" s="40">
        <f t="shared" si="9"/>
        <v>2728.2648235722081</v>
      </c>
      <c r="AG23" s="40">
        <f t="shared" si="10"/>
        <v>5295.7362386322293</v>
      </c>
      <c r="AH23" s="40">
        <f t="shared" si="28"/>
        <v>4803.3888785779855</v>
      </c>
      <c r="AI23" s="106">
        <f t="shared" si="24"/>
        <v>-1482937.634398161</v>
      </c>
      <c r="AJ23" s="40">
        <f t="shared" si="18"/>
        <v>48138.810269552552</v>
      </c>
      <c r="AK23" s="108">
        <f t="shared" si="19"/>
        <v>-1479689.4909308846</v>
      </c>
      <c r="AM23" s="36">
        <f>SUM(AG209:AG220)</f>
        <v>31848.912927087353</v>
      </c>
      <c r="AN23" s="35">
        <f>SUM(W209:W220)</f>
        <v>-89146.973782696325</v>
      </c>
      <c r="AO23" s="95">
        <v>18</v>
      </c>
    </row>
    <row r="24" spans="2:41">
      <c r="B24" s="70" t="s">
        <v>7</v>
      </c>
      <c r="C24" s="71">
        <v>47100</v>
      </c>
      <c r="G24" s="1"/>
      <c r="I24">
        <v>8</v>
      </c>
      <c r="J24" s="26">
        <f t="shared" si="25"/>
        <v>9388.17</v>
      </c>
      <c r="K24" s="24">
        <f t="shared" si="26"/>
        <v>1967.0789377955621</v>
      </c>
      <c r="L24" s="24">
        <f t="shared" si="13"/>
        <v>6365.9512550018198</v>
      </c>
      <c r="M24" s="24">
        <v>0</v>
      </c>
      <c r="N24" s="48"/>
      <c r="O24" s="32">
        <f t="shared" si="1"/>
        <v>10082.99055914864</v>
      </c>
      <c r="P24" s="32">
        <f t="shared" si="14"/>
        <v>6060.3857380385371</v>
      </c>
      <c r="Q24" s="32">
        <f t="shared" si="15"/>
        <v>4022.6048211101033</v>
      </c>
      <c r="R24" s="45">
        <f t="shared" si="20"/>
        <v>1450469.9723081389</v>
      </c>
      <c r="S24" s="31">
        <f t="shared" si="2"/>
        <v>-5005.2459308359194</v>
      </c>
      <c r="T24" s="32">
        <f t="shared" si="16"/>
        <v>0</v>
      </c>
      <c r="U24" s="32">
        <f t="shared" si="3"/>
        <v>-9027.8507519460218</v>
      </c>
      <c r="V24" s="32">
        <f t="shared" si="4"/>
        <v>2728.2648235722081</v>
      </c>
      <c r="W24" s="32">
        <f t="shared" si="5"/>
        <v>-5390.16432051641</v>
      </c>
      <c r="X24" s="32">
        <f t="shared" si="27"/>
        <v>-4889.0379324411879</v>
      </c>
      <c r="Y24" s="102">
        <f t="shared" si="21"/>
        <v>-139251.53662614137</v>
      </c>
      <c r="Z24" s="32">
        <f t="shared" si="22"/>
        <v>-148828.174674788</v>
      </c>
      <c r="AA24" s="45">
        <f t="shared" si="23"/>
        <v>-148828.17467478794</v>
      </c>
      <c r="AB24" s="1"/>
      <c r="AC24" s="40">
        <f t="shared" si="7"/>
        <v>1055.1398072026177</v>
      </c>
      <c r="AD24" s="40">
        <f t="shared" si="17"/>
        <v>0</v>
      </c>
      <c r="AE24" s="40">
        <f t="shared" si="8"/>
        <v>1055.1398072026177</v>
      </c>
      <c r="AF24" s="40">
        <f t="shared" si="9"/>
        <v>2728.2648235722081</v>
      </c>
      <c r="AG24" s="40">
        <f t="shared" si="10"/>
        <v>4692.8262386322294</v>
      </c>
      <c r="AH24" s="40">
        <f t="shared" si="28"/>
        <v>4256.5317357208432</v>
      </c>
      <c r="AI24" s="106">
        <f t="shared" si="24"/>
        <v>-1478681.1026624402</v>
      </c>
      <c r="AJ24" s="40">
        <f t="shared" si="18"/>
        <v>52831.636508184783</v>
      </c>
      <c r="AK24" s="108">
        <f t="shared" si="19"/>
        <v>-1474996.6646922524</v>
      </c>
      <c r="AM24" s="36">
        <f>SUM(AG221:AG232)</f>
        <v>30015.263363722326</v>
      </c>
      <c r="AN24" s="35">
        <f>SUM(W221:W232)</f>
        <v>-90980.623346061373</v>
      </c>
      <c r="AO24" s="95">
        <v>19</v>
      </c>
    </row>
    <row r="25" spans="2:41" ht="15" thickBot="1">
      <c r="B25" s="70" t="s">
        <v>8</v>
      </c>
      <c r="C25" s="71">
        <v>87900</v>
      </c>
      <c r="G25" s="1"/>
      <c r="I25">
        <v>9</v>
      </c>
      <c r="J25" s="26">
        <f t="shared" si="25"/>
        <v>7743.0869999999995</v>
      </c>
      <c r="K25" s="24">
        <f t="shared" si="26"/>
        <v>1967.0789377955621</v>
      </c>
      <c r="L25" s="24">
        <f t="shared" si="13"/>
        <v>6365.9512550018198</v>
      </c>
      <c r="M25" s="24">
        <v>0</v>
      </c>
      <c r="N25" s="48"/>
      <c r="O25" s="32">
        <f t="shared" si="1"/>
        <v>10082.99055914864</v>
      </c>
      <c r="P25" s="32">
        <f t="shared" si="14"/>
        <v>6043.6248846172448</v>
      </c>
      <c r="Q25" s="32">
        <f t="shared" si="15"/>
        <v>4039.3656745313956</v>
      </c>
      <c r="R25" s="45">
        <f t="shared" si="20"/>
        <v>1446430.6066336075</v>
      </c>
      <c r="S25" s="31">
        <f t="shared" si="2"/>
        <v>-6633.5680774146276</v>
      </c>
      <c r="T25" s="32">
        <f t="shared" si="16"/>
        <v>0</v>
      </c>
      <c r="U25" s="32">
        <f t="shared" si="3"/>
        <v>-10672.933751946024</v>
      </c>
      <c r="V25" s="32">
        <f t="shared" si="4"/>
        <v>2728.2648235722081</v>
      </c>
      <c r="W25" s="32">
        <f t="shared" si="5"/>
        <v>-7035.2473205164124</v>
      </c>
      <c r="X25" s="32">
        <f t="shared" si="27"/>
        <v>-6381.1767079513938</v>
      </c>
      <c r="Y25" s="102">
        <f t="shared" si="21"/>
        <v>-145632.71333409275</v>
      </c>
      <c r="Z25" s="32">
        <f t="shared" si="22"/>
        <v>-155863.42199530441</v>
      </c>
      <c r="AA25" s="45">
        <f t="shared" si="23"/>
        <v>-155863.42199530435</v>
      </c>
      <c r="AB25" s="1"/>
      <c r="AC25" s="40">
        <f t="shared" si="7"/>
        <v>-589.94319279738284</v>
      </c>
      <c r="AD25" s="40">
        <f t="shared" si="17"/>
        <v>0</v>
      </c>
      <c r="AE25" s="40">
        <f t="shared" si="8"/>
        <v>-589.94319279738284</v>
      </c>
      <c r="AF25" s="40">
        <f t="shared" si="9"/>
        <v>2728.2648235722081</v>
      </c>
      <c r="AG25" s="40">
        <f t="shared" si="10"/>
        <v>3047.7432386322289</v>
      </c>
      <c r="AH25" s="40">
        <f t="shared" si="28"/>
        <v>2764.3929602106382</v>
      </c>
      <c r="AI25" s="106">
        <f t="shared" si="24"/>
        <v>-1475916.7097022296</v>
      </c>
      <c r="AJ25" s="40">
        <f t="shared" si="18"/>
        <v>55879.379746817009</v>
      </c>
      <c r="AK25" s="108">
        <f t="shared" si="19"/>
        <v>-1471948.9214536201</v>
      </c>
      <c r="AM25" s="37">
        <f>SUM(AG233:AG244)</f>
        <v>28139.495482968126</v>
      </c>
      <c r="AN25" s="38">
        <f>SUM(W233:W244)</f>
        <v>-92856.391226815569</v>
      </c>
      <c r="AO25" s="112">
        <v>20</v>
      </c>
    </row>
    <row r="26" spans="2:41">
      <c r="B26" s="70" t="s">
        <v>9</v>
      </c>
      <c r="C26" s="71">
        <v>113000</v>
      </c>
      <c r="G26" s="1"/>
      <c r="I26">
        <v>10</v>
      </c>
      <c r="J26" s="26">
        <f t="shared" si="25"/>
        <v>5632.902</v>
      </c>
      <c r="K26" s="24">
        <f t="shared" si="26"/>
        <v>1967.0789377955621</v>
      </c>
      <c r="L26" s="24">
        <f t="shared" si="13"/>
        <v>6365.9512550018198</v>
      </c>
      <c r="M26" s="24">
        <v>0</v>
      </c>
      <c r="N26" s="48"/>
      <c r="O26" s="32">
        <f t="shared" si="1"/>
        <v>10082.99055914864</v>
      </c>
      <c r="P26" s="32">
        <f t="shared" si="14"/>
        <v>6026.794194306698</v>
      </c>
      <c r="Q26" s="32">
        <f t="shared" si="15"/>
        <v>4056.1963648419423</v>
      </c>
      <c r="R26" s="45">
        <f t="shared" si="20"/>
        <v>1442374.4102687656</v>
      </c>
      <c r="S26" s="31">
        <f t="shared" si="2"/>
        <v>-8726.9223871040795</v>
      </c>
      <c r="T26" s="32">
        <f t="shared" si="16"/>
        <v>0</v>
      </c>
      <c r="U26" s="32">
        <f t="shared" si="3"/>
        <v>-12783.118751946022</v>
      </c>
      <c r="V26" s="32">
        <f t="shared" si="4"/>
        <v>2728.2648235722081</v>
      </c>
      <c r="W26" s="32">
        <f t="shared" si="5"/>
        <v>-9145.432320516411</v>
      </c>
      <c r="X26" s="32">
        <f t="shared" si="27"/>
        <v>-8295.176707951392</v>
      </c>
      <c r="Y26" s="102">
        <f t="shared" si="21"/>
        <v>-153927.89004204414</v>
      </c>
      <c r="Z26" s="32">
        <f t="shared" si="22"/>
        <v>-165008.85431582082</v>
      </c>
      <c r="AA26" s="45">
        <f t="shared" si="23"/>
        <v>-165008.85431582076</v>
      </c>
      <c r="AB26" s="1"/>
      <c r="AC26" s="40">
        <f t="shared" si="7"/>
        <v>-2700.1281927973819</v>
      </c>
      <c r="AD26" s="40">
        <f t="shared" si="17"/>
        <v>0</v>
      </c>
      <c r="AE26" s="40">
        <f t="shared" si="8"/>
        <v>-2700.1281927973819</v>
      </c>
      <c r="AF26" s="40">
        <f t="shared" si="9"/>
        <v>2728.2648235722081</v>
      </c>
      <c r="AG26" s="40">
        <f t="shared" si="10"/>
        <v>937.55823863223031</v>
      </c>
      <c r="AH26" s="40">
        <f t="shared" si="28"/>
        <v>850.39296021063967</v>
      </c>
      <c r="AI26" s="106">
        <f t="shared" si="24"/>
        <v>-1475066.316742019</v>
      </c>
      <c r="AJ26" s="40">
        <f t="shared" si="18"/>
        <v>56816.937985449236</v>
      </c>
      <c r="AK26" s="108">
        <f t="shared" si="19"/>
        <v>-1471011.3632149878</v>
      </c>
    </row>
    <row r="27" spans="2:41">
      <c r="B27" s="70" t="s">
        <v>10</v>
      </c>
      <c r="C27" s="71">
        <v>116000</v>
      </c>
      <c r="G27" s="1"/>
      <c r="I27">
        <v>11</v>
      </c>
      <c r="J27" s="26">
        <f t="shared" si="25"/>
        <v>2954.259</v>
      </c>
      <c r="K27" s="24">
        <f t="shared" si="26"/>
        <v>1967.0789377955621</v>
      </c>
      <c r="L27" s="24">
        <f t="shared" si="13"/>
        <v>6365.9512550018198</v>
      </c>
      <c r="M27" s="24">
        <v>0</v>
      </c>
      <c r="N27" s="48"/>
      <c r="O27" s="32">
        <f t="shared" si="1"/>
        <v>10082.99055914864</v>
      </c>
      <c r="P27" s="32">
        <f t="shared" si="14"/>
        <v>6009.8933761198568</v>
      </c>
      <c r="Q27" s="32">
        <f t="shared" si="15"/>
        <v>4073.0971830287835</v>
      </c>
      <c r="R27" s="45">
        <f t="shared" si="20"/>
        <v>1438301.3130857369</v>
      </c>
      <c r="S27" s="31">
        <f t="shared" si="2"/>
        <v>-11388.664568917238</v>
      </c>
      <c r="T27" s="32">
        <f t="shared" si="16"/>
        <v>0</v>
      </c>
      <c r="U27" s="32">
        <f t="shared" si="3"/>
        <v>-15461.761751946022</v>
      </c>
      <c r="V27" s="32">
        <f t="shared" si="4"/>
        <v>2728.2648235722081</v>
      </c>
      <c r="W27" s="32">
        <f t="shared" si="5"/>
        <v>-11824.075320516411</v>
      </c>
      <c r="X27" s="32">
        <f t="shared" si="27"/>
        <v>-10724.7848712167</v>
      </c>
      <c r="Y27" s="102">
        <f t="shared" si="21"/>
        <v>-164652.67491326082</v>
      </c>
      <c r="Z27" s="32">
        <f t="shared" si="22"/>
        <v>-176832.92963633724</v>
      </c>
      <c r="AA27" s="45">
        <f t="shared" si="23"/>
        <v>-176832.92963633718</v>
      </c>
      <c r="AB27" s="1"/>
      <c r="AC27" s="40">
        <f t="shared" si="7"/>
        <v>-5378.7711927973814</v>
      </c>
      <c r="AD27" s="40">
        <f t="shared" si="17"/>
        <v>0</v>
      </c>
      <c r="AE27" s="40">
        <f t="shared" si="8"/>
        <v>-5378.7711927973814</v>
      </c>
      <c r="AF27" s="40">
        <f t="shared" si="9"/>
        <v>2728.2648235722081</v>
      </c>
      <c r="AG27" s="40">
        <f t="shared" si="10"/>
        <v>-1741.0847613677697</v>
      </c>
      <c r="AH27" s="40">
        <f t="shared" si="28"/>
        <v>-1579.2152030546663</v>
      </c>
      <c r="AI27" s="106">
        <f t="shared" si="24"/>
        <v>-1476645.5319450737</v>
      </c>
      <c r="AJ27" s="40">
        <f t="shared" si="18"/>
        <v>55075.853224081467</v>
      </c>
      <c r="AK27" s="108">
        <f t="shared" si="19"/>
        <v>-1472752.4479763557</v>
      </c>
    </row>
    <row r="28" spans="2:41">
      <c r="B28" s="70" t="s">
        <v>11</v>
      </c>
      <c r="C28" s="71">
        <v>116000</v>
      </c>
      <c r="G28" s="1"/>
      <c r="I28">
        <v>12</v>
      </c>
      <c r="J28" s="26">
        <f t="shared" si="25"/>
        <v>2230.7669999999998</v>
      </c>
      <c r="K28" s="24">
        <f t="shared" si="26"/>
        <v>1967.0789377955621</v>
      </c>
      <c r="L28" s="24">
        <f t="shared" si="13"/>
        <v>6365.9512550018198</v>
      </c>
      <c r="M28" s="24">
        <v>0</v>
      </c>
      <c r="N28" s="48"/>
      <c r="O28" s="32">
        <f t="shared" si="1"/>
        <v>10082.99055914864</v>
      </c>
      <c r="P28" s="32">
        <f t="shared" si="14"/>
        <v>5992.9221378572374</v>
      </c>
      <c r="Q28" s="32">
        <f t="shared" si="15"/>
        <v>4090.068421291403</v>
      </c>
      <c r="R28" s="45">
        <f t="shared" si="20"/>
        <v>1434211.2446644455</v>
      </c>
      <c r="S28" s="31">
        <f t="shared" si="2"/>
        <v>-12095.185330654618</v>
      </c>
      <c r="T28" s="32">
        <f t="shared" si="16"/>
        <v>0</v>
      </c>
      <c r="U28" s="32">
        <f t="shared" si="3"/>
        <v>-16185.253751946022</v>
      </c>
      <c r="V28" s="32">
        <f t="shared" si="4"/>
        <v>2728.2648235722081</v>
      </c>
      <c r="W28" s="32">
        <f t="shared" si="5"/>
        <v>-12547.567320516413</v>
      </c>
      <c r="X28" s="32">
        <f t="shared" si="27"/>
        <v>-11381.013442645271</v>
      </c>
      <c r="Y28" s="102">
        <f t="shared" si="21"/>
        <v>-176033.68835590611</v>
      </c>
      <c r="Z28" s="32">
        <f t="shared" si="22"/>
        <v>-189380.49695685366</v>
      </c>
      <c r="AA28" s="45">
        <f t="shared" si="23"/>
        <v>-189380.4969568536</v>
      </c>
      <c r="AB28" s="1"/>
      <c r="AC28" s="40">
        <f t="shared" si="7"/>
        <v>-6102.2631927973816</v>
      </c>
      <c r="AD28" s="40">
        <f t="shared" si="17"/>
        <v>0</v>
      </c>
      <c r="AE28" s="40">
        <f t="shared" si="8"/>
        <v>-6102.2631927973816</v>
      </c>
      <c r="AF28" s="40">
        <f t="shared" si="9"/>
        <v>2728.2648235722081</v>
      </c>
      <c r="AG28" s="40">
        <f t="shared" si="10"/>
        <v>-2464.5767613677699</v>
      </c>
      <c r="AH28" s="40">
        <f t="shared" si="28"/>
        <v>-2235.443774483238</v>
      </c>
      <c r="AI28" s="106">
        <f t="shared" si="24"/>
        <v>-1478880.9757195569</v>
      </c>
      <c r="AJ28" s="40">
        <f t="shared" si="18"/>
        <v>52611.2764627137</v>
      </c>
      <c r="AK28" s="108">
        <f t="shared" si="19"/>
        <v>-1475217.0247377234</v>
      </c>
    </row>
    <row r="29" spans="2:41">
      <c r="B29" s="70" t="s">
        <v>12</v>
      </c>
      <c r="C29" s="71">
        <v>116000</v>
      </c>
      <c r="F29" s="132" t="s">
        <v>88</v>
      </c>
      <c r="G29" s="1">
        <f>SUM(S29:S40)</f>
        <v>-90196.302722200286</v>
      </c>
      <c r="H29">
        <v>2017</v>
      </c>
      <c r="I29">
        <v>1</v>
      </c>
      <c r="J29" s="26">
        <f t="shared" ref="J29:J40" si="29">C23*$C$40*$D$40</f>
        <v>2583.6416099999997</v>
      </c>
      <c r="K29" s="24">
        <f t="shared" ref="K29:K40" si="30">$K$28*$C$8</f>
        <v>2026.0913059294289</v>
      </c>
      <c r="L29" s="24">
        <f t="shared" si="13"/>
        <v>6365.9512550018198</v>
      </c>
      <c r="M29" s="24">
        <v>0</v>
      </c>
      <c r="N29" s="48"/>
      <c r="O29" s="32">
        <f t="shared" si="1"/>
        <v>10082.99055914864</v>
      </c>
      <c r="P29" s="32">
        <f t="shared" si="14"/>
        <v>5975.8801861018565</v>
      </c>
      <c r="Q29" s="32">
        <f t="shared" si="15"/>
        <v>4107.1103730467839</v>
      </c>
      <c r="R29" s="45">
        <f t="shared" si="20"/>
        <v>1430104.1342913988</v>
      </c>
      <c r="S29" s="31">
        <f t="shared" si="2"/>
        <v>-11784.281137033106</v>
      </c>
      <c r="T29" s="32">
        <f t="shared" si="16"/>
        <v>0</v>
      </c>
      <c r="U29" s="32">
        <f t="shared" si="3"/>
        <v>-15891.391510079889</v>
      </c>
      <c r="V29" s="32">
        <f t="shared" si="4"/>
        <v>2728.2648235722081</v>
      </c>
      <c r="W29" s="32">
        <f t="shared" si="5"/>
        <v>-12253.70507865028</v>
      </c>
      <c r="X29" s="32">
        <f t="shared" ref="X29:X40" si="31">W29/(1+$C$18)^3</f>
        <v>-10585.211168254209</v>
      </c>
      <c r="Y29" s="102">
        <f t="shared" si="21"/>
        <v>-186618.89952416031</v>
      </c>
      <c r="Z29" s="32">
        <f t="shared" si="22"/>
        <v>-201634.20203550393</v>
      </c>
      <c r="AA29" s="45">
        <f t="shared" si="23"/>
        <v>-201634.20203550387</v>
      </c>
      <c r="AB29" s="1"/>
      <c r="AC29" s="40">
        <f t="shared" si="7"/>
        <v>-5808.4009509312491</v>
      </c>
      <c r="AD29" s="40">
        <f t="shared" si="17"/>
        <v>0</v>
      </c>
      <c r="AE29" s="40">
        <f t="shared" si="8"/>
        <v>-5808.4009509312491</v>
      </c>
      <c r="AF29" s="40">
        <f t="shared" si="9"/>
        <v>2728.2648235722081</v>
      </c>
      <c r="AG29" s="40">
        <f t="shared" si="10"/>
        <v>-2170.7145195016374</v>
      </c>
      <c r="AH29" s="40">
        <f t="shared" ref="AH29:AH40" si="32">AG29/(1+$C$18)^3</f>
        <v>-1875.1448176237013</v>
      </c>
      <c r="AI29" s="106">
        <f t="shared" si="24"/>
        <v>-1480756.1205371807</v>
      </c>
      <c r="AJ29" s="40">
        <f t="shared" si="18"/>
        <v>50440.561943212066</v>
      </c>
      <c r="AK29" s="108">
        <f t="shared" si="19"/>
        <v>-1477387.7392572251</v>
      </c>
    </row>
    <row r="30" spans="2:41">
      <c r="B30" s="70" t="s">
        <v>13</v>
      </c>
      <c r="C30" s="71">
        <v>109000</v>
      </c>
      <c r="F30" s="17" t="s">
        <v>31</v>
      </c>
      <c r="G30">
        <v>3</v>
      </c>
      <c r="I30">
        <v>2</v>
      </c>
      <c r="J30" s="26">
        <f t="shared" si="29"/>
        <v>4016.1557699999998</v>
      </c>
      <c r="K30" s="24">
        <f t="shared" si="30"/>
        <v>2026.0913059294289</v>
      </c>
      <c r="L30" s="24">
        <f t="shared" si="13"/>
        <v>6365.9512550018198</v>
      </c>
      <c r="M30" s="24">
        <v>0</v>
      </c>
      <c r="N30" s="48"/>
      <c r="O30" s="32">
        <f t="shared" si="1"/>
        <v>10082.99055914864</v>
      </c>
      <c r="P30" s="32">
        <f t="shared" si="14"/>
        <v>5958.7672262141614</v>
      </c>
      <c r="Q30" s="32">
        <f t="shared" si="15"/>
        <v>4124.223332934479</v>
      </c>
      <c r="R30" s="45">
        <f t="shared" si="20"/>
        <v>1425979.9109584643</v>
      </c>
      <c r="S30" s="31">
        <f t="shared" si="2"/>
        <v>-10334.654017145411</v>
      </c>
      <c r="T30" s="32">
        <f t="shared" si="16"/>
        <v>0</v>
      </c>
      <c r="U30" s="32">
        <f t="shared" si="3"/>
        <v>-14458.877350079889</v>
      </c>
      <c r="V30" s="32">
        <f t="shared" si="4"/>
        <v>2728.2648235722081</v>
      </c>
      <c r="W30" s="32">
        <f t="shared" si="5"/>
        <v>-10821.190918650278</v>
      </c>
      <c r="X30" s="32">
        <f t="shared" si="31"/>
        <v>-9347.7515764174732</v>
      </c>
      <c r="Y30" s="102">
        <f t="shared" si="21"/>
        <v>-195966.65110057779</v>
      </c>
      <c r="Z30" s="32">
        <f t="shared" si="22"/>
        <v>-212455.3929541542</v>
      </c>
      <c r="AA30" s="45">
        <f t="shared" si="23"/>
        <v>-212455.39295415414</v>
      </c>
      <c r="AB30" s="1"/>
      <c r="AC30" s="40">
        <f t="shared" si="7"/>
        <v>-4375.8867909312485</v>
      </c>
      <c r="AD30" s="40">
        <f t="shared" si="17"/>
        <v>0</v>
      </c>
      <c r="AE30" s="40">
        <f t="shared" si="8"/>
        <v>-4375.8867909312485</v>
      </c>
      <c r="AF30" s="40">
        <f t="shared" si="9"/>
        <v>2728.2648235722081</v>
      </c>
      <c r="AG30" s="40">
        <f t="shared" si="10"/>
        <v>-738.20035950163674</v>
      </c>
      <c r="AH30" s="40">
        <f t="shared" si="32"/>
        <v>-637.68522578696616</v>
      </c>
      <c r="AI30" s="106">
        <f t="shared" si="24"/>
        <v>-1481393.8057629676</v>
      </c>
      <c r="AJ30" s="40">
        <f t="shared" si="18"/>
        <v>49702.36158371043</v>
      </c>
      <c r="AK30" s="108">
        <f t="shared" si="19"/>
        <v>-1478125.9396167267</v>
      </c>
    </row>
    <row r="31" spans="2:41">
      <c r="B31" s="70" t="s">
        <v>14</v>
      </c>
      <c r="C31" s="71">
        <v>89900</v>
      </c>
      <c r="D31" s="12"/>
      <c r="E31" s="12"/>
      <c r="F31" s="13" t="s">
        <v>30</v>
      </c>
      <c r="G31" s="16">
        <f>G19+G29</f>
        <v>-273264.21749737352</v>
      </c>
      <c r="I31">
        <v>3</v>
      </c>
      <c r="J31" s="26">
        <f t="shared" si="29"/>
        <v>7495.1187299999992</v>
      </c>
      <c r="K31" s="24">
        <f t="shared" si="30"/>
        <v>2026.0913059294289</v>
      </c>
      <c r="L31" s="24">
        <f t="shared" si="13"/>
        <v>6365.9512550018198</v>
      </c>
      <c r="M31" s="24">
        <v>0</v>
      </c>
      <c r="N31" s="48"/>
      <c r="O31" s="32">
        <f t="shared" si="1"/>
        <v>10082.99055914864</v>
      </c>
      <c r="P31" s="32">
        <f t="shared" si="14"/>
        <v>5941.5829623269346</v>
      </c>
      <c r="Q31" s="32">
        <f t="shared" si="15"/>
        <v>4141.4075968217057</v>
      </c>
      <c r="R31" s="45">
        <f t="shared" si="20"/>
        <v>1421838.5033616426</v>
      </c>
      <c r="S31" s="31">
        <f t="shared" si="2"/>
        <v>-6838.5067932581842</v>
      </c>
      <c r="T31" s="32">
        <f t="shared" si="16"/>
        <v>0</v>
      </c>
      <c r="U31" s="32">
        <f t="shared" si="3"/>
        <v>-10979.91439007989</v>
      </c>
      <c r="V31" s="32">
        <f t="shared" si="4"/>
        <v>2728.2648235722081</v>
      </c>
      <c r="W31" s="32">
        <f t="shared" si="5"/>
        <v>-7342.2279586502782</v>
      </c>
      <c r="X31" s="32">
        <f t="shared" si="31"/>
        <v>-6342.4925676711173</v>
      </c>
      <c r="Y31" s="102">
        <f t="shared" si="21"/>
        <v>-202309.1436682489</v>
      </c>
      <c r="Z31" s="32">
        <f t="shared" si="22"/>
        <v>-219797.62091280447</v>
      </c>
      <c r="AA31" s="45">
        <f t="shared" si="23"/>
        <v>-219797.62091280441</v>
      </c>
      <c r="AB31" s="1"/>
      <c r="AC31" s="40">
        <f t="shared" si="7"/>
        <v>-896.92383093124954</v>
      </c>
      <c r="AD31" s="40">
        <f t="shared" si="17"/>
        <v>0</v>
      </c>
      <c r="AE31" s="40">
        <f t="shared" si="8"/>
        <v>-896.92383093124954</v>
      </c>
      <c r="AF31" s="40">
        <f t="shared" si="9"/>
        <v>2728.2648235722081</v>
      </c>
      <c r="AG31" s="40">
        <f t="shared" si="10"/>
        <v>2740.7626004983622</v>
      </c>
      <c r="AH31" s="40">
        <f t="shared" si="32"/>
        <v>2367.5737829593882</v>
      </c>
      <c r="AI31" s="106">
        <f t="shared" si="24"/>
        <v>-1479026.2319800081</v>
      </c>
      <c r="AJ31" s="40">
        <f t="shared" si="18"/>
        <v>52443.124184208791</v>
      </c>
      <c r="AK31" s="108">
        <f t="shared" si="19"/>
        <v>-1475385.1770162284</v>
      </c>
    </row>
    <row r="32" spans="2:41">
      <c r="B32" s="70" t="s">
        <v>15</v>
      </c>
      <c r="C32" s="71">
        <v>65400</v>
      </c>
      <c r="F32" s="18" t="s">
        <v>39</v>
      </c>
      <c r="G32" s="1">
        <v>0</v>
      </c>
      <c r="I32">
        <v>4</v>
      </c>
      <c r="J32" s="26">
        <f t="shared" si="29"/>
        <v>9635.3631000000005</v>
      </c>
      <c r="K32" s="24">
        <f t="shared" si="30"/>
        <v>2026.0913059294289</v>
      </c>
      <c r="L32" s="24">
        <f t="shared" si="13"/>
        <v>6365.9512550018198</v>
      </c>
      <c r="M32" s="24">
        <v>0</v>
      </c>
      <c r="N32" s="48"/>
      <c r="O32" s="32">
        <f t="shared" si="1"/>
        <v>10082.99055914864</v>
      </c>
      <c r="P32" s="32">
        <f t="shared" si="14"/>
        <v>5924.3270973401777</v>
      </c>
      <c r="Q32" s="32">
        <f t="shared" si="15"/>
        <v>4158.6634618084627</v>
      </c>
      <c r="R32" s="45">
        <f t="shared" si="20"/>
        <v>1417679.8398998342</v>
      </c>
      <c r="S32" s="31">
        <f t="shared" si="2"/>
        <v>-4681.006558271426</v>
      </c>
      <c r="T32" s="32">
        <f t="shared" si="16"/>
        <v>0</v>
      </c>
      <c r="U32" s="32">
        <f t="shared" si="3"/>
        <v>-8839.6700200798878</v>
      </c>
      <c r="V32" s="32">
        <f t="shared" si="4"/>
        <v>2728.2648235722081</v>
      </c>
      <c r="W32" s="32">
        <f t="shared" si="5"/>
        <v>-5201.983588650276</v>
      </c>
      <c r="X32" s="32">
        <f t="shared" si="31"/>
        <v>-4493.6690108198036</v>
      </c>
      <c r="Y32" s="102">
        <f t="shared" si="21"/>
        <v>-206802.81267906871</v>
      </c>
      <c r="Z32" s="32">
        <f t="shared" si="22"/>
        <v>-224999.60450145474</v>
      </c>
      <c r="AA32" s="45">
        <f t="shared" si="23"/>
        <v>-224999.60450145468</v>
      </c>
      <c r="AB32" s="1"/>
      <c r="AC32" s="40">
        <f t="shared" si="7"/>
        <v>1243.3205390687517</v>
      </c>
      <c r="AD32" s="40">
        <f t="shared" si="17"/>
        <v>0</v>
      </c>
      <c r="AE32" s="40">
        <f t="shared" si="8"/>
        <v>1243.3205390687517</v>
      </c>
      <c r="AF32" s="40">
        <f t="shared" si="9"/>
        <v>2728.2648235722081</v>
      </c>
      <c r="AG32" s="40">
        <f t="shared" si="10"/>
        <v>4881.0069704983634</v>
      </c>
      <c r="AH32" s="40">
        <f t="shared" si="32"/>
        <v>4216.3973398107009</v>
      </c>
      <c r="AI32" s="106">
        <f t="shared" si="24"/>
        <v>-1474809.8346401975</v>
      </c>
      <c r="AJ32" s="40">
        <f t="shared" si="18"/>
        <v>57324.131154707153</v>
      </c>
      <c r="AK32" s="108">
        <f t="shared" si="19"/>
        <v>-1470504.17004573</v>
      </c>
    </row>
    <row r="33" spans="2:37">
      <c r="B33" s="70" t="s">
        <v>16</v>
      </c>
      <c r="C33" s="71">
        <v>34300</v>
      </c>
      <c r="F33" s="16" t="s">
        <v>90</v>
      </c>
      <c r="G33" s="129">
        <f>$C$60</f>
        <v>0</v>
      </c>
      <c r="I33">
        <v>5</v>
      </c>
      <c r="J33" s="26">
        <f t="shared" si="29"/>
        <v>9891.1691999999985</v>
      </c>
      <c r="K33" s="24">
        <f t="shared" si="30"/>
        <v>2026.0913059294289</v>
      </c>
      <c r="L33" s="24">
        <f t="shared" si="13"/>
        <v>6365.9512550018198</v>
      </c>
      <c r="M33" s="24">
        <v>0</v>
      </c>
      <c r="N33" s="48"/>
      <c r="O33" s="32">
        <f t="shared" si="1"/>
        <v>10082.99055914864</v>
      </c>
      <c r="P33" s="32">
        <f t="shared" si="14"/>
        <v>5906.9993329159761</v>
      </c>
      <c r="Q33" s="32">
        <f t="shared" si="15"/>
        <v>4175.9912262326643</v>
      </c>
      <c r="R33" s="45">
        <f t="shared" si="20"/>
        <v>1413503.8486736016</v>
      </c>
      <c r="S33" s="31">
        <f t="shared" si="2"/>
        <v>-4407.8726938472264</v>
      </c>
      <c r="T33" s="32">
        <f t="shared" si="16"/>
        <v>0</v>
      </c>
      <c r="U33" s="32">
        <f t="shared" si="3"/>
        <v>-8583.8639200798898</v>
      </c>
      <c r="V33" s="32">
        <f t="shared" si="4"/>
        <v>2728.2648235722081</v>
      </c>
      <c r="W33" s="32">
        <f t="shared" si="5"/>
        <v>-4946.1774886502781</v>
      </c>
      <c r="X33" s="32">
        <f t="shared" si="31"/>
        <v>-4272.6940837061029</v>
      </c>
      <c r="Y33" s="102">
        <f t="shared" si="21"/>
        <v>-211075.50676277481</v>
      </c>
      <c r="Z33" s="32">
        <f t="shared" si="22"/>
        <v>-229945.78199010502</v>
      </c>
      <c r="AA33" s="45">
        <f t="shared" si="23"/>
        <v>-229945.78199010497</v>
      </c>
      <c r="AB33" s="1"/>
      <c r="AC33" s="40">
        <f t="shared" si="7"/>
        <v>1499.1266390687497</v>
      </c>
      <c r="AD33" s="40">
        <f t="shared" si="17"/>
        <v>0</v>
      </c>
      <c r="AE33" s="40">
        <f t="shared" si="8"/>
        <v>1499.1266390687497</v>
      </c>
      <c r="AF33" s="40">
        <f t="shared" si="9"/>
        <v>2728.2648235722081</v>
      </c>
      <c r="AG33" s="40">
        <f t="shared" si="10"/>
        <v>5136.8130704983614</v>
      </c>
      <c r="AH33" s="40">
        <f t="shared" si="32"/>
        <v>4437.3722669244016</v>
      </c>
      <c r="AI33" s="106">
        <f t="shared" si="24"/>
        <v>-1470372.462373273</v>
      </c>
      <c r="AJ33" s="40">
        <f t="shared" si="18"/>
        <v>62460.944225205516</v>
      </c>
      <c r="AK33" s="108">
        <f t="shared" si="19"/>
        <v>-1465367.3569752316</v>
      </c>
    </row>
    <row r="34" spans="2:37" ht="15" thickBot="1">
      <c r="B34" s="72" t="s">
        <v>17</v>
      </c>
      <c r="C34" s="73">
        <v>25900</v>
      </c>
      <c r="G34" s="1"/>
      <c r="I34">
        <v>6</v>
      </c>
      <c r="J34" s="26">
        <f t="shared" si="29"/>
        <v>9891.1691999999985</v>
      </c>
      <c r="K34" s="24">
        <f t="shared" si="30"/>
        <v>2026.0913059294289</v>
      </c>
      <c r="L34" s="24">
        <f t="shared" si="13"/>
        <v>6365.9512550018198</v>
      </c>
      <c r="M34" s="24">
        <v>0</v>
      </c>
      <c r="N34" s="48"/>
      <c r="O34" s="32">
        <f t="shared" si="1"/>
        <v>10082.99055914864</v>
      </c>
      <c r="P34" s="32">
        <f t="shared" si="14"/>
        <v>5889.5993694733397</v>
      </c>
      <c r="Q34" s="32">
        <f t="shared" si="15"/>
        <v>4193.3911896753007</v>
      </c>
      <c r="R34" s="45">
        <f t="shared" si="20"/>
        <v>1409310.4574839263</v>
      </c>
      <c r="S34" s="31">
        <f t="shared" si="2"/>
        <v>-4390.47273040459</v>
      </c>
      <c r="T34" s="32">
        <f t="shared" si="16"/>
        <v>0</v>
      </c>
      <c r="U34" s="32">
        <f t="shared" si="3"/>
        <v>-8583.8639200798898</v>
      </c>
      <c r="V34" s="32">
        <f t="shared" si="4"/>
        <v>2728.2648235722081</v>
      </c>
      <c r="W34" s="32">
        <f t="shared" si="5"/>
        <v>-4946.1774886502781</v>
      </c>
      <c r="X34" s="32">
        <f t="shared" si="31"/>
        <v>-4272.6940837061029</v>
      </c>
      <c r="Y34" s="102">
        <f t="shared" si="21"/>
        <v>-215348.2008464809</v>
      </c>
      <c r="Z34" s="32">
        <f t="shared" si="22"/>
        <v>-234891.95947875531</v>
      </c>
      <c r="AA34" s="45">
        <f t="shared" si="23"/>
        <v>-234891.95947875525</v>
      </c>
      <c r="AB34" s="1"/>
      <c r="AC34" s="40">
        <f t="shared" si="7"/>
        <v>1499.1266390687497</v>
      </c>
      <c r="AD34" s="40">
        <f t="shared" si="17"/>
        <v>0</v>
      </c>
      <c r="AE34" s="40">
        <f t="shared" si="8"/>
        <v>1499.1266390687497</v>
      </c>
      <c r="AF34" s="40">
        <f t="shared" si="9"/>
        <v>2728.2648235722081</v>
      </c>
      <c r="AG34" s="40">
        <f t="shared" si="10"/>
        <v>5136.8130704983614</v>
      </c>
      <c r="AH34" s="40">
        <f t="shared" si="32"/>
        <v>4437.3722669244016</v>
      </c>
      <c r="AI34" s="106">
        <f t="shared" si="24"/>
        <v>-1465935.0901063485</v>
      </c>
      <c r="AJ34" s="40">
        <f t="shared" si="18"/>
        <v>67597.757295703879</v>
      </c>
      <c r="AK34" s="108">
        <f t="shared" si="19"/>
        <v>-1460230.5439047331</v>
      </c>
    </row>
    <row r="35" spans="2:37">
      <c r="C35" s="1">
        <f>SUM(C23:C34)</f>
        <v>950800</v>
      </c>
      <c r="D35" t="s">
        <v>0</v>
      </c>
      <c r="G35" s="1"/>
      <c r="I35">
        <v>7</v>
      </c>
      <c r="J35" s="26">
        <f t="shared" si="29"/>
        <v>9891.1691999999985</v>
      </c>
      <c r="K35" s="24">
        <f t="shared" si="30"/>
        <v>2026.0913059294289</v>
      </c>
      <c r="L35" s="24">
        <f t="shared" si="13"/>
        <v>6365.9512550018198</v>
      </c>
      <c r="M35" s="24">
        <v>0</v>
      </c>
      <c r="N35" s="48"/>
      <c r="O35" s="32">
        <f t="shared" si="1"/>
        <v>10082.99055914864</v>
      </c>
      <c r="P35" s="32">
        <f t="shared" si="14"/>
        <v>5872.1269061830262</v>
      </c>
      <c r="Q35" s="32">
        <f t="shared" si="15"/>
        <v>4210.8636529656142</v>
      </c>
      <c r="R35" s="45">
        <f t="shared" si="20"/>
        <v>1405099.5938309608</v>
      </c>
      <c r="S35" s="31">
        <f t="shared" si="2"/>
        <v>-4373.0002671142765</v>
      </c>
      <c r="T35" s="32">
        <f t="shared" si="16"/>
        <v>0</v>
      </c>
      <c r="U35" s="32">
        <f t="shared" si="3"/>
        <v>-8583.8639200798898</v>
      </c>
      <c r="V35" s="32">
        <f t="shared" si="4"/>
        <v>2728.2648235722081</v>
      </c>
      <c r="W35" s="32">
        <f t="shared" si="5"/>
        <v>-4946.1774886502781</v>
      </c>
      <c r="X35" s="32">
        <f t="shared" si="31"/>
        <v>-4272.6940837061029</v>
      </c>
      <c r="Y35" s="102">
        <f t="shared" si="21"/>
        <v>-219620.894930187</v>
      </c>
      <c r="Z35" s="32">
        <f t="shared" si="22"/>
        <v>-239838.13696740559</v>
      </c>
      <c r="AA35" s="45">
        <f t="shared" si="23"/>
        <v>-239838.13696740553</v>
      </c>
      <c r="AB35" s="1"/>
      <c r="AC35" s="40">
        <f t="shared" si="7"/>
        <v>1499.1266390687497</v>
      </c>
      <c r="AD35" s="40">
        <f t="shared" si="17"/>
        <v>0</v>
      </c>
      <c r="AE35" s="40">
        <f t="shared" si="8"/>
        <v>1499.1266390687497</v>
      </c>
      <c r="AF35" s="40">
        <f t="shared" si="9"/>
        <v>2728.2648235722081</v>
      </c>
      <c r="AG35" s="40">
        <f t="shared" si="10"/>
        <v>5136.8130704983614</v>
      </c>
      <c r="AH35" s="40">
        <f t="shared" si="32"/>
        <v>4437.3722669244016</v>
      </c>
      <c r="AI35" s="106">
        <f t="shared" si="24"/>
        <v>-1461497.717839424</v>
      </c>
      <c r="AJ35" s="40">
        <f t="shared" si="18"/>
        <v>72734.570366202242</v>
      </c>
      <c r="AK35" s="108">
        <f t="shared" si="19"/>
        <v>-1455093.7308342347</v>
      </c>
    </row>
    <row r="36" spans="2:37" ht="15" thickBot="1">
      <c r="B36" s="2" t="s">
        <v>87</v>
      </c>
      <c r="C36" s="2"/>
      <c r="D36" s="2"/>
      <c r="E36" s="2"/>
      <c r="F36" s="49"/>
      <c r="G36" s="1"/>
      <c r="I36">
        <v>8</v>
      </c>
      <c r="J36" s="26">
        <f t="shared" si="29"/>
        <v>9294.2882999999983</v>
      </c>
      <c r="K36" s="24">
        <f t="shared" si="30"/>
        <v>2026.0913059294289</v>
      </c>
      <c r="L36" s="24">
        <f t="shared" si="13"/>
        <v>6365.9512550018198</v>
      </c>
      <c r="M36" s="24">
        <v>0</v>
      </c>
      <c r="N36" s="48"/>
      <c r="O36" s="32">
        <f t="shared" si="1"/>
        <v>10082.99055914864</v>
      </c>
      <c r="P36" s="32">
        <f t="shared" si="14"/>
        <v>5854.5816409623367</v>
      </c>
      <c r="Q36" s="32">
        <f t="shared" si="15"/>
        <v>4228.4089181863037</v>
      </c>
      <c r="R36" s="45">
        <f t="shared" si="20"/>
        <v>1400871.1849127745</v>
      </c>
      <c r="S36" s="31">
        <f t="shared" si="2"/>
        <v>-4952.3359018935871</v>
      </c>
      <c r="T36" s="32">
        <f t="shared" si="16"/>
        <v>0</v>
      </c>
      <c r="U36" s="32">
        <f t="shared" si="3"/>
        <v>-9180.7448200798899</v>
      </c>
      <c r="V36" s="32">
        <f t="shared" si="4"/>
        <v>2728.2648235722081</v>
      </c>
      <c r="W36" s="32">
        <f t="shared" si="5"/>
        <v>-5543.0583886502782</v>
      </c>
      <c r="X36" s="32">
        <f t="shared" si="31"/>
        <v>-4788.3022469714087</v>
      </c>
      <c r="Y36" s="102">
        <f t="shared" si="21"/>
        <v>-224409.19717715841</v>
      </c>
      <c r="Z36" s="32">
        <f t="shared" si="22"/>
        <v>-245381.19535605586</v>
      </c>
      <c r="AA36" s="45">
        <f t="shared" si="23"/>
        <v>-245381.1953560558</v>
      </c>
      <c r="AB36" s="1"/>
      <c r="AC36" s="40">
        <f t="shared" si="7"/>
        <v>902.24573906874957</v>
      </c>
      <c r="AD36" s="40">
        <f t="shared" si="17"/>
        <v>0</v>
      </c>
      <c r="AE36" s="40">
        <f t="shared" si="8"/>
        <v>902.24573906874957</v>
      </c>
      <c r="AF36" s="40">
        <f t="shared" si="9"/>
        <v>2728.2648235722081</v>
      </c>
      <c r="AG36" s="40">
        <f t="shared" si="10"/>
        <v>4539.9321704983613</v>
      </c>
      <c r="AH36" s="40">
        <f t="shared" si="32"/>
        <v>3921.7641036590958</v>
      </c>
      <c r="AI36" s="106">
        <f t="shared" si="24"/>
        <v>-1457575.9537357648</v>
      </c>
      <c r="AJ36" s="40">
        <f t="shared" si="18"/>
        <v>77274.502536700602</v>
      </c>
      <c r="AK36" s="108">
        <f t="shared" si="19"/>
        <v>-1450553.7986637363</v>
      </c>
    </row>
    <row r="37" spans="2:37" ht="15" thickBot="1">
      <c r="B37" s="74" t="s">
        <v>18</v>
      </c>
      <c r="C37" s="117" t="s">
        <v>19</v>
      </c>
      <c r="D37" s="75" t="s">
        <v>40</v>
      </c>
      <c r="E37" s="3"/>
      <c r="F37" s="133"/>
      <c r="G37" s="1"/>
      <c r="I37">
        <v>9</v>
      </c>
      <c r="J37" s="26">
        <f t="shared" si="29"/>
        <v>7665.6561299999985</v>
      </c>
      <c r="K37" s="24">
        <f t="shared" si="30"/>
        <v>2026.0913059294289</v>
      </c>
      <c r="L37" s="24">
        <f t="shared" si="13"/>
        <v>6365.9512550018198</v>
      </c>
      <c r="M37" s="24">
        <v>0</v>
      </c>
      <c r="N37" s="48"/>
      <c r="O37" s="32">
        <f t="shared" si="1"/>
        <v>10082.99055914864</v>
      </c>
      <c r="P37" s="32">
        <f t="shared" si="14"/>
        <v>5836.9632704698934</v>
      </c>
      <c r="Q37" s="32">
        <f t="shared" si="15"/>
        <v>4246.027288678747</v>
      </c>
      <c r="R37" s="45">
        <f t="shared" si="20"/>
        <v>1396625.1576240957</v>
      </c>
      <c r="S37" s="31">
        <f t="shared" si="2"/>
        <v>-6563.3497014011436</v>
      </c>
      <c r="T37" s="32">
        <f t="shared" si="16"/>
        <v>0</v>
      </c>
      <c r="U37" s="32">
        <f t="shared" si="3"/>
        <v>-10809.376990079891</v>
      </c>
      <c r="V37" s="32">
        <f t="shared" ref="V37:V68" si="33">$C$9/120</f>
        <v>2728.2648235722081</v>
      </c>
      <c r="W37" s="32">
        <f t="shared" si="5"/>
        <v>-7171.6905586502789</v>
      </c>
      <c r="X37" s="32">
        <f t="shared" si="31"/>
        <v>-6195.1759495953165</v>
      </c>
      <c r="Y37" s="102">
        <f t="shared" si="21"/>
        <v>-230604.37312675372</v>
      </c>
      <c r="Z37" s="32">
        <f t="shared" si="22"/>
        <v>-252552.88591470613</v>
      </c>
      <c r="AA37" s="45">
        <f t="shared" si="23"/>
        <v>-252552.88591470607</v>
      </c>
      <c r="AB37" s="1"/>
      <c r="AC37" s="40">
        <f t="shared" si="7"/>
        <v>-726.38643093125029</v>
      </c>
      <c r="AD37" s="40">
        <f t="shared" si="17"/>
        <v>0</v>
      </c>
      <c r="AE37" s="40">
        <f t="shared" si="8"/>
        <v>-726.38643093125029</v>
      </c>
      <c r="AF37" s="40">
        <f t="shared" si="9"/>
        <v>2728.2648235722081</v>
      </c>
      <c r="AG37" s="40">
        <f t="shared" si="10"/>
        <v>2911.3000004983614</v>
      </c>
      <c r="AH37" s="40">
        <f t="shared" si="32"/>
        <v>2514.8904010351894</v>
      </c>
      <c r="AI37" s="106">
        <f t="shared" si="24"/>
        <v>-1455061.0633347298</v>
      </c>
      <c r="AJ37" s="40">
        <f t="shared" si="18"/>
        <v>80185.802537198964</v>
      </c>
      <c r="AK37" s="108">
        <f t="shared" si="19"/>
        <v>-1447642.498663238</v>
      </c>
    </row>
    <row r="38" spans="2:37">
      <c r="B38" s="76">
        <v>2015</v>
      </c>
      <c r="C38" s="77">
        <v>1</v>
      </c>
      <c r="D38" s="78">
        <v>8.6999999999999994E-2</v>
      </c>
      <c r="E38" s="14"/>
      <c r="F38" s="134"/>
      <c r="G38" s="1"/>
      <c r="I38">
        <v>10</v>
      </c>
      <c r="J38" s="26">
        <f t="shared" si="29"/>
        <v>5576.5729799999999</v>
      </c>
      <c r="K38" s="24">
        <f t="shared" si="30"/>
        <v>2026.0913059294289</v>
      </c>
      <c r="L38" s="24">
        <f t="shared" si="13"/>
        <v>6365.9512550018198</v>
      </c>
      <c r="M38" s="24">
        <v>0</v>
      </c>
      <c r="N38" s="48"/>
      <c r="O38" s="32">
        <f t="shared" si="1"/>
        <v>10082.99055914864</v>
      </c>
      <c r="P38" s="32">
        <f t="shared" si="14"/>
        <v>5819.2714901003983</v>
      </c>
      <c r="Q38" s="32">
        <f t="shared" si="15"/>
        <v>4263.7190690482421</v>
      </c>
      <c r="R38" s="45">
        <f t="shared" si="20"/>
        <v>1392361.4385550474</v>
      </c>
      <c r="S38" s="31">
        <f t="shared" si="2"/>
        <v>-8634.7410710316472</v>
      </c>
      <c r="T38" s="32">
        <f t="shared" si="16"/>
        <v>0</v>
      </c>
      <c r="U38" s="32">
        <f t="shared" si="3"/>
        <v>-12898.460140079889</v>
      </c>
      <c r="V38" s="32">
        <f t="shared" si="33"/>
        <v>2728.2648235722081</v>
      </c>
      <c r="W38" s="32">
        <f t="shared" si="5"/>
        <v>-9260.7737086502784</v>
      </c>
      <c r="X38" s="32">
        <f t="shared" si="31"/>
        <v>-7999.804521023887</v>
      </c>
      <c r="Y38" s="102">
        <f t="shared" si="21"/>
        <v>-238604.1776477776</v>
      </c>
      <c r="Z38" s="32">
        <f t="shared" si="22"/>
        <v>-261813.65962335642</v>
      </c>
      <c r="AA38" s="45">
        <f t="shared" si="23"/>
        <v>-261813.65962335636</v>
      </c>
      <c r="AB38" s="1"/>
      <c r="AC38" s="40">
        <f t="shared" si="7"/>
        <v>-2815.4695809312489</v>
      </c>
      <c r="AD38" s="40">
        <f t="shared" si="17"/>
        <v>0</v>
      </c>
      <c r="AE38" s="40">
        <f t="shared" si="8"/>
        <v>-2815.4695809312489</v>
      </c>
      <c r="AF38" s="40">
        <f t="shared" si="9"/>
        <v>2728.2648235722081</v>
      </c>
      <c r="AG38" s="40">
        <f t="shared" si="10"/>
        <v>822.21685049836287</v>
      </c>
      <c r="AH38" s="40">
        <f t="shared" si="32"/>
        <v>710.26182960661936</v>
      </c>
      <c r="AI38" s="106">
        <f t="shared" si="24"/>
        <v>-1454350.801505123</v>
      </c>
      <c r="AJ38" s="40">
        <f t="shared" si="18"/>
        <v>81008.019387697321</v>
      </c>
      <c r="AK38" s="108">
        <f t="shared" si="19"/>
        <v>-1446820.2818127396</v>
      </c>
    </row>
    <row r="39" spans="2:37">
      <c r="B39" s="79">
        <v>2016</v>
      </c>
      <c r="C39" s="80">
        <f>C38-C38/100</f>
        <v>0.99</v>
      </c>
      <c r="D39" s="81">
        <f t="shared" ref="D39:D57" si="34">D38+D38*$C$17</f>
        <v>8.6999999999999994E-2</v>
      </c>
      <c r="E39" s="14"/>
      <c r="F39" s="134"/>
      <c r="G39" s="1"/>
      <c r="I39">
        <v>11</v>
      </c>
      <c r="J39" s="26">
        <f t="shared" si="29"/>
        <v>2924.71641</v>
      </c>
      <c r="K39" s="24">
        <f t="shared" si="30"/>
        <v>2026.0913059294289</v>
      </c>
      <c r="L39" s="24">
        <f t="shared" si="13"/>
        <v>6365.9512550018198</v>
      </c>
      <c r="M39" s="24">
        <v>0</v>
      </c>
      <c r="N39" s="48"/>
      <c r="O39" s="32">
        <f t="shared" si="1"/>
        <v>10082.99055914864</v>
      </c>
      <c r="P39" s="32">
        <f t="shared" si="14"/>
        <v>5801.5059939793637</v>
      </c>
      <c r="Q39" s="32">
        <f t="shared" si="15"/>
        <v>4281.4845651692767</v>
      </c>
      <c r="R39" s="45">
        <f t="shared" si="20"/>
        <v>1388079.9539898781</v>
      </c>
      <c r="S39" s="31">
        <f t="shared" si="2"/>
        <v>-11268.832144910612</v>
      </c>
      <c r="T39" s="32">
        <f t="shared" si="16"/>
        <v>0</v>
      </c>
      <c r="U39" s="32">
        <f t="shared" si="3"/>
        <v>-15550.316710079889</v>
      </c>
      <c r="V39" s="32">
        <f t="shared" si="33"/>
        <v>2728.2648235722081</v>
      </c>
      <c r="W39" s="32">
        <f t="shared" si="5"/>
        <v>-11912.630278650278</v>
      </c>
      <c r="X39" s="32">
        <f t="shared" si="31"/>
        <v>-10290.577932102604</v>
      </c>
      <c r="Y39" s="102">
        <f t="shared" si="21"/>
        <v>-248894.75557988021</v>
      </c>
      <c r="Z39" s="32">
        <f t="shared" si="22"/>
        <v>-273726.28990200668</v>
      </c>
      <c r="AA39" s="45">
        <f t="shared" si="23"/>
        <v>-273726.28990200663</v>
      </c>
      <c r="AB39" s="1"/>
      <c r="AC39" s="40">
        <f t="shared" si="7"/>
        <v>-5467.3261509312488</v>
      </c>
      <c r="AD39" s="40">
        <f t="shared" si="17"/>
        <v>0</v>
      </c>
      <c r="AE39" s="40">
        <f t="shared" si="8"/>
        <v>-5467.3261509312488</v>
      </c>
      <c r="AF39" s="40">
        <f t="shared" si="9"/>
        <v>2728.2648235722081</v>
      </c>
      <c r="AG39" s="40">
        <f t="shared" si="10"/>
        <v>-1829.639719501637</v>
      </c>
      <c r="AH39" s="40">
        <f t="shared" si="32"/>
        <v>-1580.5115814720975</v>
      </c>
      <c r="AI39" s="106">
        <f t="shared" si="24"/>
        <v>-1455931.3130865952</v>
      </c>
      <c r="AJ39" s="40">
        <f t="shared" si="18"/>
        <v>79178.379668195688</v>
      </c>
      <c r="AK39" s="108">
        <f t="shared" si="19"/>
        <v>-1448649.9215322412</v>
      </c>
    </row>
    <row r="40" spans="2:37">
      <c r="B40" s="82">
        <v>2017</v>
      </c>
      <c r="C40" s="80">
        <f t="shared" ref="C40:C57" si="35">C39-C39/100</f>
        <v>0.98009999999999997</v>
      </c>
      <c r="D40" s="81">
        <f t="shared" si="34"/>
        <v>8.6999999999999994E-2</v>
      </c>
      <c r="E40" s="14"/>
      <c r="F40" s="134"/>
      <c r="G40" s="1"/>
      <c r="I40">
        <v>12</v>
      </c>
      <c r="J40" s="26">
        <f t="shared" si="29"/>
        <v>2208.4593299999997</v>
      </c>
      <c r="K40" s="24">
        <f t="shared" si="30"/>
        <v>2026.0913059294289</v>
      </c>
      <c r="L40" s="24">
        <f t="shared" si="13"/>
        <v>6365.9512550018198</v>
      </c>
      <c r="M40" s="24">
        <v>0</v>
      </c>
      <c r="N40" s="48"/>
      <c r="O40" s="32">
        <f t="shared" si="1"/>
        <v>10082.99055914864</v>
      </c>
      <c r="P40" s="32">
        <f t="shared" si="14"/>
        <v>5783.6664749578249</v>
      </c>
      <c r="Q40" s="32">
        <f t="shared" si="15"/>
        <v>4299.3240841908155</v>
      </c>
      <c r="R40" s="45">
        <f t="shared" si="20"/>
        <v>1383780.6299056872</v>
      </c>
      <c r="S40" s="31">
        <f t="shared" si="2"/>
        <v>-11967.249705889073</v>
      </c>
      <c r="T40" s="32">
        <f t="shared" si="16"/>
        <v>0</v>
      </c>
      <c r="U40" s="32">
        <f t="shared" si="3"/>
        <v>-16266.573790079889</v>
      </c>
      <c r="V40" s="32">
        <f t="shared" si="33"/>
        <v>2728.2648235722081</v>
      </c>
      <c r="W40" s="32">
        <f t="shared" si="5"/>
        <v>-12628.887358650278</v>
      </c>
      <c r="X40" s="32">
        <f t="shared" si="31"/>
        <v>-10909.307728020971</v>
      </c>
      <c r="Y40" s="102">
        <f t="shared" si="21"/>
        <v>-259804.06330790117</v>
      </c>
      <c r="Z40" s="32">
        <f t="shared" si="22"/>
        <v>-286355.17726065696</v>
      </c>
      <c r="AA40" s="45">
        <f t="shared" si="23"/>
        <v>-286355.1772606569</v>
      </c>
      <c r="AB40" s="1"/>
      <c r="AC40" s="40">
        <f t="shared" si="7"/>
        <v>-6183.5832309312491</v>
      </c>
      <c r="AD40" s="40">
        <f t="shared" si="17"/>
        <v>0</v>
      </c>
      <c r="AE40" s="40">
        <f t="shared" si="8"/>
        <v>-6183.5832309312491</v>
      </c>
      <c r="AF40" s="40">
        <f t="shared" si="9"/>
        <v>2728.2648235722081</v>
      </c>
      <c r="AG40" s="40">
        <f t="shared" si="10"/>
        <v>-2545.8967995016383</v>
      </c>
      <c r="AH40" s="40">
        <f t="shared" si="32"/>
        <v>-2199.2413773904659</v>
      </c>
      <c r="AI40" s="106">
        <f t="shared" si="24"/>
        <v>-1458130.5544639856</v>
      </c>
      <c r="AJ40" s="40">
        <f t="shared" si="18"/>
        <v>76632.482868694045</v>
      </c>
      <c r="AK40" s="108">
        <f t="shared" si="19"/>
        <v>-1451195.8183317429</v>
      </c>
    </row>
    <row r="41" spans="2:37">
      <c r="B41" s="79">
        <v>2018</v>
      </c>
      <c r="C41" s="80">
        <f t="shared" si="35"/>
        <v>0.97029900000000002</v>
      </c>
      <c r="D41" s="81">
        <f t="shared" si="34"/>
        <v>8.6999999999999994E-2</v>
      </c>
      <c r="E41" s="14"/>
      <c r="F41" s="132" t="s">
        <v>88</v>
      </c>
      <c r="G41" s="1">
        <f>SUM(S41:S52)</f>
        <v>-89156.304429534255</v>
      </c>
      <c r="H41">
        <v>2018</v>
      </c>
      <c r="I41">
        <v>1</v>
      </c>
      <c r="J41" s="26">
        <f t="shared" ref="J41:J52" si="36">C23*$C$41*$D$41</f>
        <v>2557.8051939000002</v>
      </c>
      <c r="K41" s="24">
        <f t="shared" ref="K41:K52" si="37">$K$40*$C$8</f>
        <v>2086.8740451073118</v>
      </c>
      <c r="L41" s="24">
        <f t="shared" si="13"/>
        <v>6365.9512550018198</v>
      </c>
      <c r="M41" s="24">
        <v>0</v>
      </c>
      <c r="N41" s="48"/>
      <c r="O41" s="32">
        <f t="shared" si="1"/>
        <v>10082.99055914864</v>
      </c>
      <c r="P41" s="32">
        <f t="shared" si="14"/>
        <v>5765.7526246070302</v>
      </c>
      <c r="Q41" s="32">
        <f t="shared" si="15"/>
        <v>4317.2379345416102</v>
      </c>
      <c r="R41" s="45">
        <f t="shared" si="20"/>
        <v>1379463.3919711455</v>
      </c>
      <c r="S41" s="31">
        <f t="shared" si="2"/>
        <v>-11660.772730816161</v>
      </c>
      <c r="T41" s="32">
        <f t="shared" si="16"/>
        <v>0</v>
      </c>
      <c r="U41" s="32">
        <f t="shared" si="3"/>
        <v>-15978.010665357771</v>
      </c>
      <c r="V41" s="32">
        <f t="shared" si="33"/>
        <v>2728.2648235722081</v>
      </c>
      <c r="W41" s="32">
        <f t="shared" si="5"/>
        <v>-12340.324233928161</v>
      </c>
      <c r="X41" s="32">
        <f t="shared" ref="X41:X52" si="38">W41/(1+$C$18)^4</f>
        <v>-10152.415286986932</v>
      </c>
      <c r="Y41" s="102">
        <f t="shared" si="21"/>
        <v>-269956.47859488812</v>
      </c>
      <c r="Z41" s="32">
        <f t="shared" si="22"/>
        <v>-298695.50149458513</v>
      </c>
      <c r="AA41" s="45">
        <f t="shared" si="23"/>
        <v>-298695.50149458507</v>
      </c>
      <c r="AB41" s="1"/>
      <c r="AC41" s="40">
        <f t="shared" si="7"/>
        <v>-5895.020106209131</v>
      </c>
      <c r="AD41" s="40">
        <f t="shared" si="17"/>
        <v>0</v>
      </c>
      <c r="AE41" s="40">
        <f t="shared" si="8"/>
        <v>-5895.020106209131</v>
      </c>
      <c r="AF41" s="40">
        <f t="shared" si="9"/>
        <v>2728.2648235722081</v>
      </c>
      <c r="AG41" s="40">
        <f t="shared" si="10"/>
        <v>-2257.3336747795192</v>
      </c>
      <c r="AH41" s="40">
        <f t="shared" ref="AH41:AH52" si="39">AG41/(1+$C$18)^4</f>
        <v>-1857.1140006721637</v>
      </c>
      <c r="AI41" s="106">
        <f t="shared" si="24"/>
        <v>-1459987.6684646579</v>
      </c>
      <c r="AJ41" s="40">
        <f t="shared" si="18"/>
        <v>74375.14919391452</v>
      </c>
      <c r="AK41" s="108">
        <f t="shared" si="19"/>
        <v>-1453453.1520065225</v>
      </c>
    </row>
    <row r="42" spans="2:37">
      <c r="B42" s="82">
        <v>2019</v>
      </c>
      <c r="C42" s="80">
        <f t="shared" si="35"/>
        <v>0.96059601000000006</v>
      </c>
      <c r="D42" s="81">
        <f t="shared" si="34"/>
        <v>8.6999999999999994E-2</v>
      </c>
      <c r="E42" s="14"/>
      <c r="F42" s="17" t="s">
        <v>31</v>
      </c>
      <c r="G42">
        <v>4</v>
      </c>
      <c r="I42">
        <v>2</v>
      </c>
      <c r="J42" s="26">
        <f t="shared" si="36"/>
        <v>3975.9942122999996</v>
      </c>
      <c r="K42" s="24">
        <f t="shared" si="37"/>
        <v>2086.8740451073118</v>
      </c>
      <c r="L42" s="24">
        <f t="shared" si="13"/>
        <v>6365.9512550018198</v>
      </c>
      <c r="M42" s="24">
        <v>0</v>
      </c>
      <c r="N42" s="48"/>
      <c r="O42" s="32">
        <f t="shared" si="1"/>
        <v>10082.99055914864</v>
      </c>
      <c r="P42" s="32">
        <f t="shared" si="14"/>
        <v>5747.7641332131061</v>
      </c>
      <c r="Q42" s="32">
        <f t="shared" si="15"/>
        <v>4335.2264259355343</v>
      </c>
      <c r="R42" s="45">
        <f t="shared" si="20"/>
        <v>1375128.16554521</v>
      </c>
      <c r="S42" s="31">
        <f t="shared" si="2"/>
        <v>-10224.595221022239</v>
      </c>
      <c r="T42" s="32">
        <f t="shared" si="16"/>
        <v>0</v>
      </c>
      <c r="U42" s="32">
        <f t="shared" si="3"/>
        <v>-14559.821646957773</v>
      </c>
      <c r="V42" s="32">
        <f t="shared" si="33"/>
        <v>2728.2648235722081</v>
      </c>
      <c r="W42" s="32">
        <f t="shared" si="5"/>
        <v>-10922.135215528164</v>
      </c>
      <c r="X42" s="32">
        <f t="shared" si="38"/>
        <v>-8985.6676718265862</v>
      </c>
      <c r="Y42" s="102">
        <f t="shared" si="21"/>
        <v>-278942.14626671473</v>
      </c>
      <c r="Z42" s="32">
        <f t="shared" si="22"/>
        <v>-309617.63671011326</v>
      </c>
      <c r="AA42" s="45">
        <f t="shared" si="23"/>
        <v>-309617.63671011326</v>
      </c>
      <c r="AB42" s="1"/>
      <c r="AC42" s="40">
        <f t="shared" si="7"/>
        <v>-4476.8310878091324</v>
      </c>
      <c r="AD42" s="40">
        <f t="shared" si="17"/>
        <v>0</v>
      </c>
      <c r="AE42" s="40">
        <f t="shared" si="8"/>
        <v>-4476.8310878091324</v>
      </c>
      <c r="AF42" s="40">
        <f t="shared" si="9"/>
        <v>2728.2648235722081</v>
      </c>
      <c r="AG42" s="40">
        <f t="shared" si="10"/>
        <v>-839.14465637952071</v>
      </c>
      <c r="AH42" s="40">
        <f t="shared" si="39"/>
        <v>-690.36638551181511</v>
      </c>
      <c r="AI42" s="106">
        <f t="shared" si="24"/>
        <v>-1460678.0348501697</v>
      </c>
      <c r="AJ42" s="40">
        <f t="shared" si="18"/>
        <v>73536.004537535002</v>
      </c>
      <c r="AK42" s="108">
        <f t="shared" si="19"/>
        <v>-1454292.296662902</v>
      </c>
    </row>
    <row r="43" spans="2:37">
      <c r="B43" s="79">
        <v>2020</v>
      </c>
      <c r="C43" s="80">
        <f t="shared" si="35"/>
        <v>0.95099004990000002</v>
      </c>
      <c r="D43" s="81">
        <f t="shared" si="34"/>
        <v>8.6999999999999994E-2</v>
      </c>
      <c r="E43" s="14"/>
      <c r="F43" s="13" t="s">
        <v>30</v>
      </c>
      <c r="G43" s="1">
        <f>G31+G41</f>
        <v>-362420.52192690776</v>
      </c>
      <c r="I43">
        <v>3</v>
      </c>
      <c r="J43" s="26">
        <f t="shared" si="36"/>
        <v>7420.1675426999991</v>
      </c>
      <c r="K43" s="24">
        <f t="shared" si="37"/>
        <v>2086.8740451073118</v>
      </c>
      <c r="L43" s="24">
        <f t="shared" si="13"/>
        <v>6365.9512550018198</v>
      </c>
      <c r="M43" s="24">
        <v>0</v>
      </c>
      <c r="N43" s="48"/>
      <c r="O43" s="32">
        <f t="shared" si="1"/>
        <v>10082.99055914864</v>
      </c>
      <c r="P43" s="32">
        <f t="shared" si="14"/>
        <v>5729.7006897717083</v>
      </c>
      <c r="Q43" s="32">
        <f t="shared" si="15"/>
        <v>4353.2898693769321</v>
      </c>
      <c r="R43" s="45">
        <f t="shared" si="20"/>
        <v>1370774.8756758331</v>
      </c>
      <c r="S43" s="31">
        <f t="shared" si="2"/>
        <v>-6762.3584471808408</v>
      </c>
      <c r="T43" s="32">
        <f t="shared" si="16"/>
        <v>0</v>
      </c>
      <c r="U43" s="32">
        <f t="shared" si="3"/>
        <v>-11115.648316557774</v>
      </c>
      <c r="V43" s="32">
        <f t="shared" si="33"/>
        <v>2728.2648235722081</v>
      </c>
      <c r="W43" s="32">
        <f t="shared" si="5"/>
        <v>-7477.9618851281621</v>
      </c>
      <c r="X43" s="32">
        <f t="shared" si="38"/>
        <v>-6152.1377492943056</v>
      </c>
      <c r="Y43" s="102">
        <f t="shared" si="21"/>
        <v>-285094.28401600901</v>
      </c>
      <c r="Z43" s="32">
        <f t="shared" si="22"/>
        <v>-317095.59859524143</v>
      </c>
      <c r="AA43" s="45">
        <f t="shared" si="23"/>
        <v>-317095.59859524143</v>
      </c>
      <c r="AB43" s="1"/>
      <c r="AC43" s="40">
        <f t="shared" si="7"/>
        <v>-1032.6577574091325</v>
      </c>
      <c r="AD43" s="40">
        <f t="shared" si="17"/>
        <v>0</v>
      </c>
      <c r="AE43" s="40">
        <f t="shared" si="8"/>
        <v>-1032.6577574091325</v>
      </c>
      <c r="AF43" s="40">
        <f t="shared" si="9"/>
        <v>2728.2648235722081</v>
      </c>
      <c r="AG43" s="40">
        <f t="shared" si="10"/>
        <v>2605.0286740204792</v>
      </c>
      <c r="AH43" s="40">
        <f t="shared" si="39"/>
        <v>2143.1635370204631</v>
      </c>
      <c r="AI43" s="106">
        <f t="shared" si="24"/>
        <v>-1458534.8713131491</v>
      </c>
      <c r="AJ43" s="40">
        <f t="shared" si="18"/>
        <v>76141.033211555477</v>
      </c>
      <c r="AK43" s="108">
        <f t="shared" si="19"/>
        <v>-1451687.2679888816</v>
      </c>
    </row>
    <row r="44" spans="2:37">
      <c r="B44" s="82">
        <v>2021</v>
      </c>
      <c r="C44" s="80">
        <f t="shared" si="35"/>
        <v>0.941480149401</v>
      </c>
      <c r="D44" s="81">
        <f t="shared" si="34"/>
        <v>8.6999999999999994E-2</v>
      </c>
      <c r="E44" s="14"/>
      <c r="F44" s="18" t="s">
        <v>39</v>
      </c>
      <c r="G44" s="1">
        <v>0</v>
      </c>
      <c r="I44">
        <v>4</v>
      </c>
      <c r="J44" s="26">
        <f t="shared" si="36"/>
        <v>9539.0094689999987</v>
      </c>
      <c r="K44" s="24">
        <f t="shared" si="37"/>
        <v>2086.8740451073118</v>
      </c>
      <c r="L44" s="24">
        <f t="shared" si="13"/>
        <v>6365.9512550018198</v>
      </c>
      <c r="M44" s="24">
        <v>0</v>
      </c>
      <c r="N44" s="48"/>
      <c r="O44" s="32">
        <f t="shared" si="1"/>
        <v>10082.99055914864</v>
      </c>
      <c r="P44" s="32">
        <f t="shared" si="14"/>
        <v>5711.5619819826379</v>
      </c>
      <c r="Q44" s="32">
        <f t="shared" si="15"/>
        <v>4371.4285771660025</v>
      </c>
      <c r="R44" s="45">
        <f t="shared" si="20"/>
        <v>1366403.447098667</v>
      </c>
      <c r="S44" s="31">
        <f t="shared" si="2"/>
        <v>-4625.3778130917708</v>
      </c>
      <c r="T44" s="32">
        <f t="shared" si="16"/>
        <v>0</v>
      </c>
      <c r="U44" s="32">
        <f t="shared" si="3"/>
        <v>-8996.8063902577742</v>
      </c>
      <c r="V44" s="32">
        <f t="shared" si="33"/>
        <v>2728.2648235722081</v>
      </c>
      <c r="W44" s="32">
        <f t="shared" si="5"/>
        <v>-5359.1199588281625</v>
      </c>
      <c r="X44" s="32">
        <f t="shared" si="38"/>
        <v>-4408.9612528344978</v>
      </c>
      <c r="Y44" s="102">
        <f t="shared" si="21"/>
        <v>-289503.24526884349</v>
      </c>
      <c r="Z44" s="32">
        <f t="shared" si="22"/>
        <v>-322454.71855406958</v>
      </c>
      <c r="AA44" s="45">
        <f t="shared" si="23"/>
        <v>-322454.71855406958</v>
      </c>
      <c r="AB44" s="1"/>
      <c r="AC44" s="40">
        <f t="shared" si="7"/>
        <v>1086.1841688908671</v>
      </c>
      <c r="AD44" s="40">
        <f t="shared" si="17"/>
        <v>0</v>
      </c>
      <c r="AE44" s="40">
        <f t="shared" si="8"/>
        <v>1086.1841688908671</v>
      </c>
      <c r="AF44" s="40">
        <f t="shared" si="9"/>
        <v>2728.2648235722081</v>
      </c>
      <c r="AG44" s="40">
        <f t="shared" si="10"/>
        <v>4723.8706003204788</v>
      </c>
      <c r="AH44" s="40">
        <f t="shared" si="39"/>
        <v>3886.3400334802709</v>
      </c>
      <c r="AI44" s="106">
        <f t="shared" si="24"/>
        <v>-1454648.5312796689</v>
      </c>
      <c r="AJ44" s="40">
        <f t="shared" si="18"/>
        <v>80864.903811875964</v>
      </c>
      <c r="AK44" s="108">
        <f t="shared" si="19"/>
        <v>-1446963.3973885612</v>
      </c>
    </row>
    <row r="45" spans="2:37">
      <c r="B45" s="79">
        <v>2022</v>
      </c>
      <c r="C45" s="80">
        <f t="shared" si="35"/>
        <v>0.93206534790699003</v>
      </c>
      <c r="D45" s="81">
        <f t="shared" si="34"/>
        <v>8.6999999999999994E-2</v>
      </c>
      <c r="E45" s="14"/>
      <c r="F45" s="16" t="s">
        <v>90</v>
      </c>
      <c r="G45" s="129">
        <f>$C$60</f>
        <v>0</v>
      </c>
      <c r="I45">
        <v>5</v>
      </c>
      <c r="J45" s="26">
        <f t="shared" si="36"/>
        <v>9792.2575080000006</v>
      </c>
      <c r="K45" s="24">
        <f t="shared" si="37"/>
        <v>2086.8740451073118</v>
      </c>
      <c r="L45" s="24">
        <f t="shared" si="13"/>
        <v>6365.9512550018198</v>
      </c>
      <c r="M45" s="24">
        <v>0</v>
      </c>
      <c r="N45" s="48"/>
      <c r="O45" s="32">
        <f t="shared" si="1"/>
        <v>10082.99055914864</v>
      </c>
      <c r="P45" s="32">
        <f t="shared" si="14"/>
        <v>5693.3476962444456</v>
      </c>
      <c r="Q45" s="32">
        <f t="shared" si="15"/>
        <v>4389.6428629041948</v>
      </c>
      <c r="R45" s="45">
        <f t="shared" si="20"/>
        <v>1362013.8042357629</v>
      </c>
      <c r="S45" s="31">
        <f t="shared" si="2"/>
        <v>-4353.9154883535766</v>
      </c>
      <c r="T45" s="32">
        <f t="shared" si="16"/>
        <v>0</v>
      </c>
      <c r="U45" s="32">
        <f t="shared" si="3"/>
        <v>-8743.5583512577723</v>
      </c>
      <c r="V45" s="32">
        <f t="shared" si="33"/>
        <v>2728.2648235722081</v>
      </c>
      <c r="W45" s="32">
        <f t="shared" si="5"/>
        <v>-5105.8719198281606</v>
      </c>
      <c r="X45" s="32">
        <f t="shared" si="38"/>
        <v>-4200.6134644130052</v>
      </c>
      <c r="Y45" s="102">
        <f t="shared" si="21"/>
        <v>-293703.85873325646</v>
      </c>
      <c r="Z45" s="32">
        <f t="shared" si="22"/>
        <v>-327560.59047389776</v>
      </c>
      <c r="AA45" s="45">
        <f t="shared" si="23"/>
        <v>-327560.59047389776</v>
      </c>
      <c r="AB45" s="1"/>
      <c r="AC45" s="40">
        <f t="shared" si="7"/>
        <v>1339.432207890869</v>
      </c>
      <c r="AD45" s="40">
        <f t="shared" si="17"/>
        <v>0</v>
      </c>
      <c r="AE45" s="40">
        <f t="shared" si="8"/>
        <v>1339.432207890869</v>
      </c>
      <c r="AF45" s="40">
        <f t="shared" si="9"/>
        <v>2728.2648235722081</v>
      </c>
      <c r="AG45" s="40">
        <f t="shared" si="10"/>
        <v>4977.1186393204807</v>
      </c>
      <c r="AH45" s="40">
        <f t="shared" si="39"/>
        <v>4094.6878219017635</v>
      </c>
      <c r="AI45" s="106">
        <f t="shared" si="24"/>
        <v>-1450553.843457767</v>
      </c>
      <c r="AJ45" s="40">
        <f t="shared" si="18"/>
        <v>85842.022451196448</v>
      </c>
      <c r="AK45" s="108">
        <f t="shared" si="19"/>
        <v>-1441986.2787492408</v>
      </c>
    </row>
    <row r="46" spans="2:37">
      <c r="B46" s="82">
        <v>2023</v>
      </c>
      <c r="C46" s="80">
        <f t="shared" si="35"/>
        <v>0.92274469442792018</v>
      </c>
      <c r="D46" s="81">
        <f t="shared" si="34"/>
        <v>8.6999999999999994E-2</v>
      </c>
      <c r="E46" s="14"/>
      <c r="F46" s="134"/>
      <c r="G46" s="1"/>
      <c r="I46">
        <v>6</v>
      </c>
      <c r="J46" s="26">
        <f t="shared" si="36"/>
        <v>9792.2575080000006</v>
      </c>
      <c r="K46" s="24">
        <f t="shared" si="37"/>
        <v>2086.8740451073118</v>
      </c>
      <c r="L46" s="24">
        <f t="shared" si="13"/>
        <v>6365.9512550018198</v>
      </c>
      <c r="M46" s="24">
        <v>0</v>
      </c>
      <c r="N46" s="48"/>
      <c r="O46" s="32">
        <f t="shared" si="1"/>
        <v>10082.99055914864</v>
      </c>
      <c r="P46" s="32">
        <f t="shared" si="14"/>
        <v>5675.057517649012</v>
      </c>
      <c r="Q46" s="32">
        <f t="shared" si="15"/>
        <v>4407.9330414996284</v>
      </c>
      <c r="R46" s="45">
        <f t="shared" si="20"/>
        <v>1357605.8711942632</v>
      </c>
      <c r="S46" s="31">
        <f t="shared" si="2"/>
        <v>-4335.625309758143</v>
      </c>
      <c r="T46" s="32">
        <f t="shared" si="16"/>
        <v>0</v>
      </c>
      <c r="U46" s="32">
        <f t="shared" si="3"/>
        <v>-8743.5583512577723</v>
      </c>
      <c r="V46" s="32">
        <f t="shared" si="33"/>
        <v>2728.2648235722081</v>
      </c>
      <c r="W46" s="32">
        <f t="shared" si="5"/>
        <v>-5105.8719198281606</v>
      </c>
      <c r="X46" s="32">
        <f t="shared" si="38"/>
        <v>-4200.6134644130052</v>
      </c>
      <c r="Y46" s="102">
        <f t="shared" si="21"/>
        <v>-297904.47219766944</v>
      </c>
      <c r="Z46" s="32">
        <f t="shared" si="22"/>
        <v>-332666.46239372593</v>
      </c>
      <c r="AA46" s="45">
        <f t="shared" si="23"/>
        <v>-332666.46239372593</v>
      </c>
      <c r="AB46" s="1"/>
      <c r="AC46" s="40">
        <f t="shared" si="7"/>
        <v>1339.432207890869</v>
      </c>
      <c r="AD46" s="40">
        <f t="shared" si="17"/>
        <v>0</v>
      </c>
      <c r="AE46" s="40">
        <f t="shared" si="8"/>
        <v>1339.432207890869</v>
      </c>
      <c r="AF46" s="40">
        <f t="shared" si="9"/>
        <v>2728.2648235722081</v>
      </c>
      <c r="AG46" s="40">
        <f t="shared" si="10"/>
        <v>4977.1186393204807</v>
      </c>
      <c r="AH46" s="40">
        <f t="shared" si="39"/>
        <v>4094.6878219017635</v>
      </c>
      <c r="AI46" s="106">
        <f t="shared" si="24"/>
        <v>-1446459.1556358652</v>
      </c>
      <c r="AJ46" s="40">
        <f t="shared" si="18"/>
        <v>90819.141090516932</v>
      </c>
      <c r="AK46" s="108">
        <f t="shared" si="19"/>
        <v>-1437009.1601099204</v>
      </c>
    </row>
    <row r="47" spans="2:37">
      <c r="B47" s="79">
        <v>2024</v>
      </c>
      <c r="C47" s="80">
        <f t="shared" si="35"/>
        <v>0.91351724748364094</v>
      </c>
      <c r="D47" s="81">
        <f t="shared" si="34"/>
        <v>8.6999999999999994E-2</v>
      </c>
      <c r="E47" s="14"/>
      <c r="F47" s="134"/>
      <c r="G47" s="1"/>
      <c r="I47">
        <v>7</v>
      </c>
      <c r="J47" s="26">
        <f t="shared" si="36"/>
        <v>9792.2575080000006</v>
      </c>
      <c r="K47" s="24">
        <f t="shared" si="37"/>
        <v>2086.8740451073118</v>
      </c>
      <c r="L47" s="24">
        <f t="shared" si="13"/>
        <v>6365.9512550018198</v>
      </c>
      <c r="M47" s="24">
        <v>0</v>
      </c>
      <c r="N47" s="48"/>
      <c r="O47" s="32">
        <f t="shared" si="1"/>
        <v>10082.99055914864</v>
      </c>
      <c r="P47" s="32">
        <f t="shared" si="14"/>
        <v>5656.6911299760968</v>
      </c>
      <c r="Q47" s="32">
        <f t="shared" si="15"/>
        <v>4426.2994291725436</v>
      </c>
      <c r="R47" s="45">
        <f t="shared" si="20"/>
        <v>1353179.5717650906</v>
      </c>
      <c r="S47" s="31">
        <f t="shared" si="2"/>
        <v>-4317.2589220852278</v>
      </c>
      <c r="T47" s="32">
        <f t="shared" si="16"/>
        <v>0</v>
      </c>
      <c r="U47" s="32">
        <f t="shared" si="3"/>
        <v>-8743.5583512577723</v>
      </c>
      <c r="V47" s="32">
        <f t="shared" si="33"/>
        <v>2728.2648235722081</v>
      </c>
      <c r="W47" s="32">
        <f t="shared" si="5"/>
        <v>-5105.8719198281606</v>
      </c>
      <c r="X47" s="32">
        <f t="shared" si="38"/>
        <v>-4200.6134644130052</v>
      </c>
      <c r="Y47" s="102">
        <f t="shared" si="21"/>
        <v>-302105.08566208242</v>
      </c>
      <c r="Z47" s="32">
        <f t="shared" si="22"/>
        <v>-337772.33431355411</v>
      </c>
      <c r="AA47" s="45">
        <f t="shared" si="23"/>
        <v>-337772.33431355411</v>
      </c>
      <c r="AB47" s="1"/>
      <c r="AC47" s="40">
        <f t="shared" si="7"/>
        <v>1339.432207890869</v>
      </c>
      <c r="AD47" s="40">
        <f t="shared" si="17"/>
        <v>0</v>
      </c>
      <c r="AE47" s="40">
        <f t="shared" si="8"/>
        <v>1339.432207890869</v>
      </c>
      <c r="AF47" s="40">
        <f t="shared" si="9"/>
        <v>2728.2648235722081</v>
      </c>
      <c r="AG47" s="40">
        <f t="shared" si="10"/>
        <v>4977.1186393204807</v>
      </c>
      <c r="AH47" s="40">
        <f t="shared" si="39"/>
        <v>4094.6878219017635</v>
      </c>
      <c r="AI47" s="106">
        <f t="shared" si="24"/>
        <v>-1442364.4678139633</v>
      </c>
      <c r="AJ47" s="40">
        <f t="shared" si="18"/>
        <v>95796.259729837417</v>
      </c>
      <c r="AK47" s="108">
        <f t="shared" si="19"/>
        <v>-1432032.0414706001</v>
      </c>
    </row>
    <row r="48" spans="2:37">
      <c r="B48" s="82">
        <v>2025</v>
      </c>
      <c r="C48" s="80">
        <f t="shared" si="35"/>
        <v>0.90438207500880452</v>
      </c>
      <c r="D48" s="81">
        <f t="shared" si="34"/>
        <v>8.6999999999999994E-2</v>
      </c>
      <c r="E48" s="14"/>
      <c r="F48" s="134"/>
      <c r="G48" s="1"/>
      <c r="I48">
        <v>8</v>
      </c>
      <c r="J48" s="26">
        <f t="shared" si="36"/>
        <v>9201.3454169999986</v>
      </c>
      <c r="K48" s="24">
        <f t="shared" si="37"/>
        <v>2086.8740451073118</v>
      </c>
      <c r="L48" s="24">
        <f t="shared" si="13"/>
        <v>6365.9512550018198</v>
      </c>
      <c r="M48" s="24">
        <v>0</v>
      </c>
      <c r="N48" s="48"/>
      <c r="O48" s="32">
        <f t="shared" si="1"/>
        <v>10082.99055914864</v>
      </c>
      <c r="P48" s="32">
        <f t="shared" si="14"/>
        <v>5638.2482156878777</v>
      </c>
      <c r="Q48" s="32">
        <f t="shared" si="15"/>
        <v>4444.7423434607626</v>
      </c>
      <c r="R48" s="45">
        <f t="shared" si="20"/>
        <v>1348734.8294216299</v>
      </c>
      <c r="S48" s="31">
        <f t="shared" si="2"/>
        <v>-4889.7280987970107</v>
      </c>
      <c r="T48" s="32">
        <f t="shared" si="16"/>
        <v>0</v>
      </c>
      <c r="U48" s="32">
        <f t="shared" si="3"/>
        <v>-9334.4704422577743</v>
      </c>
      <c r="V48" s="32">
        <f t="shared" si="33"/>
        <v>2728.2648235722081</v>
      </c>
      <c r="W48" s="32">
        <f t="shared" si="5"/>
        <v>-5696.7840108281625</v>
      </c>
      <c r="X48" s="32">
        <f t="shared" si="38"/>
        <v>-4686.7583040631525</v>
      </c>
      <c r="Y48" s="102">
        <f t="shared" si="21"/>
        <v>-306791.84396614559</v>
      </c>
      <c r="Z48" s="32">
        <f t="shared" si="22"/>
        <v>-343469.11832438229</v>
      </c>
      <c r="AA48" s="45">
        <f t="shared" si="23"/>
        <v>-343469.11832438229</v>
      </c>
      <c r="AB48" s="1"/>
      <c r="AC48" s="40">
        <f t="shared" si="7"/>
        <v>748.52011689086703</v>
      </c>
      <c r="AD48" s="40">
        <f t="shared" si="17"/>
        <v>0</v>
      </c>
      <c r="AE48" s="40">
        <f t="shared" si="8"/>
        <v>748.52011689086703</v>
      </c>
      <c r="AF48" s="40">
        <f t="shared" si="9"/>
        <v>2728.2648235722081</v>
      </c>
      <c r="AG48" s="40">
        <f t="shared" si="10"/>
        <v>4386.2065483204788</v>
      </c>
      <c r="AH48" s="40">
        <f t="shared" si="39"/>
        <v>3608.5429822516162</v>
      </c>
      <c r="AI48" s="106">
        <f t="shared" si="24"/>
        <v>-1438755.9248317117</v>
      </c>
      <c r="AJ48" s="40">
        <f t="shared" si="18"/>
        <v>100182.4662781579</v>
      </c>
      <c r="AK48" s="108">
        <f t="shared" si="19"/>
        <v>-1427645.8349222797</v>
      </c>
    </row>
    <row r="49" spans="2:37">
      <c r="B49" s="79">
        <v>2026</v>
      </c>
      <c r="C49" s="80">
        <f t="shared" si="35"/>
        <v>0.89533825425871649</v>
      </c>
      <c r="D49" s="81">
        <f t="shared" si="34"/>
        <v>8.6999999999999994E-2</v>
      </c>
      <c r="E49" s="14"/>
      <c r="F49" s="134"/>
      <c r="G49" s="1"/>
      <c r="I49">
        <v>9</v>
      </c>
      <c r="J49" s="26">
        <f t="shared" si="36"/>
        <v>7588.9995686999991</v>
      </c>
      <c r="K49" s="24">
        <f t="shared" si="37"/>
        <v>2086.8740451073118</v>
      </c>
      <c r="L49" s="24">
        <f t="shared" si="13"/>
        <v>6365.9512550018198</v>
      </c>
      <c r="M49" s="24">
        <v>0</v>
      </c>
      <c r="N49" s="48"/>
      <c r="O49" s="32">
        <f t="shared" si="1"/>
        <v>10082.99055914864</v>
      </c>
      <c r="P49" s="32">
        <f t="shared" si="14"/>
        <v>5619.7284559234577</v>
      </c>
      <c r="Q49" s="32">
        <f t="shared" si="15"/>
        <v>4463.2621032251827</v>
      </c>
      <c r="R49" s="45">
        <f t="shared" si="20"/>
        <v>1344271.5673184048</v>
      </c>
      <c r="S49" s="31">
        <f t="shared" si="2"/>
        <v>-6483.5541873325901</v>
      </c>
      <c r="T49" s="32">
        <f t="shared" si="16"/>
        <v>0</v>
      </c>
      <c r="U49" s="32">
        <f t="shared" si="3"/>
        <v>-10946.816290557774</v>
      </c>
      <c r="V49" s="32">
        <f t="shared" si="33"/>
        <v>2728.2648235722081</v>
      </c>
      <c r="W49" s="32">
        <f t="shared" si="5"/>
        <v>-7309.129859128162</v>
      </c>
      <c r="X49" s="32">
        <f t="shared" si="38"/>
        <v>-6013.2392236799787</v>
      </c>
      <c r="Y49" s="102">
        <f t="shared" si="21"/>
        <v>-312805.08318982559</v>
      </c>
      <c r="Z49" s="32">
        <f t="shared" si="22"/>
        <v>-350778.24818351044</v>
      </c>
      <c r="AA49" s="45">
        <f t="shared" si="23"/>
        <v>-350778.24818351044</v>
      </c>
      <c r="AB49" s="1"/>
      <c r="AC49" s="40">
        <f t="shared" si="7"/>
        <v>-863.82573140913246</v>
      </c>
      <c r="AD49" s="40">
        <f t="shared" si="17"/>
        <v>0</v>
      </c>
      <c r="AE49" s="40">
        <f t="shared" si="8"/>
        <v>-863.82573140913246</v>
      </c>
      <c r="AF49" s="40">
        <f t="shared" si="9"/>
        <v>2728.2648235722081</v>
      </c>
      <c r="AG49" s="40">
        <f t="shared" si="10"/>
        <v>2773.8607000204793</v>
      </c>
      <c r="AH49" s="40">
        <f t="shared" si="39"/>
        <v>2282.0620626347904</v>
      </c>
      <c r="AI49" s="106">
        <f t="shared" si="24"/>
        <v>-1436473.8627690768</v>
      </c>
      <c r="AJ49" s="40">
        <f t="shared" si="18"/>
        <v>102956.32697817837</v>
      </c>
      <c r="AK49" s="108">
        <f t="shared" si="19"/>
        <v>-1424871.9742222591</v>
      </c>
    </row>
    <row r="50" spans="2:37">
      <c r="B50" s="82">
        <v>2027</v>
      </c>
      <c r="C50" s="80">
        <f t="shared" si="35"/>
        <v>0.88638487171612934</v>
      </c>
      <c r="D50" s="81">
        <f t="shared" si="34"/>
        <v>8.6999999999999994E-2</v>
      </c>
      <c r="E50" s="14"/>
      <c r="F50" s="134"/>
      <c r="G50" s="1"/>
      <c r="I50">
        <v>10</v>
      </c>
      <c r="J50" s="26">
        <f t="shared" si="36"/>
        <v>5520.8072501999995</v>
      </c>
      <c r="K50" s="24">
        <f t="shared" si="37"/>
        <v>2086.8740451073118</v>
      </c>
      <c r="L50" s="24">
        <f t="shared" si="13"/>
        <v>6365.9512550018198</v>
      </c>
      <c r="M50" s="24">
        <v>0</v>
      </c>
      <c r="N50" s="48"/>
      <c r="O50" s="32">
        <f t="shared" si="1"/>
        <v>10082.99055914864</v>
      </c>
      <c r="P50" s="32">
        <f t="shared" si="14"/>
        <v>5601.1315304933532</v>
      </c>
      <c r="Q50" s="32">
        <f t="shared" si="15"/>
        <v>4481.8590286552871</v>
      </c>
      <c r="R50" s="45">
        <f t="shared" si="20"/>
        <v>1339789.7082897495</v>
      </c>
      <c r="S50" s="31">
        <f t="shared" si="2"/>
        <v>-8533.1495804024853</v>
      </c>
      <c r="T50" s="32">
        <f t="shared" si="16"/>
        <v>0</v>
      </c>
      <c r="U50" s="32">
        <f t="shared" si="3"/>
        <v>-13015.008609057772</v>
      </c>
      <c r="V50" s="32">
        <f t="shared" si="33"/>
        <v>2728.2648235722081</v>
      </c>
      <c r="W50" s="32">
        <f t="shared" si="5"/>
        <v>-9377.3221776281607</v>
      </c>
      <c r="X50" s="32">
        <f t="shared" si="38"/>
        <v>-7714.746162455488</v>
      </c>
      <c r="Y50" s="102">
        <f t="shared" si="21"/>
        <v>-320519.82935228106</v>
      </c>
      <c r="Z50" s="32">
        <f t="shared" si="22"/>
        <v>-360155.57036113861</v>
      </c>
      <c r="AA50" s="45">
        <f t="shared" si="23"/>
        <v>-360155.57036113861</v>
      </c>
      <c r="AB50" s="1"/>
      <c r="AC50" s="40">
        <f t="shared" si="7"/>
        <v>-2932.0180499091321</v>
      </c>
      <c r="AD50" s="40">
        <f t="shared" si="17"/>
        <v>0</v>
      </c>
      <c r="AE50" s="40">
        <f t="shared" si="8"/>
        <v>-2932.0180499091321</v>
      </c>
      <c r="AF50" s="40">
        <f t="shared" si="9"/>
        <v>2728.2648235722081</v>
      </c>
      <c r="AG50" s="40">
        <f t="shared" si="10"/>
        <v>705.66838152047967</v>
      </c>
      <c r="AH50" s="40">
        <f t="shared" si="39"/>
        <v>580.55512385928057</v>
      </c>
      <c r="AI50" s="106">
        <f t="shared" si="24"/>
        <v>-1435893.3076452175</v>
      </c>
      <c r="AJ50" s="40">
        <f t="shared" si="18"/>
        <v>103661.99535969885</v>
      </c>
      <c r="AK50" s="108">
        <f t="shared" si="19"/>
        <v>-1424166.3058407386</v>
      </c>
    </row>
    <row r="51" spans="2:37">
      <c r="B51" s="79">
        <v>2028</v>
      </c>
      <c r="C51" s="80">
        <f t="shared" si="35"/>
        <v>0.87752102299896806</v>
      </c>
      <c r="D51" s="81">
        <f t="shared" si="34"/>
        <v>8.6999999999999994E-2</v>
      </c>
      <c r="E51" s="14"/>
      <c r="F51" s="134"/>
      <c r="G51" s="1"/>
      <c r="I51">
        <v>11</v>
      </c>
      <c r="J51" s="26">
        <f t="shared" si="36"/>
        <v>2895.4692458999998</v>
      </c>
      <c r="K51" s="24">
        <f t="shared" si="37"/>
        <v>2086.8740451073118</v>
      </c>
      <c r="L51" s="24">
        <f t="shared" si="13"/>
        <v>6365.9512550018198</v>
      </c>
      <c r="M51" s="24">
        <v>0</v>
      </c>
      <c r="N51" s="48"/>
      <c r="O51" s="32">
        <f t="shared" si="1"/>
        <v>10082.99055914864</v>
      </c>
      <c r="P51" s="32">
        <f t="shared" si="14"/>
        <v>5582.4571178739561</v>
      </c>
      <c r="Q51" s="32">
        <f t="shared" si="15"/>
        <v>4500.5334412746843</v>
      </c>
      <c r="R51" s="45">
        <f t="shared" si="20"/>
        <v>1335289.1748484748</v>
      </c>
      <c r="S51" s="31">
        <f t="shared" si="2"/>
        <v>-11139.813172083088</v>
      </c>
      <c r="T51" s="32">
        <f t="shared" si="16"/>
        <v>0</v>
      </c>
      <c r="U51" s="32">
        <f t="shared" si="3"/>
        <v>-15640.346613357771</v>
      </c>
      <c r="V51" s="32">
        <f t="shared" si="33"/>
        <v>2728.2648235722081</v>
      </c>
      <c r="W51" s="32">
        <f t="shared" si="5"/>
        <v>-12002.66018192816</v>
      </c>
      <c r="X51" s="32">
        <f t="shared" si="38"/>
        <v>-9874.6182357582784</v>
      </c>
      <c r="Y51" s="102">
        <f t="shared" si="21"/>
        <v>-330394.44758803933</v>
      </c>
      <c r="Z51" s="32">
        <f t="shared" si="22"/>
        <v>-372158.23054306675</v>
      </c>
      <c r="AA51" s="45">
        <f t="shared" si="23"/>
        <v>-372158.23054306675</v>
      </c>
      <c r="AB51" s="1"/>
      <c r="AC51" s="40">
        <f t="shared" si="7"/>
        <v>-5557.3560542091318</v>
      </c>
      <c r="AD51" s="40">
        <f t="shared" si="17"/>
        <v>0</v>
      </c>
      <c r="AE51" s="40">
        <f t="shared" si="8"/>
        <v>-5557.3560542091318</v>
      </c>
      <c r="AF51" s="40">
        <f t="shared" si="9"/>
        <v>2728.2648235722081</v>
      </c>
      <c r="AG51" s="40">
        <f t="shared" si="10"/>
        <v>-1919.669622779521</v>
      </c>
      <c r="AH51" s="40">
        <f t="shared" si="39"/>
        <v>-1579.3169494435103</v>
      </c>
      <c r="AI51" s="106">
        <f t="shared" si="24"/>
        <v>-1437472.6245946609</v>
      </c>
      <c r="AJ51" s="40">
        <f t="shared" si="18"/>
        <v>101742.32573691933</v>
      </c>
      <c r="AK51" s="108">
        <f t="shared" si="19"/>
        <v>-1426085.9754635182</v>
      </c>
    </row>
    <row r="52" spans="2:37">
      <c r="B52" s="82">
        <v>2029</v>
      </c>
      <c r="C52" s="80">
        <f t="shared" si="35"/>
        <v>0.86874581276897833</v>
      </c>
      <c r="D52" s="81">
        <f t="shared" si="34"/>
        <v>8.6999999999999994E-2</v>
      </c>
      <c r="E52" s="14"/>
      <c r="F52" s="134"/>
      <c r="G52" s="1"/>
      <c r="I52">
        <v>12</v>
      </c>
      <c r="J52" s="26">
        <f t="shared" si="36"/>
        <v>2186.3747366999996</v>
      </c>
      <c r="K52" s="24">
        <f t="shared" si="37"/>
        <v>2086.8740451073118</v>
      </c>
      <c r="L52" s="24">
        <f t="shared" si="13"/>
        <v>6365.9512550018198</v>
      </c>
      <c r="M52" s="24">
        <v>0</v>
      </c>
      <c r="N52" s="48"/>
      <c r="O52" s="32">
        <f t="shared" si="1"/>
        <v>10082.99055914864</v>
      </c>
      <c r="P52" s="32">
        <f t="shared" si="14"/>
        <v>5563.7048952019786</v>
      </c>
      <c r="Q52" s="32">
        <f t="shared" si="15"/>
        <v>4519.2856639466618</v>
      </c>
      <c r="R52" s="45">
        <f t="shared" si="20"/>
        <v>1330769.889184528</v>
      </c>
      <c r="S52" s="31">
        <f t="shared" si="2"/>
        <v>-11830.155458611111</v>
      </c>
      <c r="T52" s="32">
        <f t="shared" si="16"/>
        <v>0</v>
      </c>
      <c r="U52" s="32">
        <f t="shared" si="3"/>
        <v>-16349.441122557771</v>
      </c>
      <c r="V52" s="32">
        <f t="shared" si="33"/>
        <v>2728.2648235722081</v>
      </c>
      <c r="W52" s="32">
        <f t="shared" si="5"/>
        <v>-12711.754691128161</v>
      </c>
      <c r="X52" s="32">
        <f t="shared" si="38"/>
        <v>-10457.992043338452</v>
      </c>
      <c r="Y52" s="102">
        <f t="shared" si="21"/>
        <v>-340852.43963137775</v>
      </c>
      <c r="Z52" s="32">
        <f t="shared" si="22"/>
        <v>-384869.9852341949</v>
      </c>
      <c r="AA52" s="45">
        <f t="shared" si="23"/>
        <v>-384869.9852341949</v>
      </c>
      <c r="AB52" s="1"/>
      <c r="AC52" s="40">
        <f t="shared" si="7"/>
        <v>-6266.450563409132</v>
      </c>
      <c r="AD52" s="40">
        <f t="shared" si="17"/>
        <v>0</v>
      </c>
      <c r="AE52" s="40">
        <f t="shared" si="8"/>
        <v>-6266.450563409132</v>
      </c>
      <c r="AF52" s="40">
        <f t="shared" si="9"/>
        <v>2728.2648235722081</v>
      </c>
      <c r="AG52" s="40">
        <f t="shared" si="10"/>
        <v>-2628.7641319795212</v>
      </c>
      <c r="AH52" s="40">
        <f t="shared" si="39"/>
        <v>-2162.6907570236854</v>
      </c>
      <c r="AI52" s="106">
        <f t="shared" si="24"/>
        <v>-1439635.3153516846</v>
      </c>
      <c r="AJ52" s="40">
        <f t="shared" si="18"/>
        <v>99113.561604939809</v>
      </c>
      <c r="AK52" s="108">
        <f t="shared" si="19"/>
        <v>-1428714.7395954977</v>
      </c>
    </row>
    <row r="53" spans="2:37">
      <c r="B53" s="79">
        <v>2030</v>
      </c>
      <c r="C53" s="80">
        <f t="shared" si="35"/>
        <v>0.86005835464128855</v>
      </c>
      <c r="D53" s="81">
        <f t="shared" si="34"/>
        <v>8.6999999999999994E-2</v>
      </c>
      <c r="E53" s="14"/>
      <c r="F53" s="132" t="s">
        <v>88</v>
      </c>
      <c r="G53" s="1">
        <f>SUM(S53:S64)</f>
        <v>-87998.076433965878</v>
      </c>
      <c r="H53">
        <v>2019</v>
      </c>
      <c r="I53">
        <v>1</v>
      </c>
      <c r="J53" s="26">
        <f t="shared" ref="J53:J64" si="40">C23*$C$42*$D$42</f>
        <v>2532.2271419610001</v>
      </c>
      <c r="K53" s="24">
        <f t="shared" ref="K53:K64" si="41">$K$52*$C$8</f>
        <v>2149.4802664605313</v>
      </c>
      <c r="L53" s="24">
        <f t="shared" si="13"/>
        <v>6365.9512550018198</v>
      </c>
      <c r="M53" s="24">
        <v>0</v>
      </c>
      <c r="N53" s="48"/>
      <c r="O53" s="32">
        <f t="shared" si="1"/>
        <v>10082.99055914864</v>
      </c>
      <c r="P53" s="32">
        <f t="shared" si="14"/>
        <v>5544.8745382688667</v>
      </c>
      <c r="Q53" s="32">
        <f t="shared" si="15"/>
        <v>4538.1160208797737</v>
      </c>
      <c r="R53" s="45">
        <f t="shared" si="20"/>
        <v>1326231.7731636483</v>
      </c>
      <c r="S53" s="31">
        <f t="shared" si="2"/>
        <v>-11528.078917770217</v>
      </c>
      <c r="T53" s="32">
        <f t="shared" si="16"/>
        <v>0</v>
      </c>
      <c r="U53" s="32">
        <f t="shared" si="3"/>
        <v>-16066.194938649991</v>
      </c>
      <c r="V53" s="32">
        <f t="shared" si="33"/>
        <v>2728.2648235722081</v>
      </c>
      <c r="W53" s="32">
        <f t="shared" si="5"/>
        <v>-12428.50850722038</v>
      </c>
      <c r="X53" s="32">
        <f t="shared" ref="X53:X64" si="42">W53/(1+$C$18)^5</f>
        <v>-9738.0616255830137</v>
      </c>
      <c r="Y53" s="102">
        <f t="shared" si="21"/>
        <v>-350590.50125696079</v>
      </c>
      <c r="Z53" s="32">
        <f t="shared" si="22"/>
        <v>-397298.49374141527</v>
      </c>
      <c r="AA53" s="45">
        <f t="shared" si="23"/>
        <v>-397298.49374141527</v>
      </c>
      <c r="AB53" s="1"/>
      <c r="AC53" s="40">
        <f t="shared" si="7"/>
        <v>-5983.2043795013506</v>
      </c>
      <c r="AD53" s="40">
        <f t="shared" si="17"/>
        <v>0</v>
      </c>
      <c r="AE53" s="40">
        <f t="shared" si="8"/>
        <v>-5983.2043795013506</v>
      </c>
      <c r="AF53" s="40">
        <f t="shared" si="9"/>
        <v>2728.2648235722081</v>
      </c>
      <c r="AG53" s="40">
        <f t="shared" si="10"/>
        <v>-2345.5179480717388</v>
      </c>
      <c r="AH53" s="40">
        <f t="shared" ref="AH53:AH64" si="43">AG53/(1+$C$18)^5</f>
        <v>-1837.7746862356155</v>
      </c>
      <c r="AI53" s="106">
        <f t="shared" si="24"/>
        <v>-1441473.0900379203</v>
      </c>
      <c r="AJ53" s="40">
        <f t="shared" si="18"/>
        <v>96768.043656868074</v>
      </c>
      <c r="AK53" s="108">
        <f t="shared" si="19"/>
        <v>-1431060.2575435694</v>
      </c>
    </row>
    <row r="54" spans="2:37">
      <c r="B54" s="82">
        <v>2031</v>
      </c>
      <c r="C54" s="80">
        <f t="shared" si="35"/>
        <v>0.85145777109487564</v>
      </c>
      <c r="D54" s="81">
        <f t="shared" si="34"/>
        <v>8.6999999999999994E-2</v>
      </c>
      <c r="E54" s="14"/>
      <c r="F54" s="17" t="s">
        <v>31</v>
      </c>
      <c r="G54">
        <v>5</v>
      </c>
      <c r="I54">
        <v>2</v>
      </c>
      <c r="J54" s="26">
        <f t="shared" si="40"/>
        <v>3936.2342701769999</v>
      </c>
      <c r="K54" s="24">
        <f t="shared" si="41"/>
        <v>2149.4802664605313</v>
      </c>
      <c r="L54" s="24">
        <f t="shared" si="13"/>
        <v>6365.9512550018198</v>
      </c>
      <c r="M54" s="24">
        <v>0</v>
      </c>
      <c r="N54" s="48"/>
      <c r="O54" s="32">
        <f t="shared" si="1"/>
        <v>10082.99055914864</v>
      </c>
      <c r="P54" s="32">
        <f t="shared" si="14"/>
        <v>5525.965721515201</v>
      </c>
      <c r="Q54" s="32">
        <f t="shared" si="15"/>
        <v>4557.0248376334393</v>
      </c>
      <c r="R54" s="45">
        <f t="shared" si="20"/>
        <v>1321674.748326015</v>
      </c>
      <c r="S54" s="31">
        <f t="shared" si="2"/>
        <v>-10105.162972800554</v>
      </c>
      <c r="T54" s="32">
        <f t="shared" si="16"/>
        <v>0</v>
      </c>
      <c r="U54" s="32">
        <f t="shared" si="3"/>
        <v>-14662.187810433992</v>
      </c>
      <c r="V54" s="32">
        <f t="shared" si="33"/>
        <v>2728.2648235722081</v>
      </c>
      <c r="W54" s="32">
        <f t="shared" si="5"/>
        <v>-11024.501379004381</v>
      </c>
      <c r="X54" s="32">
        <f t="shared" si="42"/>
        <v>-8637.9853027175413</v>
      </c>
      <c r="Y54" s="102">
        <f t="shared" si="21"/>
        <v>-359228.48655967833</v>
      </c>
      <c r="Z54" s="32">
        <f t="shared" si="22"/>
        <v>-408322.99512041965</v>
      </c>
      <c r="AA54" s="45">
        <f t="shared" si="23"/>
        <v>-408322.99512041965</v>
      </c>
      <c r="AB54" s="1"/>
      <c r="AC54" s="40">
        <f t="shared" si="7"/>
        <v>-4579.1972512853517</v>
      </c>
      <c r="AD54" s="40">
        <f t="shared" si="17"/>
        <v>0</v>
      </c>
      <c r="AE54" s="40">
        <f t="shared" si="8"/>
        <v>-4579.1972512853517</v>
      </c>
      <c r="AF54" s="40">
        <f t="shared" si="9"/>
        <v>2728.2648235722081</v>
      </c>
      <c r="AG54" s="40">
        <f t="shared" si="10"/>
        <v>-941.51081985574001</v>
      </c>
      <c r="AH54" s="40">
        <f t="shared" si="43"/>
        <v>-737.69836337014385</v>
      </c>
      <c r="AI54" s="106">
        <f t="shared" si="24"/>
        <v>-1442210.7884012903</v>
      </c>
      <c r="AJ54" s="40">
        <f t="shared" si="18"/>
        <v>95826.532837012332</v>
      </c>
      <c r="AK54" s="108">
        <f t="shared" si="19"/>
        <v>-1432001.7683634253</v>
      </c>
    </row>
    <row r="55" spans="2:37">
      <c r="B55" s="79">
        <v>2032</v>
      </c>
      <c r="C55" s="80">
        <f t="shared" si="35"/>
        <v>0.84294319338392687</v>
      </c>
      <c r="D55" s="81">
        <f t="shared" si="34"/>
        <v>8.6999999999999994E-2</v>
      </c>
      <c r="E55" s="14"/>
      <c r="F55" s="13" t="s">
        <v>30</v>
      </c>
      <c r="G55" s="1">
        <f>G43+G53</f>
        <v>-450418.59836087364</v>
      </c>
      <c r="I55">
        <v>3</v>
      </c>
      <c r="J55" s="26">
        <f t="shared" si="40"/>
        <v>7345.9658672730002</v>
      </c>
      <c r="K55" s="24">
        <f t="shared" si="41"/>
        <v>2149.4802664605313</v>
      </c>
      <c r="L55" s="24">
        <f t="shared" si="13"/>
        <v>6365.9512550018198</v>
      </c>
      <c r="M55" s="24">
        <v>0</v>
      </c>
      <c r="N55" s="48"/>
      <c r="O55" s="32">
        <f t="shared" si="1"/>
        <v>10082.99055914864</v>
      </c>
      <c r="P55" s="32">
        <f t="shared" si="14"/>
        <v>5506.978118025062</v>
      </c>
      <c r="Q55" s="32">
        <f t="shared" si="15"/>
        <v>4576.0124411235784</v>
      </c>
      <c r="R55" s="45">
        <f t="shared" si="20"/>
        <v>1317098.7358848914</v>
      </c>
      <c r="S55" s="31">
        <f t="shared" si="2"/>
        <v>-6676.443772214413</v>
      </c>
      <c r="T55" s="32">
        <f t="shared" si="16"/>
        <v>0</v>
      </c>
      <c r="U55" s="32">
        <f t="shared" si="3"/>
        <v>-11252.456213337991</v>
      </c>
      <c r="V55" s="32">
        <f t="shared" si="33"/>
        <v>2728.2648235722081</v>
      </c>
      <c r="W55" s="32">
        <f t="shared" si="5"/>
        <v>-7614.7697819083796</v>
      </c>
      <c r="X55" s="32">
        <f t="shared" si="42"/>
        <v>-5966.3713757585356</v>
      </c>
      <c r="Y55" s="102">
        <f t="shared" si="21"/>
        <v>-365194.85793543688</v>
      </c>
      <c r="Z55" s="32">
        <f t="shared" si="22"/>
        <v>-415937.76490232802</v>
      </c>
      <c r="AA55" s="45">
        <f t="shared" si="23"/>
        <v>-415937.76490232802</v>
      </c>
      <c r="AB55" s="1"/>
      <c r="AC55" s="40">
        <f t="shared" si="7"/>
        <v>-1169.465654189351</v>
      </c>
      <c r="AD55" s="40">
        <f t="shared" si="17"/>
        <v>0</v>
      </c>
      <c r="AE55" s="40">
        <f t="shared" si="8"/>
        <v>-1169.465654189351</v>
      </c>
      <c r="AF55" s="40">
        <f t="shared" si="9"/>
        <v>2728.2648235722081</v>
      </c>
      <c r="AG55" s="40">
        <f t="shared" si="10"/>
        <v>2468.2207772402608</v>
      </c>
      <c r="AH55" s="40">
        <f t="shared" si="43"/>
        <v>1933.9155635888617</v>
      </c>
      <c r="AI55" s="106">
        <f t="shared" si="24"/>
        <v>-1440276.8728377013</v>
      </c>
      <c r="AJ55" s="40">
        <f t="shared" si="18"/>
        <v>98294.753614252593</v>
      </c>
      <c r="AK55" s="108">
        <f t="shared" si="19"/>
        <v>-1429533.5475861849</v>
      </c>
    </row>
    <row r="56" spans="2:37">
      <c r="B56" s="82">
        <v>2033</v>
      </c>
      <c r="C56" s="80">
        <f t="shared" si="35"/>
        <v>0.8345137614500876</v>
      </c>
      <c r="D56" s="81">
        <f t="shared" si="34"/>
        <v>8.6999999999999994E-2</v>
      </c>
      <c r="E56" s="14"/>
      <c r="F56" s="18" t="s">
        <v>39</v>
      </c>
      <c r="G56" s="1">
        <v>0</v>
      </c>
      <c r="I56">
        <v>4</v>
      </c>
      <c r="J56" s="26">
        <f t="shared" si="40"/>
        <v>9443.6193743099993</v>
      </c>
      <c r="K56" s="24">
        <f t="shared" si="41"/>
        <v>2149.4802664605313</v>
      </c>
      <c r="L56" s="24">
        <f t="shared" si="13"/>
        <v>6365.9512550018198</v>
      </c>
      <c r="M56" s="24">
        <v>0</v>
      </c>
      <c r="N56" s="48"/>
      <c r="O56" s="32">
        <f t="shared" si="1"/>
        <v>10082.99055914864</v>
      </c>
      <c r="P56" s="32">
        <f t="shared" si="14"/>
        <v>5487.9113995203807</v>
      </c>
      <c r="Q56" s="32">
        <f t="shared" si="15"/>
        <v>4595.0791596282597</v>
      </c>
      <c r="R56" s="45">
        <f t="shared" si="20"/>
        <v>1312503.656725263</v>
      </c>
      <c r="S56" s="31">
        <f t="shared" si="2"/>
        <v>-4559.7235466727325</v>
      </c>
      <c r="T56" s="32">
        <f t="shared" si="16"/>
        <v>0</v>
      </c>
      <c r="U56" s="32">
        <f t="shared" si="3"/>
        <v>-9154.8027063009922</v>
      </c>
      <c r="V56" s="32">
        <f t="shared" si="33"/>
        <v>2728.2648235722081</v>
      </c>
      <c r="W56" s="32">
        <f t="shared" si="5"/>
        <v>-5517.1162748713805</v>
      </c>
      <c r="X56" s="32">
        <f t="shared" si="42"/>
        <v>-4322.8049648107171</v>
      </c>
      <c r="Y56" s="102">
        <f t="shared" si="21"/>
        <v>-369517.66290024761</v>
      </c>
      <c r="Z56" s="32">
        <f t="shared" si="22"/>
        <v>-421454.88117719942</v>
      </c>
      <c r="AA56" s="45">
        <f t="shared" si="23"/>
        <v>-421454.88117719942</v>
      </c>
      <c r="AB56" s="1"/>
      <c r="AC56" s="40">
        <f t="shared" si="7"/>
        <v>928.18785284764817</v>
      </c>
      <c r="AD56" s="40">
        <f t="shared" si="17"/>
        <v>0</v>
      </c>
      <c r="AE56" s="40">
        <f t="shared" si="8"/>
        <v>928.18785284764817</v>
      </c>
      <c r="AF56" s="40">
        <f t="shared" si="9"/>
        <v>2728.2648235722081</v>
      </c>
      <c r="AG56" s="40">
        <f t="shared" si="10"/>
        <v>4565.8742842772599</v>
      </c>
      <c r="AH56" s="40">
        <f t="shared" si="43"/>
        <v>3577.4819745366804</v>
      </c>
      <c r="AI56" s="106">
        <f t="shared" si="24"/>
        <v>-1436699.3908631646</v>
      </c>
      <c r="AJ56" s="40">
        <f t="shared" si="18"/>
        <v>102860.62789852986</v>
      </c>
      <c r="AK56" s="108">
        <f t="shared" si="19"/>
        <v>-1424967.6733019077</v>
      </c>
    </row>
    <row r="57" spans="2:37" ht="15" thickBot="1">
      <c r="B57" s="83">
        <v>2034</v>
      </c>
      <c r="C57" s="84">
        <f t="shared" si="35"/>
        <v>0.82616862383558676</v>
      </c>
      <c r="D57" s="92">
        <f t="shared" si="34"/>
        <v>8.6999999999999994E-2</v>
      </c>
      <c r="E57" s="14"/>
      <c r="F57" s="16" t="s">
        <v>90</v>
      </c>
      <c r="G57" s="129">
        <f>$C$60</f>
        <v>0</v>
      </c>
      <c r="I57">
        <v>5</v>
      </c>
      <c r="J57" s="26">
        <f t="shared" si="40"/>
        <v>9694.3349329200009</v>
      </c>
      <c r="K57" s="24">
        <f t="shared" si="41"/>
        <v>2149.4802664605313</v>
      </c>
      <c r="L57" s="24">
        <f t="shared" si="13"/>
        <v>6365.9512550018198</v>
      </c>
      <c r="M57" s="24">
        <v>0</v>
      </c>
      <c r="N57" s="48"/>
      <c r="O57" s="32">
        <f t="shared" si="1"/>
        <v>10082.99055914864</v>
      </c>
      <c r="P57" s="32">
        <f t="shared" si="14"/>
        <v>5468.7652363552625</v>
      </c>
      <c r="Q57" s="32">
        <f t="shared" si="15"/>
        <v>4614.2253227933779</v>
      </c>
      <c r="R57" s="45">
        <f t="shared" si="20"/>
        <v>1307889.4314024695</v>
      </c>
      <c r="S57" s="31">
        <f t="shared" si="2"/>
        <v>-4289.8618248976127</v>
      </c>
      <c r="T57" s="32">
        <f t="shared" si="16"/>
        <v>0</v>
      </c>
      <c r="U57" s="32">
        <f t="shared" si="3"/>
        <v>-8904.0871476909906</v>
      </c>
      <c r="V57" s="32">
        <f t="shared" si="33"/>
        <v>2728.2648235722081</v>
      </c>
      <c r="W57" s="32">
        <f t="shared" si="5"/>
        <v>-5266.4007162613789</v>
      </c>
      <c r="X57" s="32">
        <f t="shared" si="42"/>
        <v>-4126.362764299025</v>
      </c>
      <c r="Y57" s="102">
        <f t="shared" si="21"/>
        <v>-373644.02566454664</v>
      </c>
      <c r="Z57" s="32">
        <f t="shared" si="22"/>
        <v>-426721.28189346078</v>
      </c>
      <c r="AA57" s="45">
        <f t="shared" si="23"/>
        <v>-426721.28189346078</v>
      </c>
      <c r="AB57" s="1"/>
      <c r="AC57" s="40">
        <f t="shared" si="7"/>
        <v>1178.9034114576498</v>
      </c>
      <c r="AD57" s="40">
        <f t="shared" si="17"/>
        <v>0</v>
      </c>
      <c r="AE57" s="40">
        <f t="shared" si="8"/>
        <v>1178.9034114576498</v>
      </c>
      <c r="AF57" s="40">
        <f t="shared" si="9"/>
        <v>2728.2648235722081</v>
      </c>
      <c r="AG57" s="40">
        <f t="shared" si="10"/>
        <v>4816.5898428872615</v>
      </c>
      <c r="AH57" s="40">
        <f t="shared" si="43"/>
        <v>3773.9241750483729</v>
      </c>
      <c r="AI57" s="106">
        <f t="shared" si="24"/>
        <v>-1432925.4666881161</v>
      </c>
      <c r="AJ57" s="40">
        <f t="shared" si="18"/>
        <v>107677.21774141712</v>
      </c>
      <c r="AK57" s="108">
        <f t="shared" si="19"/>
        <v>-1420151.0834590204</v>
      </c>
    </row>
    <row r="58" spans="2:37" ht="15" thickBot="1">
      <c r="B58" s="19"/>
      <c r="C58" s="20"/>
      <c r="D58" s="15"/>
      <c r="E58" s="15"/>
      <c r="F58" s="135"/>
      <c r="G58" s="1"/>
      <c r="I58">
        <v>6</v>
      </c>
      <c r="J58" s="26">
        <f t="shared" si="40"/>
        <v>9694.3349329200009</v>
      </c>
      <c r="K58" s="24">
        <f t="shared" si="41"/>
        <v>2149.4802664605313</v>
      </c>
      <c r="L58" s="24">
        <f t="shared" si="13"/>
        <v>6365.9512550018198</v>
      </c>
      <c r="M58" s="24">
        <v>0</v>
      </c>
      <c r="N58" s="48"/>
      <c r="O58" s="32">
        <f t="shared" si="1"/>
        <v>10082.99055914864</v>
      </c>
      <c r="P58" s="32">
        <f t="shared" si="14"/>
        <v>5449.5392975102895</v>
      </c>
      <c r="Q58" s="32">
        <f t="shared" si="15"/>
        <v>4633.4512616383508</v>
      </c>
      <c r="R58" s="45">
        <f t="shared" si="20"/>
        <v>1303255.9801408311</v>
      </c>
      <c r="S58" s="31">
        <f t="shared" si="2"/>
        <v>-4270.6358860526398</v>
      </c>
      <c r="T58" s="32">
        <f t="shared" si="16"/>
        <v>0</v>
      </c>
      <c r="U58" s="32">
        <f t="shared" si="3"/>
        <v>-8904.0871476909906</v>
      </c>
      <c r="V58" s="32">
        <f t="shared" si="33"/>
        <v>2728.2648235722081</v>
      </c>
      <c r="W58" s="32">
        <f t="shared" si="5"/>
        <v>-5266.4007162613789</v>
      </c>
      <c r="X58" s="32">
        <f t="shared" si="42"/>
        <v>-4126.362764299025</v>
      </c>
      <c r="Y58" s="102">
        <f t="shared" si="21"/>
        <v>-377770.38842884568</v>
      </c>
      <c r="Z58" s="32">
        <f t="shared" si="22"/>
        <v>-431987.68260972213</v>
      </c>
      <c r="AA58" s="45">
        <f t="shared" si="23"/>
        <v>-431987.68260972213</v>
      </c>
      <c r="AB58" s="1"/>
      <c r="AC58" s="40">
        <f t="shared" si="7"/>
        <v>1178.9034114576498</v>
      </c>
      <c r="AD58" s="40">
        <f t="shared" si="17"/>
        <v>0</v>
      </c>
      <c r="AE58" s="40">
        <f t="shared" si="8"/>
        <v>1178.9034114576498</v>
      </c>
      <c r="AF58" s="40">
        <f t="shared" si="9"/>
        <v>2728.2648235722081</v>
      </c>
      <c r="AG58" s="40">
        <f t="shared" si="10"/>
        <v>4816.5898428872615</v>
      </c>
      <c r="AH58" s="40">
        <f t="shared" si="43"/>
        <v>3773.9241750483729</v>
      </c>
      <c r="AI58" s="106">
        <f t="shared" si="24"/>
        <v>-1429151.5425130676</v>
      </c>
      <c r="AJ58" s="40">
        <f t="shared" si="18"/>
        <v>112493.80758430438</v>
      </c>
      <c r="AK58" s="108">
        <f t="shared" si="19"/>
        <v>-1415334.493616133</v>
      </c>
    </row>
    <row r="59" spans="2:37">
      <c r="B59" s="85" t="s">
        <v>68</v>
      </c>
      <c r="C59" s="116" t="s">
        <v>38</v>
      </c>
      <c r="G59" s="1"/>
      <c r="I59">
        <v>7</v>
      </c>
      <c r="J59" s="26">
        <f t="shared" si="40"/>
        <v>9694.3349329200009</v>
      </c>
      <c r="K59" s="24">
        <f t="shared" si="41"/>
        <v>2149.4802664605313</v>
      </c>
      <c r="L59" s="24">
        <f t="shared" si="13"/>
        <v>6365.9512550018198</v>
      </c>
      <c r="M59" s="24">
        <v>0</v>
      </c>
      <c r="N59" s="48"/>
      <c r="O59" s="32">
        <f t="shared" si="1"/>
        <v>10082.99055914864</v>
      </c>
      <c r="P59" s="32">
        <f t="shared" si="14"/>
        <v>5430.2332505867962</v>
      </c>
      <c r="Q59" s="32">
        <f t="shared" si="15"/>
        <v>4652.7573085618442</v>
      </c>
      <c r="R59" s="45">
        <f t="shared" si="20"/>
        <v>1298603.2228322693</v>
      </c>
      <c r="S59" s="31">
        <f t="shared" si="2"/>
        <v>-4251.3298391291464</v>
      </c>
      <c r="T59" s="32">
        <f t="shared" si="16"/>
        <v>0</v>
      </c>
      <c r="U59" s="32">
        <f t="shared" si="3"/>
        <v>-8904.0871476909906</v>
      </c>
      <c r="V59" s="32">
        <f t="shared" si="33"/>
        <v>2728.2648235722081</v>
      </c>
      <c r="W59" s="32">
        <f t="shared" si="5"/>
        <v>-5266.4007162613789</v>
      </c>
      <c r="X59" s="32">
        <f t="shared" si="42"/>
        <v>-4126.362764299025</v>
      </c>
      <c r="Y59" s="102">
        <f t="shared" si="21"/>
        <v>-381896.75119314471</v>
      </c>
      <c r="Z59" s="32">
        <f t="shared" si="22"/>
        <v>-437254.08332598349</v>
      </c>
      <c r="AA59" s="45">
        <f t="shared" si="23"/>
        <v>-437254.08332598349</v>
      </c>
      <c r="AB59" s="1"/>
      <c r="AC59" s="40">
        <f t="shared" si="7"/>
        <v>1178.9034114576498</v>
      </c>
      <c r="AD59" s="40">
        <f t="shared" si="17"/>
        <v>0</v>
      </c>
      <c r="AE59" s="40">
        <f t="shared" si="8"/>
        <v>1178.9034114576498</v>
      </c>
      <c r="AF59" s="40">
        <f t="shared" si="9"/>
        <v>2728.2648235722081</v>
      </c>
      <c r="AG59" s="40">
        <f t="shared" si="10"/>
        <v>4816.5898428872615</v>
      </c>
      <c r="AH59" s="40">
        <f t="shared" si="43"/>
        <v>3773.9241750483729</v>
      </c>
      <c r="AI59" s="106">
        <f t="shared" si="24"/>
        <v>-1425377.6183380191</v>
      </c>
      <c r="AJ59" s="40">
        <f t="shared" si="18"/>
        <v>117310.39742719164</v>
      </c>
      <c r="AK59" s="108">
        <f t="shared" si="19"/>
        <v>-1410517.9037732456</v>
      </c>
    </row>
    <row r="60" spans="2:37">
      <c r="B60" s="25" t="s">
        <v>95</v>
      </c>
      <c r="C60" s="86">
        <v>0</v>
      </c>
      <c r="D60" s="50"/>
      <c r="E60" s="50"/>
      <c r="G60" s="1"/>
      <c r="I60">
        <v>8</v>
      </c>
      <c r="J60" s="26">
        <f t="shared" si="40"/>
        <v>9109.3319628299996</v>
      </c>
      <c r="K60" s="24">
        <f t="shared" si="41"/>
        <v>2149.4802664605313</v>
      </c>
      <c r="L60" s="24">
        <f t="shared" si="13"/>
        <v>6365.9512550018198</v>
      </c>
      <c r="M60" s="24">
        <v>0</v>
      </c>
      <c r="N60" s="48"/>
      <c r="O60" s="32">
        <f t="shared" si="1"/>
        <v>10082.99055914864</v>
      </c>
      <c r="P60" s="32">
        <f t="shared" si="14"/>
        <v>5410.8467618011218</v>
      </c>
      <c r="Q60" s="32">
        <f t="shared" si="15"/>
        <v>4672.1437973475186</v>
      </c>
      <c r="R60" s="45">
        <f t="shared" si="20"/>
        <v>1293931.0790349217</v>
      </c>
      <c r="S60" s="31">
        <f t="shared" si="2"/>
        <v>-4816.9463204334734</v>
      </c>
      <c r="T60" s="32">
        <f t="shared" si="16"/>
        <v>0</v>
      </c>
      <c r="U60" s="32">
        <f t="shared" si="3"/>
        <v>-9489.0901177809919</v>
      </c>
      <c r="V60" s="32">
        <f t="shared" si="33"/>
        <v>2728.2648235722081</v>
      </c>
      <c r="W60" s="32">
        <f t="shared" si="5"/>
        <v>-5851.4036863513802</v>
      </c>
      <c r="X60" s="32">
        <f t="shared" si="42"/>
        <v>-4584.727898826306</v>
      </c>
      <c r="Y60" s="102">
        <f t="shared" si="21"/>
        <v>-386481.47909197101</v>
      </c>
      <c r="Z60" s="32">
        <f t="shared" si="22"/>
        <v>-443105.48701233487</v>
      </c>
      <c r="AA60" s="45">
        <f t="shared" si="23"/>
        <v>-443105.48701233487</v>
      </c>
      <c r="AB60" s="1"/>
      <c r="AC60" s="40">
        <f t="shared" si="7"/>
        <v>593.90044136764845</v>
      </c>
      <c r="AD60" s="40">
        <f t="shared" si="17"/>
        <v>0</v>
      </c>
      <c r="AE60" s="40">
        <f t="shared" si="8"/>
        <v>593.90044136764845</v>
      </c>
      <c r="AF60" s="40">
        <f t="shared" si="9"/>
        <v>2728.2648235722081</v>
      </c>
      <c r="AG60" s="40">
        <f t="shared" si="10"/>
        <v>4231.5868727972602</v>
      </c>
      <c r="AH60" s="40">
        <f t="shared" si="43"/>
        <v>3315.5590405210919</v>
      </c>
      <c r="AI60" s="106">
        <f t="shared" si="24"/>
        <v>-1422062.0592974981</v>
      </c>
      <c r="AJ60" s="40">
        <f t="shared" si="18"/>
        <v>121541.98429998889</v>
      </c>
      <c r="AK60" s="108">
        <f t="shared" si="19"/>
        <v>-1406286.3169004484</v>
      </c>
    </row>
    <row r="61" spans="2:37" ht="15" thickBot="1">
      <c r="B61" s="65" t="s">
        <v>96</v>
      </c>
      <c r="C61" s="145">
        <v>0.29649999999999999</v>
      </c>
      <c r="G61" s="1"/>
      <c r="I61">
        <v>9</v>
      </c>
      <c r="J61" s="26">
        <f t="shared" si="40"/>
        <v>7513.109573013001</v>
      </c>
      <c r="K61" s="24">
        <f t="shared" si="41"/>
        <v>2149.4802664605313</v>
      </c>
      <c r="L61" s="24">
        <f t="shared" si="13"/>
        <v>6365.9512550018198</v>
      </c>
      <c r="M61" s="24">
        <v>0</v>
      </c>
      <c r="N61" s="48"/>
      <c r="O61" s="32">
        <f t="shared" si="1"/>
        <v>10082.99055914864</v>
      </c>
      <c r="P61" s="32">
        <f t="shared" si="14"/>
        <v>5391.3794959788402</v>
      </c>
      <c r="Q61" s="32">
        <f t="shared" si="15"/>
        <v>4691.6110631698002</v>
      </c>
      <c r="R61" s="45">
        <f t="shared" si="20"/>
        <v>1289239.4679717519</v>
      </c>
      <c r="S61" s="31">
        <f t="shared" si="2"/>
        <v>-6393.7014444281904</v>
      </c>
      <c r="T61" s="32">
        <f t="shared" si="16"/>
        <v>0</v>
      </c>
      <c r="U61" s="32">
        <f t="shared" si="3"/>
        <v>-11085.312507597991</v>
      </c>
      <c r="V61" s="32">
        <f t="shared" si="33"/>
        <v>2728.2648235722081</v>
      </c>
      <c r="W61" s="32">
        <f t="shared" si="5"/>
        <v>-7447.6260761683798</v>
      </c>
      <c r="X61" s="32">
        <f t="shared" si="42"/>
        <v>-5835.409908750742</v>
      </c>
      <c r="Y61" s="102">
        <f t="shared" si="21"/>
        <v>-392316.88900072174</v>
      </c>
      <c r="Z61" s="32">
        <f t="shared" si="22"/>
        <v>-450553.11308850325</v>
      </c>
      <c r="AA61" s="45">
        <f t="shared" si="23"/>
        <v>-450553.11308850325</v>
      </c>
      <c r="AB61" s="1"/>
      <c r="AC61" s="40">
        <f t="shared" si="7"/>
        <v>-1002.3219484493502</v>
      </c>
      <c r="AD61" s="40">
        <f t="shared" si="17"/>
        <v>0</v>
      </c>
      <c r="AE61" s="40">
        <f t="shared" si="8"/>
        <v>-1002.3219484493502</v>
      </c>
      <c r="AF61" s="40">
        <f t="shared" si="9"/>
        <v>2728.2648235722081</v>
      </c>
      <c r="AG61" s="40">
        <f t="shared" si="10"/>
        <v>2635.3644829802615</v>
      </c>
      <c r="AH61" s="40">
        <f t="shared" si="43"/>
        <v>2064.8770305966568</v>
      </c>
      <c r="AI61" s="106">
        <f t="shared" si="24"/>
        <v>-1419997.1822669015</v>
      </c>
      <c r="AJ61" s="40">
        <f t="shared" si="18"/>
        <v>124177.34878296916</v>
      </c>
      <c r="AK61" s="108">
        <f t="shared" si="19"/>
        <v>-1403650.9524174682</v>
      </c>
    </row>
    <row r="62" spans="2:37">
      <c r="G62" s="1"/>
      <c r="I62">
        <v>10</v>
      </c>
      <c r="J62" s="26">
        <f t="shared" si="40"/>
        <v>5465.5991776979999</v>
      </c>
      <c r="K62" s="24">
        <f t="shared" si="41"/>
        <v>2149.4802664605313</v>
      </c>
      <c r="L62" s="24">
        <f t="shared" si="13"/>
        <v>6365.9512550018198</v>
      </c>
      <c r="M62" s="24">
        <v>0</v>
      </c>
      <c r="N62" s="48"/>
      <c r="O62" s="32">
        <f t="shared" si="1"/>
        <v>10082.99055914864</v>
      </c>
      <c r="P62" s="32">
        <f t="shared" si="14"/>
        <v>5371.8311165489667</v>
      </c>
      <c r="Q62" s="32">
        <f t="shared" si="15"/>
        <v>4711.1594425996736</v>
      </c>
      <c r="R62" s="45">
        <f t="shared" si="20"/>
        <v>1284528.3085291523</v>
      </c>
      <c r="S62" s="31">
        <f t="shared" si="2"/>
        <v>-8421.663460313317</v>
      </c>
      <c r="T62" s="32">
        <f t="shared" si="16"/>
        <v>0</v>
      </c>
      <c r="U62" s="32">
        <f t="shared" si="3"/>
        <v>-13132.822902912991</v>
      </c>
      <c r="V62" s="32">
        <f t="shared" si="33"/>
        <v>2728.2648235722081</v>
      </c>
      <c r="W62" s="32">
        <f t="shared" si="5"/>
        <v>-9495.1364714833799</v>
      </c>
      <c r="X62" s="32">
        <f t="shared" si="42"/>
        <v>-7439.687879596223</v>
      </c>
      <c r="Y62" s="102">
        <f t="shared" si="21"/>
        <v>-399756.57688031794</v>
      </c>
      <c r="Z62" s="32">
        <f t="shared" si="22"/>
        <v>-460048.24955998664</v>
      </c>
      <c r="AA62" s="45">
        <f t="shared" si="23"/>
        <v>-460048.24955998664</v>
      </c>
      <c r="AB62" s="1"/>
      <c r="AC62" s="40">
        <f t="shared" si="7"/>
        <v>-3049.8323437643512</v>
      </c>
      <c r="AD62" s="40">
        <f t="shared" si="17"/>
        <v>0</v>
      </c>
      <c r="AE62" s="40">
        <f t="shared" si="8"/>
        <v>-3049.8323437643512</v>
      </c>
      <c r="AF62" s="40">
        <f t="shared" si="9"/>
        <v>2728.2648235722081</v>
      </c>
      <c r="AG62" s="40">
        <f t="shared" si="10"/>
        <v>587.85408766526052</v>
      </c>
      <c r="AH62" s="40">
        <f t="shared" si="43"/>
        <v>460.59905975117499</v>
      </c>
      <c r="AI62" s="106">
        <f t="shared" si="24"/>
        <v>-1419536.5832071502</v>
      </c>
      <c r="AJ62" s="40">
        <f t="shared" si="18"/>
        <v>124765.20287063441</v>
      </c>
      <c r="AK62" s="108">
        <f t="shared" si="19"/>
        <v>-1403063.098329803</v>
      </c>
    </row>
    <row r="63" spans="2:37">
      <c r="G63" s="1"/>
      <c r="I63">
        <v>11</v>
      </c>
      <c r="J63" s="26">
        <f t="shared" si="40"/>
        <v>2866.5145534410003</v>
      </c>
      <c r="K63" s="24">
        <f t="shared" si="41"/>
        <v>2149.4802664605313</v>
      </c>
      <c r="L63" s="24">
        <f t="shared" si="13"/>
        <v>6365.9512550018198</v>
      </c>
      <c r="M63" s="24">
        <v>0</v>
      </c>
      <c r="N63" s="48"/>
      <c r="O63" s="32">
        <f t="shared" si="1"/>
        <v>10082.99055914864</v>
      </c>
      <c r="P63" s="32">
        <f t="shared" si="14"/>
        <v>5352.2012855381345</v>
      </c>
      <c r="Q63" s="32">
        <f t="shared" si="15"/>
        <v>4730.7892736105059</v>
      </c>
      <c r="R63" s="45">
        <f t="shared" si="20"/>
        <v>1279797.5192555417</v>
      </c>
      <c r="S63" s="31">
        <f t="shared" si="2"/>
        <v>-11001.118253559485</v>
      </c>
      <c r="T63" s="32">
        <f t="shared" si="16"/>
        <v>0</v>
      </c>
      <c r="U63" s="32">
        <f t="shared" si="3"/>
        <v>-15731.907527169991</v>
      </c>
      <c r="V63" s="32">
        <f t="shared" si="33"/>
        <v>2728.2648235722081</v>
      </c>
      <c r="W63" s="32">
        <f t="shared" si="5"/>
        <v>-12094.22109574038</v>
      </c>
      <c r="X63" s="32">
        <f t="shared" si="42"/>
        <v>-9476.1386915674248</v>
      </c>
      <c r="Y63" s="102">
        <f t="shared" si="21"/>
        <v>-409232.71557188535</v>
      </c>
      <c r="Z63" s="32">
        <f t="shared" si="22"/>
        <v>-472142.47065572703</v>
      </c>
      <c r="AA63" s="45">
        <f t="shared" si="23"/>
        <v>-472142.47065572703</v>
      </c>
      <c r="AB63" s="1"/>
      <c r="AC63" s="40">
        <f t="shared" si="7"/>
        <v>-5648.9169680213508</v>
      </c>
      <c r="AD63" s="40">
        <f t="shared" si="17"/>
        <v>0</v>
      </c>
      <c r="AE63" s="40">
        <f t="shared" si="8"/>
        <v>-5648.9169680213508</v>
      </c>
      <c r="AF63" s="40">
        <f t="shared" si="9"/>
        <v>2728.2648235722081</v>
      </c>
      <c r="AG63" s="40">
        <f t="shared" si="10"/>
        <v>-2011.2305365917391</v>
      </c>
      <c r="AH63" s="40">
        <f t="shared" si="43"/>
        <v>-1575.851752220027</v>
      </c>
      <c r="AI63" s="106">
        <f t="shared" si="24"/>
        <v>-1421112.4349593702</v>
      </c>
      <c r="AJ63" s="40">
        <f t="shared" si="18"/>
        <v>122753.97233404267</v>
      </c>
      <c r="AK63" s="108">
        <f t="shared" si="19"/>
        <v>-1405074.3288663947</v>
      </c>
    </row>
    <row r="64" spans="2:37">
      <c r="B64" s="146" t="s">
        <v>50</v>
      </c>
      <c r="C64" s="146"/>
      <c r="D64" s="146"/>
      <c r="E64" s="146"/>
      <c r="G64" s="1"/>
      <c r="I64">
        <v>12</v>
      </c>
      <c r="J64" s="26">
        <f t="shared" si="40"/>
        <v>2164.510989333</v>
      </c>
      <c r="K64" s="24">
        <f t="shared" si="41"/>
        <v>2149.4802664605313</v>
      </c>
      <c r="L64" s="24">
        <f t="shared" si="13"/>
        <v>6365.9512550018198</v>
      </c>
      <c r="M64" s="24">
        <v>0</v>
      </c>
      <c r="N64" s="48"/>
      <c r="O64" s="32">
        <f t="shared" si="1"/>
        <v>10082.99055914864</v>
      </c>
      <c r="P64" s="32">
        <f t="shared" si="14"/>
        <v>5332.4896635647574</v>
      </c>
      <c r="Q64" s="32">
        <f t="shared" si="15"/>
        <v>4750.500895583883</v>
      </c>
      <c r="R64" s="45">
        <f t="shared" si="20"/>
        <v>1275047.018359958</v>
      </c>
      <c r="S64" s="31">
        <f t="shared" si="2"/>
        <v>-11683.410195694109</v>
      </c>
      <c r="T64" s="32">
        <f t="shared" si="16"/>
        <v>0</v>
      </c>
      <c r="U64" s="32">
        <f t="shared" si="3"/>
        <v>-16433.911091277991</v>
      </c>
      <c r="V64" s="32">
        <f t="shared" si="33"/>
        <v>2728.2648235722081</v>
      </c>
      <c r="W64" s="32">
        <f t="shared" si="5"/>
        <v>-12796.22465984838</v>
      </c>
      <c r="X64" s="32">
        <f t="shared" si="42"/>
        <v>-10026.176853000161</v>
      </c>
      <c r="Y64" s="102">
        <f t="shared" si="21"/>
        <v>-419258.89242488553</v>
      </c>
      <c r="Z64" s="32">
        <f t="shared" si="22"/>
        <v>-484938.6953155754</v>
      </c>
      <c r="AA64" s="45">
        <f t="shared" si="23"/>
        <v>-484938.6953155754</v>
      </c>
      <c r="AB64" s="1"/>
      <c r="AC64" s="40">
        <f t="shared" si="7"/>
        <v>-6350.9205321293512</v>
      </c>
      <c r="AD64" s="40">
        <f t="shared" si="17"/>
        <v>0</v>
      </c>
      <c r="AE64" s="40">
        <f t="shared" si="8"/>
        <v>-6350.9205321293512</v>
      </c>
      <c r="AF64" s="40">
        <f t="shared" si="9"/>
        <v>2728.2648235722081</v>
      </c>
      <c r="AG64" s="40">
        <f t="shared" si="10"/>
        <v>-2713.2341006997403</v>
      </c>
      <c r="AH64" s="40">
        <f t="shared" si="43"/>
        <v>-2125.8899136527643</v>
      </c>
      <c r="AI64" s="106">
        <f t="shared" si="24"/>
        <v>-1423238.324873023</v>
      </c>
      <c r="AJ64" s="40">
        <f t="shared" si="18"/>
        <v>120040.73823334293</v>
      </c>
      <c r="AK64" s="108">
        <f t="shared" si="19"/>
        <v>-1407787.5629670944</v>
      </c>
    </row>
    <row r="65" spans="2:37" ht="15" thickBot="1">
      <c r="B65" s="1"/>
      <c r="F65" s="132" t="s">
        <v>88</v>
      </c>
      <c r="G65" s="1">
        <f>SUM(S65:S76)</f>
        <v>-86715.602680175987</v>
      </c>
      <c r="H65">
        <v>2020</v>
      </c>
      <c r="I65">
        <v>1</v>
      </c>
      <c r="J65" s="26">
        <f t="shared" ref="J65:J76" si="44">C23*$C$43*$D$43</f>
        <v>2506.9048705413898</v>
      </c>
      <c r="K65" s="24">
        <f t="shared" ref="K65:K76" si="45">$K$64*$C$8</f>
        <v>2213.9646744543475</v>
      </c>
      <c r="L65" s="24">
        <f t="shared" si="13"/>
        <v>6365.9512550018198</v>
      </c>
      <c r="M65" s="24">
        <v>0</v>
      </c>
      <c r="N65" s="48"/>
      <c r="O65" s="32">
        <f t="shared" si="1"/>
        <v>10082.99055914864</v>
      </c>
      <c r="P65" s="32">
        <f t="shared" si="14"/>
        <v>5312.6959098331581</v>
      </c>
      <c r="Q65" s="32">
        <f t="shared" si="15"/>
        <v>4770.2946493154823</v>
      </c>
      <c r="R65" s="45">
        <f t="shared" si="20"/>
        <v>1270276.7237106424</v>
      </c>
      <c r="S65" s="31">
        <f t="shared" si="2"/>
        <v>-11385.706968747934</v>
      </c>
      <c r="T65" s="32">
        <f t="shared" si="16"/>
        <v>0</v>
      </c>
      <c r="U65" s="32">
        <f t="shared" si="3"/>
        <v>-16156.001618063417</v>
      </c>
      <c r="V65" s="32">
        <f t="shared" si="33"/>
        <v>2728.2648235722081</v>
      </c>
      <c r="W65" s="32">
        <f t="shared" si="5"/>
        <v>-12518.315186633808</v>
      </c>
      <c r="X65" s="32">
        <f t="shared" ref="X65:X76" si="46">W65/(1+$C$18)^6</f>
        <v>-9341.3595322162673</v>
      </c>
      <c r="Y65" s="102">
        <f t="shared" si="21"/>
        <v>-428600.25195710181</v>
      </c>
      <c r="Z65" s="32">
        <f t="shared" si="22"/>
        <v>-497457.01050220919</v>
      </c>
      <c r="AA65" s="45">
        <f t="shared" si="23"/>
        <v>-497457.01050220919</v>
      </c>
      <c r="AB65" s="1"/>
      <c r="AC65" s="40">
        <f t="shared" si="7"/>
        <v>-6073.0110589147771</v>
      </c>
      <c r="AD65" s="40">
        <f t="shared" si="17"/>
        <v>0</v>
      </c>
      <c r="AE65" s="40">
        <f t="shared" si="8"/>
        <v>-6073.0110589147771</v>
      </c>
      <c r="AF65" s="40">
        <f t="shared" si="9"/>
        <v>2728.2648235722081</v>
      </c>
      <c r="AG65" s="40">
        <f t="shared" si="10"/>
        <v>-2435.3246274851654</v>
      </c>
      <c r="AH65" s="40">
        <f t="shared" ref="AH65:AH76" si="47">AG65/(1+$C$18)^6</f>
        <v>-1817.2767328377902</v>
      </c>
      <c r="AI65" s="106">
        <f t="shared" si="24"/>
        <v>-1425055.6016058607</v>
      </c>
      <c r="AJ65" s="40">
        <f t="shared" si="18"/>
        <v>117605.41360585776</v>
      </c>
      <c r="AK65" s="108">
        <f t="shared" si="19"/>
        <v>-1410222.8875945795</v>
      </c>
    </row>
    <row r="66" spans="2:37">
      <c r="B66" s="139" t="s">
        <v>94</v>
      </c>
      <c r="C66" s="98" t="s">
        <v>48</v>
      </c>
      <c r="D66" s="100" t="s">
        <v>49</v>
      </c>
      <c r="E66" s="93" t="s">
        <v>67</v>
      </c>
      <c r="F66" s="17" t="s">
        <v>31</v>
      </c>
      <c r="G66">
        <v>6</v>
      </c>
      <c r="I66">
        <v>2</v>
      </c>
      <c r="J66" s="26">
        <f t="shared" si="44"/>
        <v>3896.8719274752298</v>
      </c>
      <c r="K66" s="24">
        <f t="shared" si="45"/>
        <v>2213.9646744543475</v>
      </c>
      <c r="L66" s="24">
        <f t="shared" si="13"/>
        <v>6365.9512550018198</v>
      </c>
      <c r="M66" s="24">
        <v>0</v>
      </c>
      <c r="N66" s="48"/>
      <c r="O66" s="32">
        <f t="shared" si="1"/>
        <v>10082.99055914864</v>
      </c>
      <c r="P66" s="32">
        <f t="shared" si="14"/>
        <v>5292.819682127677</v>
      </c>
      <c r="Q66" s="32">
        <f t="shared" si="15"/>
        <v>4790.1708770209634</v>
      </c>
      <c r="R66" s="45">
        <f t="shared" si="20"/>
        <v>1265486.5528336214</v>
      </c>
      <c r="S66" s="31">
        <f t="shared" si="2"/>
        <v>-9975.8636841086154</v>
      </c>
      <c r="T66" s="32">
        <f t="shared" si="16"/>
        <v>0</v>
      </c>
      <c r="U66" s="32">
        <f t="shared" si="3"/>
        <v>-14766.034561129578</v>
      </c>
      <c r="V66" s="32">
        <f t="shared" si="33"/>
        <v>2728.2648235722081</v>
      </c>
      <c r="W66" s="32">
        <f t="shared" si="5"/>
        <v>-11128.348129699967</v>
      </c>
      <c r="X66" s="32">
        <f t="shared" si="46"/>
        <v>-8304.1447135145354</v>
      </c>
      <c r="Y66" s="102">
        <f t="shared" si="21"/>
        <v>-436904.39667061635</v>
      </c>
      <c r="Z66" s="32">
        <f t="shared" si="22"/>
        <v>-508585.35863190913</v>
      </c>
      <c r="AA66" s="45">
        <f t="shared" si="23"/>
        <v>-508585.35863190913</v>
      </c>
      <c r="AB66" s="1"/>
      <c r="AC66" s="40">
        <f t="shared" si="7"/>
        <v>-4683.0440019809375</v>
      </c>
      <c r="AD66" s="40">
        <f t="shared" si="17"/>
        <v>0</v>
      </c>
      <c r="AE66" s="40">
        <f t="shared" si="8"/>
        <v>-4683.0440019809375</v>
      </c>
      <c r="AF66" s="40">
        <f t="shared" si="9"/>
        <v>2728.2648235722081</v>
      </c>
      <c r="AG66" s="40">
        <f t="shared" si="10"/>
        <v>-1045.3575705513258</v>
      </c>
      <c r="AH66" s="40">
        <f t="shared" si="47"/>
        <v>-780.06191413605904</v>
      </c>
      <c r="AI66" s="106">
        <f t="shared" si="24"/>
        <v>-1425835.6635199969</v>
      </c>
      <c r="AJ66" s="40">
        <f t="shared" si="18"/>
        <v>116560.05603530644</v>
      </c>
      <c r="AK66" s="108">
        <f t="shared" si="19"/>
        <v>-1411268.2451651308</v>
      </c>
    </row>
    <row r="67" spans="2:37">
      <c r="B67" s="94" t="s">
        <v>99</v>
      </c>
      <c r="C67" s="99">
        <f>IRR(AM5:AM25)</f>
        <v>-7.6005220224602765E-2</v>
      </c>
      <c r="D67" s="136" t="s">
        <v>66</v>
      </c>
      <c r="E67" s="96" t="e">
        <f>IRR(AN5:AN25)</f>
        <v>#NUM!</v>
      </c>
      <c r="F67" s="13" t="s">
        <v>30</v>
      </c>
      <c r="G67" s="1">
        <f>G55+G65</f>
        <v>-537134.20104104967</v>
      </c>
      <c r="I67">
        <v>3</v>
      </c>
      <c r="J67" s="26">
        <f t="shared" si="44"/>
        <v>7272.5062086002699</v>
      </c>
      <c r="K67" s="24">
        <f t="shared" si="45"/>
        <v>2213.9646744543475</v>
      </c>
      <c r="L67" s="24">
        <f t="shared" si="13"/>
        <v>6365.9512550018198</v>
      </c>
      <c r="M67" s="24">
        <v>0</v>
      </c>
      <c r="N67" s="48"/>
      <c r="O67" s="32">
        <f t="shared" si="1"/>
        <v>10082.99055914864</v>
      </c>
      <c r="P67" s="32">
        <f t="shared" si="14"/>
        <v>5272.8606368067558</v>
      </c>
      <c r="Q67" s="32">
        <f t="shared" si="15"/>
        <v>4810.1299223418846</v>
      </c>
      <c r="R67" s="45">
        <f t="shared" si="20"/>
        <v>1260676.4229112796</v>
      </c>
      <c r="S67" s="31">
        <f t="shared" si="2"/>
        <v>-6580.2703576626527</v>
      </c>
      <c r="T67" s="32">
        <f t="shared" si="16"/>
        <v>0</v>
      </c>
      <c r="U67" s="32">
        <f t="shared" si="3"/>
        <v>-11390.400280004538</v>
      </c>
      <c r="V67" s="32">
        <f t="shared" si="33"/>
        <v>2728.2648235722081</v>
      </c>
      <c r="W67" s="32">
        <f t="shared" si="5"/>
        <v>-7752.7138485749265</v>
      </c>
      <c r="X67" s="32">
        <f t="shared" si="46"/>
        <v>-5785.1944395246146</v>
      </c>
      <c r="Y67" s="102">
        <f t="shared" si="21"/>
        <v>-442689.59111014096</v>
      </c>
      <c r="Z67" s="32">
        <f t="shared" si="22"/>
        <v>-516338.07248048403</v>
      </c>
      <c r="AA67" s="45">
        <f t="shared" si="23"/>
        <v>-516338.07248048403</v>
      </c>
      <c r="AB67" s="1"/>
      <c r="AC67" s="40">
        <f t="shared" si="7"/>
        <v>-1307.4097208558969</v>
      </c>
      <c r="AD67" s="40">
        <f t="shared" si="17"/>
        <v>0</v>
      </c>
      <c r="AE67" s="40">
        <f t="shared" si="8"/>
        <v>-1307.4097208558969</v>
      </c>
      <c r="AF67" s="40">
        <f t="shared" si="9"/>
        <v>2728.2648235722081</v>
      </c>
      <c r="AG67" s="40">
        <f t="shared" si="10"/>
        <v>2330.2767105737148</v>
      </c>
      <c r="AH67" s="40">
        <f t="shared" si="47"/>
        <v>1738.8883598538605</v>
      </c>
      <c r="AI67" s="106">
        <f t="shared" si="24"/>
        <v>-1424096.7751601432</v>
      </c>
      <c r="AJ67" s="40">
        <f t="shared" si="18"/>
        <v>118890.33274588015</v>
      </c>
      <c r="AK67" s="108">
        <f t="shared" si="19"/>
        <v>-1408937.968454557</v>
      </c>
    </row>
    <row r="68" spans="2:37">
      <c r="B68" s="94" t="s">
        <v>65</v>
      </c>
      <c r="C68" s="40">
        <f>AI244</f>
        <v>-1192835.3819190278</v>
      </c>
      <c r="D68" s="32">
        <f>Y244</f>
        <v>-1172883.2714780539</v>
      </c>
      <c r="E68" s="45">
        <f>Y244</f>
        <v>-1172883.2714780539</v>
      </c>
      <c r="F68" s="18" t="s">
        <v>39</v>
      </c>
      <c r="G68" s="1">
        <v>0</v>
      </c>
      <c r="I68">
        <v>4</v>
      </c>
      <c r="J68" s="26">
        <f t="shared" si="44"/>
        <v>9349.183180566899</v>
      </c>
      <c r="K68" s="24">
        <f t="shared" si="45"/>
        <v>2213.9646744543475</v>
      </c>
      <c r="L68" s="24">
        <f t="shared" si="13"/>
        <v>6365.9512550018198</v>
      </c>
      <c r="M68" s="24">
        <v>0</v>
      </c>
      <c r="N68" s="48"/>
      <c r="O68" s="32">
        <f t="shared" si="1"/>
        <v>10082.99055914864</v>
      </c>
      <c r="P68" s="32">
        <f t="shared" si="14"/>
        <v>5252.818428796998</v>
      </c>
      <c r="Q68" s="32">
        <f t="shared" si="15"/>
        <v>4830.1721303516424</v>
      </c>
      <c r="R68" s="45">
        <f t="shared" si="20"/>
        <v>1255846.2507809279</v>
      </c>
      <c r="S68" s="31">
        <f t="shared" si="2"/>
        <v>-4483.5511776862668</v>
      </c>
      <c r="T68" s="32">
        <f t="shared" si="16"/>
        <v>0</v>
      </c>
      <c r="U68" s="32">
        <f t="shared" si="3"/>
        <v>-9313.7233080379083</v>
      </c>
      <c r="V68" s="32">
        <f t="shared" si="33"/>
        <v>2728.2648235722081</v>
      </c>
      <c r="W68" s="32">
        <f t="shared" si="5"/>
        <v>-5676.0368766082966</v>
      </c>
      <c r="X68" s="32">
        <f t="shared" si="46"/>
        <v>-4235.5461092023852</v>
      </c>
      <c r="Y68" s="102">
        <f t="shared" si="21"/>
        <v>-446925.13721934333</v>
      </c>
      <c r="Z68" s="32">
        <f t="shared" si="22"/>
        <v>-522014.1093570923</v>
      </c>
      <c r="AA68" s="45">
        <f t="shared" si="23"/>
        <v>-522014.1093570923</v>
      </c>
      <c r="AB68" s="1"/>
      <c r="AC68" s="40">
        <f t="shared" si="7"/>
        <v>769.26725111073119</v>
      </c>
      <c r="AD68" s="40">
        <f t="shared" si="17"/>
        <v>0</v>
      </c>
      <c r="AE68" s="40">
        <f t="shared" si="8"/>
        <v>769.26725111073119</v>
      </c>
      <c r="AF68" s="40">
        <f t="shared" si="9"/>
        <v>2728.2648235722081</v>
      </c>
      <c r="AG68" s="40">
        <f t="shared" si="10"/>
        <v>4406.9536825403429</v>
      </c>
      <c r="AH68" s="40">
        <f t="shared" si="47"/>
        <v>3288.536690176089</v>
      </c>
      <c r="AI68" s="106">
        <f t="shared" si="24"/>
        <v>-1420808.2384699672</v>
      </c>
      <c r="AJ68" s="40">
        <f t="shared" si="18"/>
        <v>123297.2864284205</v>
      </c>
      <c r="AK68" s="108">
        <f t="shared" si="19"/>
        <v>-1404531.0147720166</v>
      </c>
    </row>
    <row r="69" spans="2:37">
      <c r="B69" s="137" t="s">
        <v>92</v>
      </c>
      <c r="C69" s="138">
        <f>SUM(AH5:AH244)/C5</f>
        <v>0.21926084169156923</v>
      </c>
      <c r="D69" s="111" t="s">
        <v>66</v>
      </c>
      <c r="E69" s="118" t="e">
        <f>SUM(X5:X244)/(C5-(C5*C11))</f>
        <v>#DIV/0!</v>
      </c>
      <c r="F69" s="16" t="s">
        <v>90</v>
      </c>
      <c r="G69" s="129">
        <f>$C$60</f>
        <v>0</v>
      </c>
      <c r="I69">
        <v>5</v>
      </c>
      <c r="J69" s="26">
        <f t="shared" si="44"/>
        <v>9597.391583590801</v>
      </c>
      <c r="K69" s="24">
        <f t="shared" si="45"/>
        <v>2213.9646744543475</v>
      </c>
      <c r="L69" s="24">
        <f t="shared" si="13"/>
        <v>6365.9512550018198</v>
      </c>
      <c r="M69" s="24">
        <v>0</v>
      </c>
      <c r="N69" s="48"/>
      <c r="O69" s="32">
        <f t="shared" ref="O69:O132" si="48">-PMT($C$13/12,$C$14,$C$12,0,0)</f>
        <v>10082.99055914864</v>
      </c>
      <c r="P69" s="32">
        <f t="shared" si="14"/>
        <v>5232.6927115871995</v>
      </c>
      <c r="Q69" s="32">
        <f t="shared" si="15"/>
        <v>4850.2978475614409</v>
      </c>
      <c r="R69" s="45">
        <f t="shared" si="20"/>
        <v>1250995.9529333664</v>
      </c>
      <c r="S69" s="31">
        <f t="shared" ref="S69:S132" si="49">J69-K69-L69-M69-P69</f>
        <v>-4215.2170574525662</v>
      </c>
      <c r="T69" s="32">
        <f t="shared" si="16"/>
        <v>0</v>
      </c>
      <c r="U69" s="32">
        <f t="shared" ref="U69:U132" si="50">J69-K69-L69-M69-T69-O69</f>
        <v>-9065.5149050140062</v>
      </c>
      <c r="V69" s="32">
        <f t="shared" ref="V69:V100" si="51">$C$9/120</f>
        <v>2728.2648235722081</v>
      </c>
      <c r="W69" s="32">
        <f t="shared" ref="W69:W132" si="52">U69-V69+L69+M69</f>
        <v>-5427.8284735843945</v>
      </c>
      <c r="X69" s="32">
        <f t="shared" si="46"/>
        <v>-4050.3291772913603</v>
      </c>
      <c r="Y69" s="102">
        <f t="shared" si="21"/>
        <v>-450975.4663966347</v>
      </c>
      <c r="Z69" s="32">
        <f t="shared" si="22"/>
        <v>-527441.93783067667</v>
      </c>
      <c r="AA69" s="45">
        <f t="shared" si="23"/>
        <v>-527441.93783067667</v>
      </c>
      <c r="AB69" s="1"/>
      <c r="AC69" s="40">
        <f t="shared" ref="AC69:AC132" si="53">J69-K69-L69-M69</f>
        <v>1017.4756541346333</v>
      </c>
      <c r="AD69" s="40">
        <f t="shared" si="17"/>
        <v>0</v>
      </c>
      <c r="AE69" s="40">
        <f t="shared" ref="AE69:AE132" si="54">J69-K69-L69-M69-AD69</f>
        <v>1017.4756541346333</v>
      </c>
      <c r="AF69" s="40">
        <f t="shared" ref="AF69:AF132" si="55">V69</f>
        <v>2728.2648235722081</v>
      </c>
      <c r="AG69" s="40">
        <f t="shared" ref="AG69:AG132" si="56">AE69-AF69+L69+M69</f>
        <v>4655.162085564245</v>
      </c>
      <c r="AH69" s="40">
        <f t="shared" si="47"/>
        <v>3473.7536220871139</v>
      </c>
      <c r="AI69" s="106">
        <f t="shared" si="24"/>
        <v>-1417334.48484788</v>
      </c>
      <c r="AJ69" s="40">
        <f t="shared" si="18"/>
        <v>127952.44851398474</v>
      </c>
      <c r="AK69" s="108">
        <f t="shared" si="19"/>
        <v>-1399875.8526864522</v>
      </c>
    </row>
    <row r="70" spans="2:37">
      <c r="B70" s="137" t="s">
        <v>93</v>
      </c>
      <c r="C70" s="138" t="e">
        <f>(COUNTIF(AK5:AK244,"&lt;"&amp;0)+ABS(INDEX(AK5:AK244,COUNTIF(AK5:AK244,"&lt;"&amp;0))/INDEX(AG5:AG244,COUNTIF(AK5:AK244,"&lt;"&amp;0)+1)))/12</f>
        <v>#REF!</v>
      </c>
      <c r="D70" s="111" t="s">
        <v>66</v>
      </c>
      <c r="E70" s="118" t="e">
        <f>(COUNTIF(AA5:AA244,"&lt;"&amp;0)+ABS(INDEX(AA5:AA244,COUNTIF(AA5:AA244,"&lt;"&amp;0))/INDEX(W5:W244,COUNTIF(AA5:AA244,"&lt;"&amp;0)+1)))/12</f>
        <v>#REF!</v>
      </c>
      <c r="G70" s="1"/>
      <c r="I70">
        <v>6</v>
      </c>
      <c r="J70" s="26">
        <f t="shared" si="44"/>
        <v>9597.391583590801</v>
      </c>
      <c r="K70" s="24">
        <f t="shared" si="45"/>
        <v>2213.9646744543475</v>
      </c>
      <c r="L70" s="24">
        <f t="shared" ref="L70:L133" si="57">$C$5/$C$6</f>
        <v>6365.9512550018198</v>
      </c>
      <c r="M70" s="24">
        <v>0</v>
      </c>
      <c r="N70" s="48"/>
      <c r="O70" s="32">
        <f t="shared" si="48"/>
        <v>10082.99055914864</v>
      </c>
      <c r="P70" s="32">
        <f t="shared" ref="P70:P133" si="58">($C$13/12)*R69</f>
        <v>5212.4831372223598</v>
      </c>
      <c r="Q70" s="32">
        <f t="shared" ref="Q70:Q133" si="59">O70-P70</f>
        <v>4870.5074219262806</v>
      </c>
      <c r="R70" s="45">
        <f t="shared" si="20"/>
        <v>1246125.44551144</v>
      </c>
      <c r="S70" s="31">
        <f t="shared" si="49"/>
        <v>-4195.0074830877265</v>
      </c>
      <c r="T70" s="32">
        <f t="shared" ref="T70:T133" si="60">S70*$C$60</f>
        <v>0</v>
      </c>
      <c r="U70" s="32">
        <f t="shared" si="50"/>
        <v>-9065.5149050140062</v>
      </c>
      <c r="V70" s="32">
        <f t="shared" si="51"/>
        <v>2728.2648235722081</v>
      </c>
      <c r="W70" s="32">
        <f t="shared" si="52"/>
        <v>-5427.8284735843945</v>
      </c>
      <c r="X70" s="32">
        <f t="shared" si="46"/>
        <v>-4050.3291772913603</v>
      </c>
      <c r="Y70" s="102">
        <f t="shared" si="21"/>
        <v>-455025.79557392607</v>
      </c>
      <c r="Z70" s="32">
        <f t="shared" si="22"/>
        <v>-532869.76630426105</v>
      </c>
      <c r="AA70" s="45">
        <f t="shared" si="23"/>
        <v>-532869.76630426105</v>
      </c>
      <c r="AB70" s="1"/>
      <c r="AC70" s="40">
        <f t="shared" si="53"/>
        <v>1017.4756541346333</v>
      </c>
      <c r="AD70" s="40">
        <f t="shared" ref="AD70:AD133" si="61">AC70*$C$60</f>
        <v>0</v>
      </c>
      <c r="AE70" s="40">
        <f t="shared" si="54"/>
        <v>1017.4756541346333</v>
      </c>
      <c r="AF70" s="40">
        <f t="shared" si="55"/>
        <v>2728.2648235722081</v>
      </c>
      <c r="AG70" s="40">
        <f t="shared" si="56"/>
        <v>4655.162085564245</v>
      </c>
      <c r="AH70" s="40">
        <f t="shared" si="47"/>
        <v>3473.7536220871139</v>
      </c>
      <c r="AI70" s="106">
        <f t="shared" si="24"/>
        <v>-1413860.7312257928</v>
      </c>
      <c r="AJ70" s="40">
        <f t="shared" ref="AJ70:AJ133" si="62">AJ69+AG70</f>
        <v>132607.61059954899</v>
      </c>
      <c r="AK70" s="108">
        <f t="shared" ref="AK70:AK133" si="63">AK69+AG70</f>
        <v>-1395220.6906008879</v>
      </c>
    </row>
    <row r="71" spans="2:37" ht="15" thickBot="1">
      <c r="B71" s="97" t="s">
        <v>98</v>
      </c>
      <c r="C71" s="142">
        <f>(AJ244-C5)/C5</f>
        <v>-0.63146384310307513</v>
      </c>
      <c r="D71" s="143" t="s">
        <v>66</v>
      </c>
      <c r="E71" s="144" t="e">
        <f>(Z244-(C5-C5*C11))/(C5-C5*C11)</f>
        <v>#DIV/0!</v>
      </c>
      <c r="G71" s="1"/>
      <c r="I71">
        <v>7</v>
      </c>
      <c r="J71" s="26">
        <f t="shared" si="44"/>
        <v>9597.391583590801</v>
      </c>
      <c r="K71" s="24">
        <f t="shared" si="45"/>
        <v>2213.9646744543475</v>
      </c>
      <c r="L71" s="24">
        <f t="shared" si="57"/>
        <v>6365.9512550018198</v>
      </c>
      <c r="M71" s="24">
        <v>0</v>
      </c>
      <c r="N71" s="48"/>
      <c r="O71" s="32">
        <f t="shared" si="48"/>
        <v>10082.99055914864</v>
      </c>
      <c r="P71" s="32">
        <f t="shared" si="58"/>
        <v>5192.1893562976666</v>
      </c>
      <c r="Q71" s="32">
        <f t="shared" si="59"/>
        <v>4890.8012028509738</v>
      </c>
      <c r="R71" s="45">
        <f t="shared" ref="R71:R134" si="64">R70-Q71</f>
        <v>1241234.6443085892</v>
      </c>
      <c r="S71" s="31">
        <f t="shared" si="49"/>
        <v>-4174.7137021630333</v>
      </c>
      <c r="T71" s="32">
        <f t="shared" si="60"/>
        <v>0</v>
      </c>
      <c r="U71" s="32">
        <f t="shared" si="50"/>
        <v>-9065.5149050140062</v>
      </c>
      <c r="V71" s="32">
        <f t="shared" si="51"/>
        <v>2728.2648235722081</v>
      </c>
      <c r="W71" s="32">
        <f t="shared" si="52"/>
        <v>-5427.8284735843945</v>
      </c>
      <c r="X71" s="32">
        <f t="shared" si="46"/>
        <v>-4050.3291772913603</v>
      </c>
      <c r="Y71" s="102">
        <f t="shared" ref="Y71:Y134" si="65">Y70+X71</f>
        <v>-459076.12475121743</v>
      </c>
      <c r="Z71" s="32">
        <f t="shared" ref="Z71:Z134" si="66">Z70+W71</f>
        <v>-538297.59477784543</v>
      </c>
      <c r="AA71" s="45">
        <f t="shared" ref="AA71:AA134" si="67">AA70+W71</f>
        <v>-538297.59477784543</v>
      </c>
      <c r="AB71" s="1"/>
      <c r="AC71" s="40">
        <f t="shared" si="53"/>
        <v>1017.4756541346333</v>
      </c>
      <c r="AD71" s="40">
        <f t="shared" si="61"/>
        <v>0</v>
      </c>
      <c r="AE71" s="40">
        <f t="shared" si="54"/>
        <v>1017.4756541346333</v>
      </c>
      <c r="AF71" s="40">
        <f t="shared" si="55"/>
        <v>2728.2648235722081</v>
      </c>
      <c r="AG71" s="40">
        <f t="shared" si="56"/>
        <v>4655.162085564245</v>
      </c>
      <c r="AH71" s="40">
        <f t="shared" si="47"/>
        <v>3473.7536220871139</v>
      </c>
      <c r="AI71" s="106">
        <f t="shared" ref="AI71:AI134" si="68">AI70+AH71</f>
        <v>-1410386.9776037056</v>
      </c>
      <c r="AJ71" s="40">
        <f t="shared" si="62"/>
        <v>137262.77268511325</v>
      </c>
      <c r="AK71" s="108">
        <f t="shared" si="63"/>
        <v>-1390565.5285153235</v>
      </c>
    </row>
    <row r="72" spans="2:37">
      <c r="B72" s="133"/>
      <c r="C72" s="140"/>
      <c r="D72" s="141"/>
      <c r="E72" s="6"/>
      <c r="G72" s="1"/>
      <c r="I72">
        <v>8</v>
      </c>
      <c r="J72" s="26">
        <f t="shared" si="44"/>
        <v>9018.2386432016992</v>
      </c>
      <c r="K72" s="24">
        <f t="shared" si="45"/>
        <v>2213.9646744543475</v>
      </c>
      <c r="L72" s="24">
        <f t="shared" si="57"/>
        <v>6365.9512550018198</v>
      </c>
      <c r="M72" s="24">
        <v>0</v>
      </c>
      <c r="N72" s="48"/>
      <c r="O72" s="32">
        <f t="shared" si="48"/>
        <v>10082.99055914864</v>
      </c>
      <c r="P72" s="32">
        <f t="shared" si="58"/>
        <v>5171.8110179524547</v>
      </c>
      <c r="Q72" s="32">
        <f t="shared" si="59"/>
        <v>4911.1795411961857</v>
      </c>
      <c r="R72" s="45">
        <f t="shared" si="64"/>
        <v>1236323.464767393</v>
      </c>
      <c r="S72" s="31">
        <f t="shared" si="49"/>
        <v>-4733.4883042069232</v>
      </c>
      <c r="T72" s="32">
        <f t="shared" si="60"/>
        <v>0</v>
      </c>
      <c r="U72" s="32">
        <f t="shared" si="50"/>
        <v>-9644.6678454031098</v>
      </c>
      <c r="V72" s="32">
        <f t="shared" si="51"/>
        <v>2728.2648235722081</v>
      </c>
      <c r="W72" s="32">
        <f t="shared" si="52"/>
        <v>-6006.9814139734981</v>
      </c>
      <c r="X72" s="32">
        <f t="shared" si="46"/>
        <v>-4482.5020184170844</v>
      </c>
      <c r="Y72" s="102">
        <f t="shared" si="65"/>
        <v>-463558.62676963449</v>
      </c>
      <c r="Z72" s="32">
        <f t="shared" si="66"/>
        <v>-544304.57619181892</v>
      </c>
      <c r="AA72" s="45">
        <f t="shared" si="67"/>
        <v>-544304.57619181892</v>
      </c>
      <c r="AB72" s="1"/>
      <c r="AC72" s="40">
        <f t="shared" si="53"/>
        <v>438.32271374553147</v>
      </c>
      <c r="AD72" s="40">
        <f t="shared" si="61"/>
        <v>0</v>
      </c>
      <c r="AE72" s="40">
        <f t="shared" si="54"/>
        <v>438.32271374553147</v>
      </c>
      <c r="AF72" s="40">
        <f t="shared" si="55"/>
        <v>2728.2648235722081</v>
      </c>
      <c r="AG72" s="40">
        <f t="shared" si="56"/>
        <v>4076.0091451751432</v>
      </c>
      <c r="AH72" s="40">
        <f t="shared" si="47"/>
        <v>3041.5807809613912</v>
      </c>
      <c r="AI72" s="106">
        <f t="shared" si="68"/>
        <v>-1407345.3968227443</v>
      </c>
      <c r="AJ72" s="40">
        <f t="shared" si="62"/>
        <v>141338.78183028838</v>
      </c>
      <c r="AK72" s="108">
        <f t="shared" si="63"/>
        <v>-1386489.5193701484</v>
      </c>
    </row>
    <row r="73" spans="2:37">
      <c r="G73" s="1"/>
      <c r="I73">
        <v>9</v>
      </c>
      <c r="J73" s="26">
        <f t="shared" si="44"/>
        <v>7437.9784772828698</v>
      </c>
      <c r="K73" s="24">
        <f t="shared" si="45"/>
        <v>2213.9646744543475</v>
      </c>
      <c r="L73" s="24">
        <f t="shared" si="57"/>
        <v>6365.9512550018198</v>
      </c>
      <c r="M73" s="24">
        <v>0</v>
      </c>
      <c r="N73" s="48"/>
      <c r="O73" s="32">
        <f t="shared" si="48"/>
        <v>10082.99055914864</v>
      </c>
      <c r="P73" s="32">
        <f t="shared" si="58"/>
        <v>5151.3477698641373</v>
      </c>
      <c r="Q73" s="32">
        <f t="shared" si="59"/>
        <v>4931.6427892845031</v>
      </c>
      <c r="R73" s="45">
        <f t="shared" si="64"/>
        <v>1231391.8219781085</v>
      </c>
      <c r="S73" s="31">
        <f t="shared" si="49"/>
        <v>-6293.2852220374352</v>
      </c>
      <c r="T73" s="32">
        <f t="shared" si="60"/>
        <v>0</v>
      </c>
      <c r="U73" s="32">
        <f t="shared" si="50"/>
        <v>-11224.928011321939</v>
      </c>
      <c r="V73" s="32">
        <f t="shared" si="51"/>
        <v>2728.2648235722081</v>
      </c>
      <c r="W73" s="32">
        <f t="shared" si="52"/>
        <v>-7587.2415798923275</v>
      </c>
      <c r="X73" s="32">
        <f t="shared" si="46"/>
        <v>-5661.7164849172668</v>
      </c>
      <c r="Y73" s="102">
        <f t="shared" si="65"/>
        <v>-469220.34325455176</v>
      </c>
      <c r="Z73" s="32">
        <f t="shared" si="66"/>
        <v>-551891.81777171127</v>
      </c>
      <c r="AA73" s="45">
        <f t="shared" si="67"/>
        <v>-551891.81777171127</v>
      </c>
      <c r="AB73" s="1"/>
      <c r="AC73" s="40">
        <f t="shared" si="53"/>
        <v>-1141.937452173298</v>
      </c>
      <c r="AD73" s="40">
        <f t="shared" si="61"/>
        <v>0</v>
      </c>
      <c r="AE73" s="40">
        <f t="shared" si="54"/>
        <v>-1141.937452173298</v>
      </c>
      <c r="AF73" s="40">
        <f t="shared" si="55"/>
        <v>2728.2648235722081</v>
      </c>
      <c r="AG73" s="40">
        <f t="shared" si="56"/>
        <v>2495.7489792563138</v>
      </c>
      <c r="AH73" s="40">
        <f t="shared" si="47"/>
        <v>1862.3663144612087</v>
      </c>
      <c r="AI73" s="106">
        <f t="shared" si="68"/>
        <v>-1405483.0305082831</v>
      </c>
      <c r="AJ73" s="40">
        <f t="shared" si="62"/>
        <v>143834.5308095447</v>
      </c>
      <c r="AK73" s="108">
        <f t="shared" si="63"/>
        <v>-1383993.7703908922</v>
      </c>
    </row>
    <row r="74" spans="2:37">
      <c r="G74" s="1"/>
      <c r="I74">
        <v>10</v>
      </c>
      <c r="J74" s="26">
        <f t="shared" si="44"/>
        <v>5410.9431859210199</v>
      </c>
      <c r="K74" s="24">
        <f t="shared" si="45"/>
        <v>2213.9646744543475</v>
      </c>
      <c r="L74" s="24">
        <f t="shared" si="57"/>
        <v>6365.9512550018198</v>
      </c>
      <c r="M74" s="24">
        <v>0</v>
      </c>
      <c r="N74" s="48"/>
      <c r="O74" s="32">
        <f t="shared" si="48"/>
        <v>10082.99055914864</v>
      </c>
      <c r="P74" s="32">
        <f t="shared" si="58"/>
        <v>5130.7992582421184</v>
      </c>
      <c r="Q74" s="32">
        <f t="shared" si="59"/>
        <v>4952.191300906522</v>
      </c>
      <c r="R74" s="45">
        <f t="shared" si="64"/>
        <v>1226439.630677202</v>
      </c>
      <c r="S74" s="31">
        <f t="shared" si="49"/>
        <v>-8299.7720017772663</v>
      </c>
      <c r="T74" s="32">
        <f t="shared" si="60"/>
        <v>0</v>
      </c>
      <c r="U74" s="32">
        <f t="shared" si="50"/>
        <v>-13251.963302683787</v>
      </c>
      <c r="V74" s="32">
        <f t="shared" si="51"/>
        <v>2728.2648235722081</v>
      </c>
      <c r="W74" s="32">
        <f t="shared" si="52"/>
        <v>-9614.2768712541765</v>
      </c>
      <c r="X74" s="32">
        <f t="shared" si="46"/>
        <v>-7174.3214288572908</v>
      </c>
      <c r="Y74" s="102">
        <f t="shared" si="65"/>
        <v>-476394.66468340904</v>
      </c>
      <c r="Z74" s="32">
        <f t="shared" si="66"/>
        <v>-561506.09464296547</v>
      </c>
      <c r="AA74" s="45">
        <f t="shared" si="67"/>
        <v>-561506.09464296547</v>
      </c>
      <c r="AB74" s="1"/>
      <c r="AC74" s="40">
        <f t="shared" si="53"/>
        <v>-3168.9727435351474</v>
      </c>
      <c r="AD74" s="40">
        <f t="shared" si="61"/>
        <v>0</v>
      </c>
      <c r="AE74" s="40">
        <f t="shared" si="54"/>
        <v>-3168.9727435351474</v>
      </c>
      <c r="AF74" s="40">
        <f t="shared" si="55"/>
        <v>2728.2648235722081</v>
      </c>
      <c r="AG74" s="40">
        <f t="shared" si="56"/>
        <v>468.71368789446478</v>
      </c>
      <c r="AH74" s="40">
        <f t="shared" si="47"/>
        <v>349.76137052118452</v>
      </c>
      <c r="AI74" s="106">
        <f t="shared" si="68"/>
        <v>-1405133.2691377618</v>
      </c>
      <c r="AJ74" s="40">
        <f t="shared" si="62"/>
        <v>144303.24449743915</v>
      </c>
      <c r="AK74" s="108">
        <f t="shared" si="63"/>
        <v>-1383525.0567029978</v>
      </c>
    </row>
    <row r="75" spans="2:37">
      <c r="G75" s="1"/>
      <c r="I75">
        <v>11</v>
      </c>
      <c r="J75" s="26">
        <f t="shared" si="44"/>
        <v>2837.8494079065899</v>
      </c>
      <c r="K75" s="24">
        <f t="shared" si="45"/>
        <v>2213.9646744543475</v>
      </c>
      <c r="L75" s="24">
        <f t="shared" si="57"/>
        <v>6365.9512550018198</v>
      </c>
      <c r="M75" s="24">
        <v>0</v>
      </c>
      <c r="N75" s="48"/>
      <c r="O75" s="32">
        <f t="shared" si="48"/>
        <v>10082.99055914864</v>
      </c>
      <c r="P75" s="32">
        <f t="shared" si="58"/>
        <v>5110.165127821675</v>
      </c>
      <c r="Q75" s="32">
        <f t="shared" si="59"/>
        <v>4972.8254313269654</v>
      </c>
      <c r="R75" s="45">
        <f t="shared" si="64"/>
        <v>1221466.8052458751</v>
      </c>
      <c r="S75" s="31">
        <f t="shared" si="49"/>
        <v>-10852.231649371253</v>
      </c>
      <c r="T75" s="32">
        <f t="shared" si="60"/>
        <v>0</v>
      </c>
      <c r="U75" s="32">
        <f t="shared" si="50"/>
        <v>-15825.057080698218</v>
      </c>
      <c r="V75" s="32">
        <f t="shared" si="51"/>
        <v>2728.2648235722081</v>
      </c>
      <c r="W75" s="32">
        <f t="shared" si="52"/>
        <v>-12187.370649268607</v>
      </c>
      <c r="X75" s="32">
        <f t="shared" si="46"/>
        <v>-9094.4036230015681</v>
      </c>
      <c r="Y75" s="102">
        <f t="shared" si="65"/>
        <v>-485489.06830641063</v>
      </c>
      <c r="Z75" s="32">
        <f t="shared" si="66"/>
        <v>-573693.46529223409</v>
      </c>
      <c r="AA75" s="45">
        <f t="shared" si="67"/>
        <v>-573693.46529223409</v>
      </c>
      <c r="AB75" s="1"/>
      <c r="AC75" s="40">
        <f t="shared" si="53"/>
        <v>-5742.0665215495774</v>
      </c>
      <c r="AD75" s="40">
        <f t="shared" si="61"/>
        <v>0</v>
      </c>
      <c r="AE75" s="40">
        <f t="shared" si="54"/>
        <v>-5742.0665215495774</v>
      </c>
      <c r="AF75" s="40">
        <f t="shared" si="55"/>
        <v>2728.2648235722081</v>
      </c>
      <c r="AG75" s="40">
        <f t="shared" si="56"/>
        <v>-2104.3800901199656</v>
      </c>
      <c r="AH75" s="40">
        <f t="shared" si="47"/>
        <v>-1570.3208236230923</v>
      </c>
      <c r="AI75" s="106">
        <f t="shared" si="68"/>
        <v>-1406703.5899613849</v>
      </c>
      <c r="AJ75" s="40">
        <f t="shared" si="62"/>
        <v>142198.8644073192</v>
      </c>
      <c r="AK75" s="108">
        <f t="shared" si="63"/>
        <v>-1385629.4367931178</v>
      </c>
    </row>
    <row r="76" spans="2:37">
      <c r="G76" s="1"/>
      <c r="I76">
        <v>12</v>
      </c>
      <c r="J76" s="26">
        <f t="shared" si="44"/>
        <v>2142.8658794396697</v>
      </c>
      <c r="K76" s="24">
        <f t="shared" si="45"/>
        <v>2213.9646744543475</v>
      </c>
      <c r="L76" s="24">
        <f t="shared" si="57"/>
        <v>6365.9512550018198</v>
      </c>
      <c r="M76" s="24">
        <v>0</v>
      </c>
      <c r="N76" s="48"/>
      <c r="O76" s="32">
        <f t="shared" si="48"/>
        <v>10082.99055914864</v>
      </c>
      <c r="P76" s="32">
        <f t="shared" si="58"/>
        <v>5089.4450218578131</v>
      </c>
      <c r="Q76" s="32">
        <f t="shared" si="59"/>
        <v>4993.5455372908273</v>
      </c>
      <c r="R76" s="45">
        <f t="shared" si="64"/>
        <v>1216473.2597085843</v>
      </c>
      <c r="S76" s="31">
        <f t="shared" si="49"/>
        <v>-11526.495071874311</v>
      </c>
      <c r="T76" s="32">
        <f t="shared" si="60"/>
        <v>0</v>
      </c>
      <c r="U76" s="32">
        <f t="shared" si="50"/>
        <v>-16520.040609165138</v>
      </c>
      <c r="V76" s="32">
        <f t="shared" si="51"/>
        <v>2728.2648235722081</v>
      </c>
      <c r="W76" s="32">
        <f t="shared" si="52"/>
        <v>-12882.354177735528</v>
      </c>
      <c r="X76" s="32">
        <f t="shared" si="46"/>
        <v>-9613.011032352435</v>
      </c>
      <c r="Y76" s="102">
        <f t="shared" si="65"/>
        <v>-495102.07933876308</v>
      </c>
      <c r="Z76" s="32">
        <f t="shared" si="66"/>
        <v>-586575.8194699696</v>
      </c>
      <c r="AA76" s="45">
        <f t="shared" si="67"/>
        <v>-586575.8194699696</v>
      </c>
      <c r="AB76" s="1"/>
      <c r="AC76" s="40">
        <f t="shared" si="53"/>
        <v>-6437.0500500164981</v>
      </c>
      <c r="AD76" s="40">
        <f t="shared" si="61"/>
        <v>0</v>
      </c>
      <c r="AE76" s="40">
        <f t="shared" si="54"/>
        <v>-6437.0500500164981</v>
      </c>
      <c r="AF76" s="40">
        <f t="shared" si="55"/>
        <v>2728.2648235722081</v>
      </c>
      <c r="AG76" s="40">
        <f t="shared" si="56"/>
        <v>-2799.3636185868863</v>
      </c>
      <c r="AH76" s="40">
        <f t="shared" si="47"/>
        <v>-2088.9282329739585</v>
      </c>
      <c r="AI76" s="106">
        <f t="shared" si="68"/>
        <v>-1408792.5181943588</v>
      </c>
      <c r="AJ76" s="40">
        <f t="shared" si="62"/>
        <v>139399.50078873232</v>
      </c>
      <c r="AK76" s="108">
        <f t="shared" si="63"/>
        <v>-1388428.8004117047</v>
      </c>
    </row>
    <row r="77" spans="2:37">
      <c r="F77" s="132" t="s">
        <v>88</v>
      </c>
      <c r="G77" s="1">
        <f>SUM(S77:S88)</f>
        <v>-85302.540469625776</v>
      </c>
      <c r="H77">
        <v>2021</v>
      </c>
      <c r="I77">
        <v>1</v>
      </c>
      <c r="J77" s="26">
        <f t="shared" ref="J77:J88" si="69">C23*$C$44*$D$44</f>
        <v>2481.8358218359758</v>
      </c>
      <c r="K77" s="24">
        <f t="shared" ref="K77:K88" si="70">$K$76*$C$8</f>
        <v>2280.383614687978</v>
      </c>
      <c r="L77" s="24">
        <f t="shared" si="57"/>
        <v>6365.9512550018198</v>
      </c>
      <c r="M77" s="24">
        <v>0</v>
      </c>
      <c r="N77" s="48"/>
      <c r="O77" s="32">
        <f t="shared" si="48"/>
        <v>10082.99055914864</v>
      </c>
      <c r="P77" s="32">
        <f t="shared" si="58"/>
        <v>5068.6385821191016</v>
      </c>
      <c r="Q77" s="32">
        <f t="shared" si="59"/>
        <v>5014.3519770295388</v>
      </c>
      <c r="R77" s="45">
        <f t="shared" si="64"/>
        <v>1211458.9077315547</v>
      </c>
      <c r="S77" s="31">
        <f t="shared" si="49"/>
        <v>-11233.137629972924</v>
      </c>
      <c r="T77" s="32">
        <f t="shared" si="60"/>
        <v>0</v>
      </c>
      <c r="U77" s="32">
        <f t="shared" si="50"/>
        <v>-16247.489607002462</v>
      </c>
      <c r="V77" s="32">
        <f t="shared" si="51"/>
        <v>2728.2648235722081</v>
      </c>
      <c r="W77" s="32">
        <f t="shared" si="52"/>
        <v>-12609.803175572852</v>
      </c>
      <c r="X77" s="32">
        <f t="shared" ref="X77:X88" si="71">W77/(1+$C$18)^7</f>
        <v>-8961.5516934951429</v>
      </c>
      <c r="Y77" s="102">
        <f t="shared" si="65"/>
        <v>-504063.63103225821</v>
      </c>
      <c r="Z77" s="32">
        <f t="shared" si="66"/>
        <v>-599185.62264554249</v>
      </c>
      <c r="AA77" s="45">
        <f t="shared" si="67"/>
        <v>-599185.62264554249</v>
      </c>
      <c r="AB77" s="1"/>
      <c r="AC77" s="40">
        <f t="shared" si="53"/>
        <v>-6164.499047853822</v>
      </c>
      <c r="AD77" s="40">
        <f t="shared" si="61"/>
        <v>0</v>
      </c>
      <c r="AE77" s="40">
        <f t="shared" si="54"/>
        <v>-6164.499047853822</v>
      </c>
      <c r="AF77" s="40">
        <f t="shared" si="55"/>
        <v>2728.2648235722081</v>
      </c>
      <c r="AG77" s="40">
        <f t="shared" si="56"/>
        <v>-2526.8126164242103</v>
      </c>
      <c r="AH77" s="40">
        <f t="shared" ref="AH77:AH88" si="72">AG77/(1+$C$18)^7</f>
        <v>-1795.7585512299302</v>
      </c>
      <c r="AI77" s="106">
        <f t="shared" si="68"/>
        <v>-1410588.2767455888</v>
      </c>
      <c r="AJ77" s="40">
        <f t="shared" si="62"/>
        <v>136872.68817230812</v>
      </c>
      <c r="AK77" s="108">
        <f t="shared" si="63"/>
        <v>-1390955.6130281289</v>
      </c>
    </row>
    <row r="78" spans="2:37">
      <c r="F78" s="17" t="s">
        <v>31</v>
      </c>
      <c r="G78">
        <v>7</v>
      </c>
      <c r="I78">
        <v>2</v>
      </c>
      <c r="J78" s="26">
        <f t="shared" si="69"/>
        <v>3857.9032082004774</v>
      </c>
      <c r="K78" s="24">
        <f t="shared" si="70"/>
        <v>2280.383614687978</v>
      </c>
      <c r="L78" s="24">
        <f t="shared" si="57"/>
        <v>6365.9512550018198</v>
      </c>
      <c r="M78" s="24">
        <v>0</v>
      </c>
      <c r="N78" s="48"/>
      <c r="O78" s="32">
        <f t="shared" si="48"/>
        <v>10082.99055914864</v>
      </c>
      <c r="P78" s="32">
        <f t="shared" si="58"/>
        <v>5047.7454488814783</v>
      </c>
      <c r="Q78" s="32">
        <f t="shared" si="59"/>
        <v>5035.2451102671621</v>
      </c>
      <c r="R78" s="45">
        <f t="shared" si="64"/>
        <v>1206423.6626212876</v>
      </c>
      <c r="S78" s="31">
        <f t="shared" si="49"/>
        <v>-9836.1771103707979</v>
      </c>
      <c r="T78" s="32">
        <f t="shared" si="60"/>
        <v>0</v>
      </c>
      <c r="U78" s="32">
        <f t="shared" si="50"/>
        <v>-14871.42222063796</v>
      </c>
      <c r="V78" s="32">
        <f t="shared" si="51"/>
        <v>2728.2648235722081</v>
      </c>
      <c r="W78" s="32">
        <f t="shared" si="52"/>
        <v>-11233.735789208349</v>
      </c>
      <c r="X78" s="32">
        <f t="shared" si="71"/>
        <v>-7983.6062930049393</v>
      </c>
      <c r="Y78" s="102">
        <f t="shared" si="65"/>
        <v>-512047.23732526315</v>
      </c>
      <c r="Z78" s="32">
        <f t="shared" si="66"/>
        <v>-610419.35843475081</v>
      </c>
      <c r="AA78" s="45">
        <f t="shared" si="67"/>
        <v>-610419.35843475081</v>
      </c>
      <c r="AB78" s="1"/>
      <c r="AC78" s="40">
        <f t="shared" si="53"/>
        <v>-4788.4316614893205</v>
      </c>
      <c r="AD78" s="40">
        <f t="shared" si="61"/>
        <v>0</v>
      </c>
      <c r="AE78" s="40">
        <f t="shared" si="54"/>
        <v>-4788.4316614893205</v>
      </c>
      <c r="AF78" s="40">
        <f t="shared" si="55"/>
        <v>2728.2648235722081</v>
      </c>
      <c r="AG78" s="40">
        <f t="shared" si="56"/>
        <v>-1150.7452300597088</v>
      </c>
      <c r="AH78" s="40">
        <f t="shared" si="72"/>
        <v>-817.81315073972644</v>
      </c>
      <c r="AI78" s="106">
        <f t="shared" si="68"/>
        <v>-1411406.0898963285</v>
      </c>
      <c r="AJ78" s="40">
        <f t="shared" si="62"/>
        <v>135721.9429422484</v>
      </c>
      <c r="AK78" s="108">
        <f t="shared" si="63"/>
        <v>-1392106.3582581885</v>
      </c>
    </row>
    <row r="79" spans="2:37">
      <c r="F79" s="13" t="s">
        <v>30</v>
      </c>
      <c r="G79" s="1">
        <f>G67+G77</f>
        <v>-622436.74151067541</v>
      </c>
      <c r="I79">
        <v>3</v>
      </c>
      <c r="J79" s="26">
        <f t="shared" si="69"/>
        <v>7199.7811465142668</v>
      </c>
      <c r="K79" s="24">
        <f t="shared" si="70"/>
        <v>2280.383614687978</v>
      </c>
      <c r="L79" s="24">
        <f t="shared" si="57"/>
        <v>6365.9512550018198</v>
      </c>
      <c r="M79" s="24">
        <v>0</v>
      </c>
      <c r="N79" s="48"/>
      <c r="O79" s="32">
        <f t="shared" si="48"/>
        <v>10082.99055914864</v>
      </c>
      <c r="P79" s="32">
        <f t="shared" si="58"/>
        <v>5026.7652609220313</v>
      </c>
      <c r="Q79" s="32">
        <f t="shared" si="59"/>
        <v>5056.2252982266091</v>
      </c>
      <c r="R79" s="45">
        <f t="shared" si="64"/>
        <v>1201367.4373230611</v>
      </c>
      <c r="S79" s="31">
        <f t="shared" si="49"/>
        <v>-6473.318984097562</v>
      </c>
      <c r="T79" s="32">
        <f t="shared" si="60"/>
        <v>0</v>
      </c>
      <c r="U79" s="32">
        <f t="shared" si="50"/>
        <v>-11529.544282324172</v>
      </c>
      <c r="V79" s="32">
        <f t="shared" si="51"/>
        <v>2728.2648235722081</v>
      </c>
      <c r="W79" s="32">
        <f t="shared" si="52"/>
        <v>-7891.8578508945602</v>
      </c>
      <c r="X79" s="32">
        <f t="shared" si="71"/>
        <v>-5608.5960346715874</v>
      </c>
      <c r="Y79" s="102">
        <f t="shared" si="65"/>
        <v>-517655.83335993474</v>
      </c>
      <c r="Z79" s="32">
        <f t="shared" si="66"/>
        <v>-618311.21628564538</v>
      </c>
      <c r="AA79" s="45">
        <f t="shared" si="67"/>
        <v>-618311.21628564538</v>
      </c>
      <c r="AB79" s="1"/>
      <c r="AC79" s="40">
        <f t="shared" si="53"/>
        <v>-1446.5537231755306</v>
      </c>
      <c r="AD79" s="40">
        <f t="shared" si="61"/>
        <v>0</v>
      </c>
      <c r="AE79" s="40">
        <f t="shared" si="54"/>
        <v>-1446.5537231755306</v>
      </c>
      <c r="AF79" s="40">
        <f t="shared" si="55"/>
        <v>2728.2648235722081</v>
      </c>
      <c r="AG79" s="40">
        <f t="shared" si="56"/>
        <v>2191.1327082540811</v>
      </c>
      <c r="AH79" s="40">
        <f t="shared" si="72"/>
        <v>1557.1971075936258</v>
      </c>
      <c r="AI79" s="106">
        <f t="shared" si="68"/>
        <v>-1409848.892788735</v>
      </c>
      <c r="AJ79" s="40">
        <f t="shared" si="62"/>
        <v>137913.07565050246</v>
      </c>
      <c r="AK79" s="108">
        <f t="shared" si="63"/>
        <v>-1389915.2255499344</v>
      </c>
    </row>
    <row r="80" spans="2:37">
      <c r="F80" s="18" t="s">
        <v>39</v>
      </c>
      <c r="G80" s="1">
        <v>0</v>
      </c>
      <c r="I80">
        <v>4</v>
      </c>
      <c r="J80" s="26">
        <f t="shared" si="69"/>
        <v>9255.691348761231</v>
      </c>
      <c r="K80" s="24">
        <f t="shared" si="70"/>
        <v>2280.383614687978</v>
      </c>
      <c r="L80" s="24">
        <f t="shared" si="57"/>
        <v>6365.9512550018198</v>
      </c>
      <c r="M80" s="24">
        <v>0</v>
      </c>
      <c r="N80" s="48"/>
      <c r="O80" s="32">
        <f t="shared" si="48"/>
        <v>10082.99055914864</v>
      </c>
      <c r="P80" s="32">
        <f t="shared" si="58"/>
        <v>5005.697655512754</v>
      </c>
      <c r="Q80" s="32">
        <f t="shared" si="59"/>
        <v>5077.2929036358864</v>
      </c>
      <c r="R80" s="45">
        <f t="shared" si="64"/>
        <v>1196290.1444194252</v>
      </c>
      <c r="S80" s="31">
        <f t="shared" si="49"/>
        <v>-4396.3411764413213</v>
      </c>
      <c r="T80" s="32">
        <f t="shared" si="60"/>
        <v>0</v>
      </c>
      <c r="U80" s="32">
        <f t="shared" si="50"/>
        <v>-9473.6340800772086</v>
      </c>
      <c r="V80" s="32">
        <f t="shared" si="51"/>
        <v>2728.2648235722081</v>
      </c>
      <c r="W80" s="32">
        <f t="shared" si="52"/>
        <v>-5835.9476486475969</v>
      </c>
      <c r="X80" s="32">
        <f t="shared" si="71"/>
        <v>-4147.499037510629</v>
      </c>
      <c r="Y80" s="102">
        <f t="shared" si="65"/>
        <v>-521803.3323974454</v>
      </c>
      <c r="Z80" s="32">
        <f t="shared" si="66"/>
        <v>-624147.16393429297</v>
      </c>
      <c r="AA80" s="45">
        <f t="shared" si="67"/>
        <v>-624147.16393429297</v>
      </c>
      <c r="AB80" s="1"/>
      <c r="AC80" s="40">
        <f t="shared" si="53"/>
        <v>609.35647907143266</v>
      </c>
      <c r="AD80" s="40">
        <f t="shared" si="61"/>
        <v>0</v>
      </c>
      <c r="AE80" s="40">
        <f t="shared" si="54"/>
        <v>609.35647907143266</v>
      </c>
      <c r="AF80" s="40">
        <f t="shared" si="55"/>
        <v>2728.2648235722081</v>
      </c>
      <c r="AG80" s="40">
        <f t="shared" si="56"/>
        <v>4247.0429105010444</v>
      </c>
      <c r="AH80" s="40">
        <f t="shared" si="72"/>
        <v>3018.2941047545846</v>
      </c>
      <c r="AI80" s="106">
        <f t="shared" si="68"/>
        <v>-1406830.5986839803</v>
      </c>
      <c r="AJ80" s="40">
        <f t="shared" si="62"/>
        <v>142160.1185610035</v>
      </c>
      <c r="AK80" s="108">
        <f t="shared" si="63"/>
        <v>-1385668.1826394333</v>
      </c>
    </row>
    <row r="81" spans="6:37">
      <c r="F81" s="16" t="s">
        <v>90</v>
      </c>
      <c r="G81" s="129">
        <f>$C$60</f>
        <v>0</v>
      </c>
      <c r="I81">
        <v>5</v>
      </c>
      <c r="J81" s="26">
        <f t="shared" si="69"/>
        <v>9501.4176677548912</v>
      </c>
      <c r="K81" s="24">
        <f t="shared" si="70"/>
        <v>2280.383614687978</v>
      </c>
      <c r="L81" s="24">
        <f t="shared" si="57"/>
        <v>6365.9512550018198</v>
      </c>
      <c r="M81" s="24">
        <v>0</v>
      </c>
      <c r="N81" s="48"/>
      <c r="O81" s="32">
        <f t="shared" si="48"/>
        <v>10082.99055914864</v>
      </c>
      <c r="P81" s="32">
        <f t="shared" si="58"/>
        <v>4984.5422684142713</v>
      </c>
      <c r="Q81" s="32">
        <f t="shared" si="59"/>
        <v>5098.448290734369</v>
      </c>
      <c r="R81" s="45">
        <f t="shared" si="64"/>
        <v>1191191.6961286908</v>
      </c>
      <c r="S81" s="31">
        <f t="shared" si="49"/>
        <v>-4129.4594703491784</v>
      </c>
      <c r="T81" s="32">
        <f t="shared" si="60"/>
        <v>0</v>
      </c>
      <c r="U81" s="32">
        <f t="shared" si="50"/>
        <v>-9227.9077610835484</v>
      </c>
      <c r="V81" s="32">
        <f t="shared" si="51"/>
        <v>2728.2648235722081</v>
      </c>
      <c r="W81" s="32">
        <f t="shared" si="52"/>
        <v>-5590.2213296539367</v>
      </c>
      <c r="X81" s="32">
        <f t="shared" si="71"/>
        <v>-3972.8659302802357</v>
      </c>
      <c r="Y81" s="102">
        <f t="shared" si="65"/>
        <v>-525776.19832772564</v>
      </c>
      <c r="Z81" s="32">
        <f t="shared" si="66"/>
        <v>-629737.38526394696</v>
      </c>
      <c r="AA81" s="45">
        <f t="shared" si="67"/>
        <v>-629737.38526394696</v>
      </c>
      <c r="AB81" s="1"/>
      <c r="AC81" s="40">
        <f t="shared" si="53"/>
        <v>855.0827980650929</v>
      </c>
      <c r="AD81" s="40">
        <f t="shared" si="61"/>
        <v>0</v>
      </c>
      <c r="AE81" s="40">
        <f t="shared" si="54"/>
        <v>855.0827980650929</v>
      </c>
      <c r="AF81" s="40">
        <f t="shared" si="55"/>
        <v>2728.2648235722081</v>
      </c>
      <c r="AG81" s="40">
        <f t="shared" si="56"/>
        <v>4492.7692294947046</v>
      </c>
      <c r="AH81" s="40">
        <f t="shared" si="72"/>
        <v>3192.9272119849775</v>
      </c>
      <c r="AI81" s="106">
        <f t="shared" si="68"/>
        <v>-1403637.6714719953</v>
      </c>
      <c r="AJ81" s="40">
        <f t="shared" si="62"/>
        <v>146652.88779049821</v>
      </c>
      <c r="AK81" s="108">
        <f t="shared" si="63"/>
        <v>-1381175.4134099386</v>
      </c>
    </row>
    <row r="82" spans="6:37">
      <c r="G82" s="1"/>
      <c r="I82">
        <v>6</v>
      </c>
      <c r="J82" s="26">
        <f t="shared" si="69"/>
        <v>9501.4176677548912</v>
      </c>
      <c r="K82" s="24">
        <f t="shared" si="70"/>
        <v>2280.383614687978</v>
      </c>
      <c r="L82" s="24">
        <f t="shared" si="57"/>
        <v>6365.9512550018198</v>
      </c>
      <c r="M82" s="24">
        <v>0</v>
      </c>
      <c r="N82" s="48"/>
      <c r="O82" s="32">
        <f t="shared" si="48"/>
        <v>10082.99055914864</v>
      </c>
      <c r="P82" s="32">
        <f t="shared" si="58"/>
        <v>4963.2987338695448</v>
      </c>
      <c r="Q82" s="32">
        <f t="shared" si="59"/>
        <v>5119.6918252790956</v>
      </c>
      <c r="R82" s="45">
        <f t="shared" si="64"/>
        <v>1186072.0043034118</v>
      </c>
      <c r="S82" s="31">
        <f t="shared" si="49"/>
        <v>-4108.2159358044519</v>
      </c>
      <c r="T82" s="32">
        <f t="shared" si="60"/>
        <v>0</v>
      </c>
      <c r="U82" s="32">
        <f t="shared" si="50"/>
        <v>-9227.9077610835484</v>
      </c>
      <c r="V82" s="32">
        <f t="shared" si="51"/>
        <v>2728.2648235722081</v>
      </c>
      <c r="W82" s="32">
        <f t="shared" si="52"/>
        <v>-5590.2213296539367</v>
      </c>
      <c r="X82" s="32">
        <f t="shared" si="71"/>
        <v>-3972.8659302802357</v>
      </c>
      <c r="Y82" s="102">
        <f t="shared" si="65"/>
        <v>-529749.06425800582</v>
      </c>
      <c r="Z82" s="32">
        <f t="shared" si="66"/>
        <v>-635327.60659360094</v>
      </c>
      <c r="AA82" s="45">
        <f t="shared" si="67"/>
        <v>-635327.60659360094</v>
      </c>
      <c r="AB82" s="1"/>
      <c r="AC82" s="40">
        <f t="shared" si="53"/>
        <v>855.0827980650929</v>
      </c>
      <c r="AD82" s="40">
        <f t="shared" si="61"/>
        <v>0</v>
      </c>
      <c r="AE82" s="40">
        <f t="shared" si="54"/>
        <v>855.0827980650929</v>
      </c>
      <c r="AF82" s="40">
        <f t="shared" si="55"/>
        <v>2728.2648235722081</v>
      </c>
      <c r="AG82" s="40">
        <f t="shared" si="56"/>
        <v>4492.7692294947046</v>
      </c>
      <c r="AH82" s="40">
        <f t="shared" si="72"/>
        <v>3192.9272119849775</v>
      </c>
      <c r="AI82" s="106">
        <f t="shared" si="68"/>
        <v>-1400444.7442600103</v>
      </c>
      <c r="AJ82" s="40">
        <f t="shared" si="62"/>
        <v>151145.65701999291</v>
      </c>
      <c r="AK82" s="108">
        <f t="shared" si="63"/>
        <v>-1376682.6441804438</v>
      </c>
    </row>
    <row r="83" spans="6:37">
      <c r="G83" s="1"/>
      <c r="I83">
        <v>7</v>
      </c>
      <c r="J83" s="26">
        <f t="shared" si="69"/>
        <v>9501.4176677548912</v>
      </c>
      <c r="K83" s="24">
        <f t="shared" si="70"/>
        <v>2280.383614687978</v>
      </c>
      <c r="L83" s="24">
        <f t="shared" si="57"/>
        <v>6365.9512550018198</v>
      </c>
      <c r="M83" s="24">
        <v>0</v>
      </c>
      <c r="N83" s="48"/>
      <c r="O83" s="32">
        <f t="shared" si="48"/>
        <v>10082.99055914864</v>
      </c>
      <c r="P83" s="32">
        <f t="shared" si="58"/>
        <v>4941.9666845975489</v>
      </c>
      <c r="Q83" s="32">
        <f t="shared" si="59"/>
        <v>5141.0238745510915</v>
      </c>
      <c r="R83" s="45">
        <f t="shared" si="64"/>
        <v>1180930.9804288608</v>
      </c>
      <c r="S83" s="31">
        <f t="shared" si="49"/>
        <v>-4086.883886532456</v>
      </c>
      <c r="T83" s="32">
        <f t="shared" si="60"/>
        <v>0</v>
      </c>
      <c r="U83" s="32">
        <f t="shared" si="50"/>
        <v>-9227.9077610835484</v>
      </c>
      <c r="V83" s="32">
        <f t="shared" si="51"/>
        <v>2728.2648235722081</v>
      </c>
      <c r="W83" s="32">
        <f t="shared" si="52"/>
        <v>-5590.2213296539367</v>
      </c>
      <c r="X83" s="32">
        <f t="shared" si="71"/>
        <v>-3972.8659302802357</v>
      </c>
      <c r="Y83" s="102">
        <f t="shared" si="65"/>
        <v>-533721.930188286</v>
      </c>
      <c r="Z83" s="32">
        <f t="shared" si="66"/>
        <v>-640917.82792325492</v>
      </c>
      <c r="AA83" s="45">
        <f t="shared" si="67"/>
        <v>-640917.82792325492</v>
      </c>
      <c r="AB83" s="1"/>
      <c r="AC83" s="40">
        <f t="shared" si="53"/>
        <v>855.0827980650929</v>
      </c>
      <c r="AD83" s="40">
        <f t="shared" si="61"/>
        <v>0</v>
      </c>
      <c r="AE83" s="40">
        <f t="shared" si="54"/>
        <v>855.0827980650929</v>
      </c>
      <c r="AF83" s="40">
        <f t="shared" si="55"/>
        <v>2728.2648235722081</v>
      </c>
      <c r="AG83" s="40">
        <f t="shared" si="56"/>
        <v>4492.7692294947046</v>
      </c>
      <c r="AH83" s="40">
        <f t="shared" si="72"/>
        <v>3192.9272119849775</v>
      </c>
      <c r="AI83" s="106">
        <f t="shared" si="68"/>
        <v>-1397251.8170480253</v>
      </c>
      <c r="AJ83" s="40">
        <f t="shared" si="62"/>
        <v>155638.42624948762</v>
      </c>
      <c r="AK83" s="108">
        <f t="shared" si="63"/>
        <v>-1372189.8749509491</v>
      </c>
    </row>
    <row r="84" spans="6:37">
      <c r="G84" s="1"/>
      <c r="I84">
        <v>8</v>
      </c>
      <c r="J84" s="26">
        <f t="shared" si="69"/>
        <v>8928.0562567696834</v>
      </c>
      <c r="K84" s="24">
        <f t="shared" si="70"/>
        <v>2280.383614687978</v>
      </c>
      <c r="L84" s="24">
        <f t="shared" si="57"/>
        <v>6365.9512550018198</v>
      </c>
      <c r="M84" s="24">
        <v>0</v>
      </c>
      <c r="N84" s="48"/>
      <c r="O84" s="32">
        <f t="shared" si="48"/>
        <v>10082.99055914864</v>
      </c>
      <c r="P84" s="32">
        <f t="shared" si="58"/>
        <v>4920.5457517869199</v>
      </c>
      <c r="Q84" s="32">
        <f t="shared" si="59"/>
        <v>5162.4448073617204</v>
      </c>
      <c r="R84" s="45">
        <f t="shared" si="64"/>
        <v>1175768.5356214989</v>
      </c>
      <c r="S84" s="31">
        <f t="shared" si="49"/>
        <v>-4638.8243647070349</v>
      </c>
      <c r="T84" s="32">
        <f t="shared" si="60"/>
        <v>0</v>
      </c>
      <c r="U84" s="32">
        <f t="shared" si="50"/>
        <v>-9801.2691720687544</v>
      </c>
      <c r="V84" s="32">
        <f t="shared" si="51"/>
        <v>2728.2648235722081</v>
      </c>
      <c r="W84" s="32">
        <f t="shared" si="52"/>
        <v>-6163.5827406391427</v>
      </c>
      <c r="X84" s="32">
        <f t="shared" si="71"/>
        <v>-4380.3431804844849</v>
      </c>
      <c r="Y84" s="102">
        <f t="shared" si="65"/>
        <v>-538102.27336877049</v>
      </c>
      <c r="Z84" s="32">
        <f t="shared" si="66"/>
        <v>-647081.41066389403</v>
      </c>
      <c r="AA84" s="45">
        <f t="shared" si="67"/>
        <v>-647081.41066389403</v>
      </c>
      <c r="AB84" s="1"/>
      <c r="AC84" s="40">
        <f t="shared" si="53"/>
        <v>281.72138707988506</v>
      </c>
      <c r="AD84" s="40">
        <f t="shared" si="61"/>
        <v>0</v>
      </c>
      <c r="AE84" s="40">
        <f t="shared" si="54"/>
        <v>281.72138707988506</v>
      </c>
      <c r="AF84" s="40">
        <f t="shared" si="55"/>
        <v>2728.2648235722081</v>
      </c>
      <c r="AG84" s="40">
        <f t="shared" si="56"/>
        <v>3919.4078185094968</v>
      </c>
      <c r="AH84" s="40">
        <f t="shared" si="72"/>
        <v>2785.4499617807269</v>
      </c>
      <c r="AI84" s="106">
        <f t="shared" si="68"/>
        <v>-1394466.3670862445</v>
      </c>
      <c r="AJ84" s="40">
        <f t="shared" si="62"/>
        <v>159557.83406799712</v>
      </c>
      <c r="AK84" s="108">
        <f t="shared" si="63"/>
        <v>-1368270.4671324396</v>
      </c>
    </row>
    <row r="85" spans="6:37">
      <c r="G85" s="1"/>
      <c r="I85">
        <v>9</v>
      </c>
      <c r="J85" s="26">
        <f t="shared" si="69"/>
        <v>7363.5986925100406</v>
      </c>
      <c r="K85" s="24">
        <f t="shared" si="70"/>
        <v>2280.383614687978</v>
      </c>
      <c r="L85" s="24">
        <f t="shared" si="57"/>
        <v>6365.9512550018198</v>
      </c>
      <c r="M85" s="24">
        <v>0</v>
      </c>
      <c r="N85" s="48"/>
      <c r="O85" s="32">
        <f t="shared" si="48"/>
        <v>10082.99055914864</v>
      </c>
      <c r="P85" s="32">
        <f t="shared" si="58"/>
        <v>4899.035565089579</v>
      </c>
      <c r="Q85" s="32">
        <f t="shared" si="59"/>
        <v>5183.9549940590614</v>
      </c>
      <c r="R85" s="45">
        <f t="shared" si="64"/>
        <v>1170584.5806274398</v>
      </c>
      <c r="S85" s="31">
        <f t="shared" si="49"/>
        <v>-6181.7717422693368</v>
      </c>
      <c r="T85" s="32">
        <f t="shared" si="60"/>
        <v>0</v>
      </c>
      <c r="U85" s="32">
        <f t="shared" si="50"/>
        <v>-11365.726736328397</v>
      </c>
      <c r="V85" s="32">
        <f t="shared" si="51"/>
        <v>2728.2648235722081</v>
      </c>
      <c r="W85" s="32">
        <f t="shared" si="52"/>
        <v>-7728.0403048987855</v>
      </c>
      <c r="X85" s="32">
        <f t="shared" si="71"/>
        <v>-5492.1739631846585</v>
      </c>
      <c r="Y85" s="102">
        <f t="shared" si="65"/>
        <v>-543594.44733195519</v>
      </c>
      <c r="Z85" s="32">
        <f t="shared" si="66"/>
        <v>-654809.45096879278</v>
      </c>
      <c r="AA85" s="45">
        <f t="shared" si="67"/>
        <v>-654809.45096879278</v>
      </c>
      <c r="AB85" s="1"/>
      <c r="AC85" s="40">
        <f t="shared" si="53"/>
        <v>-1282.7361771797578</v>
      </c>
      <c r="AD85" s="40">
        <f t="shared" si="61"/>
        <v>0</v>
      </c>
      <c r="AE85" s="40">
        <f t="shared" si="54"/>
        <v>-1282.7361771797578</v>
      </c>
      <c r="AF85" s="40">
        <f t="shared" si="55"/>
        <v>2728.2648235722081</v>
      </c>
      <c r="AG85" s="40">
        <f t="shared" si="56"/>
        <v>2354.950254249854</v>
      </c>
      <c r="AH85" s="40">
        <f t="shared" si="72"/>
        <v>1673.619179080554</v>
      </c>
      <c r="AI85" s="106">
        <f t="shared" si="68"/>
        <v>-1392792.747907164</v>
      </c>
      <c r="AJ85" s="40">
        <f t="shared" si="62"/>
        <v>161912.78432224697</v>
      </c>
      <c r="AK85" s="108">
        <f t="shared" si="63"/>
        <v>-1365915.5168781898</v>
      </c>
    </row>
    <row r="86" spans="6:37">
      <c r="G86" s="1"/>
      <c r="I86">
        <v>10</v>
      </c>
      <c r="J86" s="26">
        <f t="shared" si="69"/>
        <v>5356.8337540618095</v>
      </c>
      <c r="K86" s="24">
        <f t="shared" si="70"/>
        <v>2280.383614687978</v>
      </c>
      <c r="L86" s="24">
        <f t="shared" si="57"/>
        <v>6365.9512550018198</v>
      </c>
      <c r="M86" s="24">
        <v>0</v>
      </c>
      <c r="N86" s="48"/>
      <c r="O86" s="32">
        <f t="shared" si="48"/>
        <v>10082.99055914864</v>
      </c>
      <c r="P86" s="32">
        <f t="shared" si="58"/>
        <v>4877.4357526143322</v>
      </c>
      <c r="Q86" s="32">
        <f t="shared" si="59"/>
        <v>5205.5548065343082</v>
      </c>
      <c r="R86" s="45">
        <f t="shared" si="64"/>
        <v>1165379.0258209056</v>
      </c>
      <c r="S86" s="31">
        <f t="shared" si="49"/>
        <v>-8166.936868242321</v>
      </c>
      <c r="T86" s="32">
        <f t="shared" si="60"/>
        <v>0</v>
      </c>
      <c r="U86" s="32">
        <f t="shared" si="50"/>
        <v>-13372.491674776629</v>
      </c>
      <c r="V86" s="32">
        <f t="shared" si="51"/>
        <v>2728.2648235722081</v>
      </c>
      <c r="W86" s="32">
        <f t="shared" si="52"/>
        <v>-9734.8052433470184</v>
      </c>
      <c r="X86" s="32">
        <f t="shared" si="71"/>
        <v>-6918.3443388995393</v>
      </c>
      <c r="Y86" s="102">
        <f t="shared" si="65"/>
        <v>-550512.79167085479</v>
      </c>
      <c r="Z86" s="32">
        <f t="shared" si="66"/>
        <v>-664544.25621213985</v>
      </c>
      <c r="AA86" s="45">
        <f t="shared" si="67"/>
        <v>-664544.25621213985</v>
      </c>
      <c r="AB86" s="1"/>
      <c r="AC86" s="40">
        <f t="shared" si="53"/>
        <v>-3289.5011156279884</v>
      </c>
      <c r="AD86" s="40">
        <f t="shared" si="61"/>
        <v>0</v>
      </c>
      <c r="AE86" s="40">
        <f t="shared" si="54"/>
        <v>-3289.5011156279884</v>
      </c>
      <c r="AF86" s="40">
        <f t="shared" si="55"/>
        <v>2728.2648235722081</v>
      </c>
      <c r="AG86" s="40">
        <f t="shared" si="56"/>
        <v>348.18531580162289</v>
      </c>
      <c r="AH86" s="40">
        <f t="shared" si="72"/>
        <v>247.44880336567374</v>
      </c>
      <c r="AI86" s="106">
        <f t="shared" si="68"/>
        <v>-1392545.2991037983</v>
      </c>
      <c r="AJ86" s="40">
        <f t="shared" si="62"/>
        <v>162260.96963804858</v>
      </c>
      <c r="AK86" s="108">
        <f t="shared" si="63"/>
        <v>-1365567.3315623882</v>
      </c>
    </row>
    <row r="87" spans="6:37">
      <c r="G87" s="1"/>
      <c r="I87">
        <v>11</v>
      </c>
      <c r="J87" s="26">
        <f t="shared" si="69"/>
        <v>2809.4709138275239</v>
      </c>
      <c r="K87" s="24">
        <f t="shared" si="70"/>
        <v>2280.383614687978</v>
      </c>
      <c r="L87" s="24">
        <f t="shared" si="57"/>
        <v>6365.9512550018198</v>
      </c>
      <c r="M87" s="24">
        <v>0</v>
      </c>
      <c r="N87" s="48"/>
      <c r="O87" s="32">
        <f t="shared" si="48"/>
        <v>10082.99055914864</v>
      </c>
      <c r="P87" s="32">
        <f t="shared" si="58"/>
        <v>4855.7459409204403</v>
      </c>
      <c r="Q87" s="32">
        <f t="shared" si="59"/>
        <v>5227.2446182282001</v>
      </c>
      <c r="R87" s="45">
        <f t="shared" si="64"/>
        <v>1160151.7812026774</v>
      </c>
      <c r="S87" s="31">
        <f t="shared" si="49"/>
        <v>-10692.609896782715</v>
      </c>
      <c r="T87" s="32">
        <f t="shared" si="60"/>
        <v>0</v>
      </c>
      <c r="U87" s="32">
        <f t="shared" si="50"/>
        <v>-15919.854515010915</v>
      </c>
      <c r="V87" s="32">
        <f t="shared" si="51"/>
        <v>2728.2648235722081</v>
      </c>
      <c r="W87" s="32">
        <f t="shared" si="52"/>
        <v>-12282.168083581302</v>
      </c>
      <c r="X87" s="32">
        <f t="shared" si="71"/>
        <v>-8728.7075505212852</v>
      </c>
      <c r="Y87" s="102">
        <f t="shared" si="65"/>
        <v>-559241.49922137603</v>
      </c>
      <c r="Z87" s="32">
        <f t="shared" si="66"/>
        <v>-676826.42429572111</v>
      </c>
      <c r="AA87" s="45">
        <f t="shared" si="67"/>
        <v>-676826.42429572111</v>
      </c>
      <c r="AB87" s="1"/>
      <c r="AC87" s="40">
        <f t="shared" si="53"/>
        <v>-5836.8639558622745</v>
      </c>
      <c r="AD87" s="40">
        <f t="shared" si="61"/>
        <v>0</v>
      </c>
      <c r="AE87" s="40">
        <f t="shared" si="54"/>
        <v>-5836.8639558622745</v>
      </c>
      <c r="AF87" s="40">
        <f t="shared" si="55"/>
        <v>2728.2648235722081</v>
      </c>
      <c r="AG87" s="40">
        <f t="shared" si="56"/>
        <v>-2199.1775244326627</v>
      </c>
      <c r="AH87" s="40">
        <f t="shared" si="72"/>
        <v>-1562.9144082560724</v>
      </c>
      <c r="AI87" s="106">
        <f t="shared" si="68"/>
        <v>-1394108.2135120544</v>
      </c>
      <c r="AJ87" s="40">
        <f t="shared" si="62"/>
        <v>160061.79211361593</v>
      </c>
      <c r="AK87" s="108">
        <f t="shared" si="63"/>
        <v>-1367766.509086821</v>
      </c>
    </row>
    <row r="88" spans="6:37">
      <c r="G88" s="1"/>
      <c r="I88">
        <v>12</v>
      </c>
      <c r="J88" s="26">
        <f t="shared" si="69"/>
        <v>2121.4372206452731</v>
      </c>
      <c r="K88" s="24">
        <f t="shared" si="70"/>
        <v>2280.383614687978</v>
      </c>
      <c r="L88" s="24">
        <f t="shared" si="57"/>
        <v>6365.9512550018198</v>
      </c>
      <c r="M88" s="24">
        <v>0</v>
      </c>
      <c r="N88" s="48"/>
      <c r="O88" s="32">
        <f t="shared" si="48"/>
        <v>10082.99055914864</v>
      </c>
      <c r="P88" s="32">
        <f t="shared" si="58"/>
        <v>4833.965755011156</v>
      </c>
      <c r="Q88" s="32">
        <f t="shared" si="59"/>
        <v>5249.0248041374844</v>
      </c>
      <c r="R88" s="45">
        <f t="shared" si="64"/>
        <v>1154902.75639854</v>
      </c>
      <c r="S88" s="31">
        <f t="shared" si="49"/>
        <v>-11358.863404055681</v>
      </c>
      <c r="T88" s="32">
        <f t="shared" si="60"/>
        <v>0</v>
      </c>
      <c r="U88" s="32">
        <f t="shared" si="50"/>
        <v>-16607.888208193166</v>
      </c>
      <c r="V88" s="32">
        <f t="shared" si="51"/>
        <v>2728.2648235722081</v>
      </c>
      <c r="W88" s="32">
        <f t="shared" si="52"/>
        <v>-12970.201776763555</v>
      </c>
      <c r="X88" s="32">
        <f t="shared" si="71"/>
        <v>-9217.6802507663888</v>
      </c>
      <c r="Y88" s="102">
        <f t="shared" si="65"/>
        <v>-568459.17947214236</v>
      </c>
      <c r="Z88" s="32">
        <f t="shared" si="66"/>
        <v>-689796.62607248465</v>
      </c>
      <c r="AA88" s="45">
        <f t="shared" si="67"/>
        <v>-689796.62607248465</v>
      </c>
      <c r="AB88" s="1"/>
      <c r="AC88" s="40">
        <f t="shared" si="53"/>
        <v>-6524.8976490445248</v>
      </c>
      <c r="AD88" s="40">
        <f t="shared" si="61"/>
        <v>0</v>
      </c>
      <c r="AE88" s="40">
        <f t="shared" si="54"/>
        <v>-6524.8976490445248</v>
      </c>
      <c r="AF88" s="40">
        <f t="shared" si="55"/>
        <v>2728.2648235722081</v>
      </c>
      <c r="AG88" s="40">
        <f t="shared" si="56"/>
        <v>-2887.2112176149121</v>
      </c>
      <c r="AH88" s="40">
        <f t="shared" si="72"/>
        <v>-2051.8871085011733</v>
      </c>
      <c r="AI88" s="106">
        <f t="shared" si="68"/>
        <v>-1396160.1006205557</v>
      </c>
      <c r="AJ88" s="40">
        <f t="shared" si="62"/>
        <v>157174.58089600102</v>
      </c>
      <c r="AK88" s="108">
        <f t="shared" si="63"/>
        <v>-1370653.7203044358</v>
      </c>
    </row>
    <row r="89" spans="6:37">
      <c r="F89" s="132" t="s">
        <v>88</v>
      </c>
      <c r="G89" s="1">
        <f>SUM(S89:S100)</f>
        <v>-83752.203381701926</v>
      </c>
      <c r="H89">
        <v>2022</v>
      </c>
      <c r="I89">
        <v>1</v>
      </c>
      <c r="J89" s="26">
        <f t="shared" ref="J89:J100" si="73">C23*$C$45*$D$45</f>
        <v>2457.0174636176162</v>
      </c>
      <c r="K89" s="24">
        <f t="shared" ref="K89:K100" si="74">$K$88*$C$8</f>
        <v>2348.7951231286174</v>
      </c>
      <c r="L89" s="24">
        <f t="shared" si="57"/>
        <v>6365.9512550018198</v>
      </c>
      <c r="M89" s="24">
        <v>0</v>
      </c>
      <c r="N89" s="48"/>
      <c r="O89" s="32">
        <f t="shared" si="48"/>
        <v>10082.99055914864</v>
      </c>
      <c r="P89" s="32">
        <f t="shared" si="58"/>
        <v>4812.0948183272503</v>
      </c>
      <c r="Q89" s="32">
        <f t="shared" si="59"/>
        <v>5270.8957408213901</v>
      </c>
      <c r="R89" s="45">
        <f t="shared" si="64"/>
        <v>1149631.8606577185</v>
      </c>
      <c r="S89" s="31">
        <f t="shared" si="49"/>
        <v>-11069.823732840072</v>
      </c>
      <c r="T89" s="32">
        <f t="shared" si="60"/>
        <v>0</v>
      </c>
      <c r="U89" s="32">
        <f t="shared" si="50"/>
        <v>-16340.719473661462</v>
      </c>
      <c r="V89" s="32">
        <f t="shared" si="51"/>
        <v>2728.2648235722081</v>
      </c>
      <c r="W89" s="32">
        <f t="shared" si="52"/>
        <v>-12703.033042231851</v>
      </c>
      <c r="X89" s="32">
        <f t="shared" ref="X89:X100" si="75">W89/(1+$C$18)^8</f>
        <v>-8597.9127801335399</v>
      </c>
      <c r="Y89" s="102">
        <f t="shared" si="65"/>
        <v>-577057.09225227591</v>
      </c>
      <c r="Z89" s="32">
        <f t="shared" si="66"/>
        <v>-702499.65911471646</v>
      </c>
      <c r="AA89" s="45">
        <f t="shared" si="67"/>
        <v>-702499.65911471646</v>
      </c>
      <c r="AB89" s="1"/>
      <c r="AC89" s="40">
        <f t="shared" si="53"/>
        <v>-6257.7289145128216</v>
      </c>
      <c r="AD89" s="40">
        <f t="shared" si="61"/>
        <v>0</v>
      </c>
      <c r="AE89" s="40">
        <f t="shared" si="54"/>
        <v>-6257.7289145128216</v>
      </c>
      <c r="AF89" s="40">
        <f t="shared" si="55"/>
        <v>2728.2648235722081</v>
      </c>
      <c r="AG89" s="40">
        <f t="shared" si="56"/>
        <v>-2620.0424830832098</v>
      </c>
      <c r="AH89" s="40">
        <f t="shared" ref="AH89:AH100" si="76">AG89/(1+$C$18)^8</f>
        <v>-1773.3478827380973</v>
      </c>
      <c r="AI89" s="106">
        <f t="shared" si="68"/>
        <v>-1397933.4485032938</v>
      </c>
      <c r="AJ89" s="40">
        <f t="shared" si="62"/>
        <v>154554.53841291781</v>
      </c>
      <c r="AK89" s="108">
        <f t="shared" si="63"/>
        <v>-1373273.762787519</v>
      </c>
    </row>
    <row r="90" spans="6:37">
      <c r="F90" s="17" t="s">
        <v>31</v>
      </c>
      <c r="G90">
        <v>8</v>
      </c>
      <c r="I90">
        <v>2</v>
      </c>
      <c r="J90" s="26">
        <f t="shared" si="73"/>
        <v>3819.3241761184727</v>
      </c>
      <c r="K90" s="24">
        <f t="shared" si="74"/>
        <v>2348.7951231286174</v>
      </c>
      <c r="L90" s="24">
        <f t="shared" si="57"/>
        <v>6365.9512550018198</v>
      </c>
      <c r="M90" s="24">
        <v>0</v>
      </c>
      <c r="N90" s="48"/>
      <c r="O90" s="32">
        <f t="shared" si="48"/>
        <v>10082.99055914864</v>
      </c>
      <c r="P90" s="32">
        <f t="shared" si="58"/>
        <v>4790.1327527404937</v>
      </c>
      <c r="Q90" s="32">
        <f t="shared" si="59"/>
        <v>5292.8578064081466</v>
      </c>
      <c r="R90" s="45">
        <f t="shared" si="64"/>
        <v>1144339.0028513104</v>
      </c>
      <c r="S90" s="31">
        <f t="shared" si="49"/>
        <v>-9685.5549547524588</v>
      </c>
      <c r="T90" s="32">
        <f t="shared" si="60"/>
        <v>0</v>
      </c>
      <c r="U90" s="32">
        <f t="shared" si="50"/>
        <v>-14978.412761160605</v>
      </c>
      <c r="V90" s="32">
        <f t="shared" si="51"/>
        <v>2728.2648235722081</v>
      </c>
      <c r="W90" s="32">
        <f t="shared" si="52"/>
        <v>-11340.726329730995</v>
      </c>
      <c r="X90" s="32">
        <f t="shared" si="75"/>
        <v>-7675.8499739570616</v>
      </c>
      <c r="Y90" s="102">
        <f t="shared" si="65"/>
        <v>-584732.94222623296</v>
      </c>
      <c r="Z90" s="32">
        <f t="shared" si="66"/>
        <v>-713840.3854444474</v>
      </c>
      <c r="AA90" s="45">
        <f t="shared" si="67"/>
        <v>-713840.3854444474</v>
      </c>
      <c r="AB90" s="1"/>
      <c r="AC90" s="40">
        <f t="shared" si="53"/>
        <v>-4895.4222020119651</v>
      </c>
      <c r="AD90" s="40">
        <f t="shared" si="61"/>
        <v>0</v>
      </c>
      <c r="AE90" s="40">
        <f t="shared" si="54"/>
        <v>-4895.4222020119651</v>
      </c>
      <c r="AF90" s="40">
        <f t="shared" si="55"/>
        <v>2728.2648235722081</v>
      </c>
      <c r="AG90" s="40">
        <f t="shared" si="56"/>
        <v>-1257.7357705823533</v>
      </c>
      <c r="AH90" s="40">
        <f t="shared" si="76"/>
        <v>-851.28507656161923</v>
      </c>
      <c r="AI90" s="106">
        <f t="shared" si="68"/>
        <v>-1398784.7335798554</v>
      </c>
      <c r="AJ90" s="40">
        <f t="shared" si="62"/>
        <v>153296.80264233545</v>
      </c>
      <c r="AK90" s="108">
        <f t="shared" si="63"/>
        <v>-1374531.4985581015</v>
      </c>
    </row>
    <row r="91" spans="6:37">
      <c r="F91" s="13" t="s">
        <v>30</v>
      </c>
      <c r="G91" s="1">
        <f>G79+G89</f>
        <v>-706188.94489237736</v>
      </c>
      <c r="I91">
        <v>3</v>
      </c>
      <c r="J91" s="26">
        <f t="shared" si="73"/>
        <v>7127.7833350491237</v>
      </c>
      <c r="K91" s="24">
        <f t="shared" si="74"/>
        <v>2348.7951231286174</v>
      </c>
      <c r="L91" s="24">
        <f t="shared" si="57"/>
        <v>6365.9512550018198</v>
      </c>
      <c r="M91" s="24">
        <v>0</v>
      </c>
      <c r="N91" s="48"/>
      <c r="O91" s="32">
        <f t="shared" si="48"/>
        <v>10082.99055914864</v>
      </c>
      <c r="P91" s="32">
        <f t="shared" si="58"/>
        <v>4768.0791785471265</v>
      </c>
      <c r="Q91" s="32">
        <f t="shared" si="59"/>
        <v>5314.9113806015139</v>
      </c>
      <c r="R91" s="45">
        <f t="shared" si="64"/>
        <v>1139024.0914707088</v>
      </c>
      <c r="S91" s="31">
        <f t="shared" si="49"/>
        <v>-6355.0422216284396</v>
      </c>
      <c r="T91" s="32">
        <f t="shared" si="60"/>
        <v>0</v>
      </c>
      <c r="U91" s="32">
        <f t="shared" si="50"/>
        <v>-11669.953602229954</v>
      </c>
      <c r="V91" s="32">
        <f t="shared" si="51"/>
        <v>2728.2648235722081</v>
      </c>
      <c r="W91" s="32">
        <f t="shared" si="52"/>
        <v>-8032.2671708003427</v>
      </c>
      <c r="X91" s="32">
        <f t="shared" si="75"/>
        <v>-5436.5545875284724</v>
      </c>
      <c r="Y91" s="102">
        <f t="shared" si="65"/>
        <v>-590169.49681376142</v>
      </c>
      <c r="Z91" s="32">
        <f t="shared" si="66"/>
        <v>-721872.65261524776</v>
      </c>
      <c r="AA91" s="45">
        <f t="shared" si="67"/>
        <v>-721872.65261524776</v>
      </c>
      <c r="AB91" s="1"/>
      <c r="AC91" s="40">
        <f t="shared" si="53"/>
        <v>-1586.9630430813131</v>
      </c>
      <c r="AD91" s="40">
        <f t="shared" si="61"/>
        <v>0</v>
      </c>
      <c r="AE91" s="40">
        <f t="shared" si="54"/>
        <v>-1586.9630430813131</v>
      </c>
      <c r="AF91" s="40">
        <f t="shared" si="55"/>
        <v>2728.2648235722081</v>
      </c>
      <c r="AG91" s="40">
        <f t="shared" si="56"/>
        <v>2050.7233883482986</v>
      </c>
      <c r="AH91" s="40">
        <f t="shared" si="76"/>
        <v>1388.0103098669701</v>
      </c>
      <c r="AI91" s="106">
        <f t="shared" si="68"/>
        <v>-1397396.7232699885</v>
      </c>
      <c r="AJ91" s="40">
        <f t="shared" si="62"/>
        <v>155347.52603068374</v>
      </c>
      <c r="AK91" s="108">
        <f t="shared" si="63"/>
        <v>-1372480.7751697532</v>
      </c>
    </row>
    <row r="92" spans="6:37">
      <c r="F92" s="18" t="s">
        <v>39</v>
      </c>
      <c r="G92" s="1">
        <v>0</v>
      </c>
      <c r="I92">
        <v>4</v>
      </c>
      <c r="J92" s="26">
        <f t="shared" si="73"/>
        <v>9163.1344352736196</v>
      </c>
      <c r="K92" s="24">
        <f t="shared" si="74"/>
        <v>2348.7951231286174</v>
      </c>
      <c r="L92" s="24">
        <f t="shared" si="57"/>
        <v>6365.9512550018198</v>
      </c>
      <c r="M92" s="24">
        <v>0</v>
      </c>
      <c r="N92" s="48"/>
      <c r="O92" s="32">
        <f t="shared" si="48"/>
        <v>10082.99055914864</v>
      </c>
      <c r="P92" s="32">
        <f t="shared" si="58"/>
        <v>4745.9337144612864</v>
      </c>
      <c r="Q92" s="32">
        <f t="shared" si="59"/>
        <v>5337.056844687354</v>
      </c>
      <c r="R92" s="45">
        <f t="shared" si="64"/>
        <v>1133687.0346260215</v>
      </c>
      <c r="S92" s="31">
        <f t="shared" si="49"/>
        <v>-4297.5456573181036</v>
      </c>
      <c r="T92" s="32">
        <f t="shared" si="60"/>
        <v>0</v>
      </c>
      <c r="U92" s="32">
        <f t="shared" si="50"/>
        <v>-9634.6025020054585</v>
      </c>
      <c r="V92" s="32">
        <f t="shared" si="51"/>
        <v>2728.2648235722081</v>
      </c>
      <c r="W92" s="32">
        <f t="shared" si="52"/>
        <v>-5996.9160705758468</v>
      </c>
      <c r="X92" s="32">
        <f t="shared" si="75"/>
        <v>-4058.9488473481379</v>
      </c>
      <c r="Y92" s="102">
        <f t="shared" si="65"/>
        <v>-594228.44566110952</v>
      </c>
      <c r="Z92" s="32">
        <f t="shared" si="66"/>
        <v>-727869.56868582359</v>
      </c>
      <c r="AA92" s="45">
        <f t="shared" si="67"/>
        <v>-727869.56868582359</v>
      </c>
      <c r="AB92" s="1"/>
      <c r="AC92" s="40">
        <f t="shared" si="53"/>
        <v>448.38805714318278</v>
      </c>
      <c r="AD92" s="40">
        <f t="shared" si="61"/>
        <v>0</v>
      </c>
      <c r="AE92" s="40">
        <f t="shared" si="54"/>
        <v>448.38805714318278</v>
      </c>
      <c r="AF92" s="40">
        <f t="shared" si="55"/>
        <v>2728.2648235722081</v>
      </c>
      <c r="AG92" s="40">
        <f t="shared" si="56"/>
        <v>4086.0744885727945</v>
      </c>
      <c r="AH92" s="40">
        <f t="shared" si="76"/>
        <v>2765.6160500473043</v>
      </c>
      <c r="AI92" s="106">
        <f t="shared" si="68"/>
        <v>-1394631.1072199412</v>
      </c>
      <c r="AJ92" s="40">
        <f t="shared" si="62"/>
        <v>159433.60051925655</v>
      </c>
      <c r="AK92" s="108">
        <f t="shared" si="63"/>
        <v>-1368394.7006811805</v>
      </c>
    </row>
    <row r="93" spans="6:37">
      <c r="F93" s="16" t="s">
        <v>90</v>
      </c>
      <c r="G93" s="129">
        <f>$C$60</f>
        <v>0</v>
      </c>
      <c r="I93">
        <v>5</v>
      </c>
      <c r="J93" s="26">
        <f t="shared" si="73"/>
        <v>9406.4034910773426</v>
      </c>
      <c r="K93" s="24">
        <f t="shared" si="74"/>
        <v>2348.7951231286174</v>
      </c>
      <c r="L93" s="24">
        <f t="shared" si="57"/>
        <v>6365.9512550018198</v>
      </c>
      <c r="M93" s="24">
        <v>0</v>
      </c>
      <c r="N93" s="48"/>
      <c r="O93" s="32">
        <f t="shared" si="48"/>
        <v>10082.99055914864</v>
      </c>
      <c r="P93" s="32">
        <f t="shared" si="58"/>
        <v>4723.6959776084232</v>
      </c>
      <c r="Q93" s="32">
        <f t="shared" si="59"/>
        <v>5359.2945815402172</v>
      </c>
      <c r="R93" s="45">
        <f t="shared" si="64"/>
        <v>1128327.7400444814</v>
      </c>
      <c r="S93" s="31">
        <f t="shared" si="49"/>
        <v>-4032.0388646615174</v>
      </c>
      <c r="T93" s="32">
        <f t="shared" si="60"/>
        <v>0</v>
      </c>
      <c r="U93" s="32">
        <f t="shared" si="50"/>
        <v>-9391.3334462017338</v>
      </c>
      <c r="V93" s="32">
        <f t="shared" si="51"/>
        <v>2728.2648235722081</v>
      </c>
      <c r="W93" s="32">
        <f t="shared" si="52"/>
        <v>-5753.647014772122</v>
      </c>
      <c r="X93" s="32">
        <f t="shared" si="75"/>
        <v>-3894.2947748166234</v>
      </c>
      <c r="Y93" s="102">
        <f t="shared" si="65"/>
        <v>-598122.74043592613</v>
      </c>
      <c r="Z93" s="32">
        <f t="shared" si="66"/>
        <v>-733623.21570059576</v>
      </c>
      <c r="AA93" s="45">
        <f t="shared" si="67"/>
        <v>-733623.21570059576</v>
      </c>
      <c r="AB93" s="1"/>
      <c r="AC93" s="40">
        <f t="shared" si="53"/>
        <v>691.65711294690573</v>
      </c>
      <c r="AD93" s="40">
        <f t="shared" si="61"/>
        <v>0</v>
      </c>
      <c r="AE93" s="40">
        <f t="shared" si="54"/>
        <v>691.65711294690573</v>
      </c>
      <c r="AF93" s="40">
        <f t="shared" si="55"/>
        <v>2728.2648235722081</v>
      </c>
      <c r="AG93" s="40">
        <f t="shared" si="56"/>
        <v>4329.3435443765175</v>
      </c>
      <c r="AH93" s="40">
        <f t="shared" si="76"/>
        <v>2930.2701225788173</v>
      </c>
      <c r="AI93" s="106">
        <f t="shared" si="68"/>
        <v>-1391700.8370973624</v>
      </c>
      <c r="AJ93" s="40">
        <f t="shared" si="62"/>
        <v>163762.94406363307</v>
      </c>
      <c r="AK93" s="108">
        <f t="shared" si="63"/>
        <v>-1364065.3571368039</v>
      </c>
    </row>
    <row r="94" spans="6:37">
      <c r="G94" s="1"/>
      <c r="I94">
        <v>6</v>
      </c>
      <c r="J94" s="26">
        <f t="shared" si="73"/>
        <v>9406.4034910773426</v>
      </c>
      <c r="K94" s="24">
        <f t="shared" si="74"/>
        <v>2348.7951231286174</v>
      </c>
      <c r="L94" s="24">
        <f t="shared" si="57"/>
        <v>6365.9512550018198</v>
      </c>
      <c r="M94" s="24">
        <v>0</v>
      </c>
      <c r="N94" s="48"/>
      <c r="O94" s="32">
        <f t="shared" si="48"/>
        <v>10082.99055914864</v>
      </c>
      <c r="P94" s="32">
        <f t="shared" si="58"/>
        <v>4701.3655835186719</v>
      </c>
      <c r="Q94" s="32">
        <f t="shared" si="59"/>
        <v>5381.6249756299685</v>
      </c>
      <c r="R94" s="45">
        <f t="shared" si="64"/>
        <v>1122946.1150688513</v>
      </c>
      <c r="S94" s="31">
        <f t="shared" si="49"/>
        <v>-4009.7084705717662</v>
      </c>
      <c r="T94" s="32">
        <f t="shared" si="60"/>
        <v>0</v>
      </c>
      <c r="U94" s="32">
        <f t="shared" si="50"/>
        <v>-9391.3334462017338</v>
      </c>
      <c r="V94" s="32">
        <f t="shared" si="51"/>
        <v>2728.2648235722081</v>
      </c>
      <c r="W94" s="32">
        <f t="shared" si="52"/>
        <v>-5753.647014772122</v>
      </c>
      <c r="X94" s="32">
        <f t="shared" si="75"/>
        <v>-3894.2947748166234</v>
      </c>
      <c r="Y94" s="102">
        <f t="shared" si="65"/>
        <v>-602017.03521074273</v>
      </c>
      <c r="Z94" s="32">
        <f t="shared" si="66"/>
        <v>-739376.86271536793</v>
      </c>
      <c r="AA94" s="45">
        <f t="shared" si="67"/>
        <v>-739376.86271536793</v>
      </c>
      <c r="AB94" s="1"/>
      <c r="AC94" s="40">
        <f t="shared" si="53"/>
        <v>691.65711294690573</v>
      </c>
      <c r="AD94" s="40">
        <f t="shared" si="61"/>
        <v>0</v>
      </c>
      <c r="AE94" s="40">
        <f t="shared" si="54"/>
        <v>691.65711294690573</v>
      </c>
      <c r="AF94" s="40">
        <f t="shared" si="55"/>
        <v>2728.2648235722081</v>
      </c>
      <c r="AG94" s="40">
        <f t="shared" si="56"/>
        <v>4329.3435443765175</v>
      </c>
      <c r="AH94" s="40">
        <f t="shared" si="76"/>
        <v>2930.2701225788173</v>
      </c>
      <c r="AI94" s="106">
        <f t="shared" si="68"/>
        <v>-1388770.5669747835</v>
      </c>
      <c r="AJ94" s="40">
        <f t="shared" si="62"/>
        <v>168092.28760800959</v>
      </c>
      <c r="AK94" s="108">
        <f t="shared" si="63"/>
        <v>-1359736.0135924274</v>
      </c>
    </row>
    <row r="95" spans="6:37">
      <c r="G95" s="1"/>
      <c r="I95">
        <v>7</v>
      </c>
      <c r="J95" s="26">
        <f t="shared" si="73"/>
        <v>9406.4034910773426</v>
      </c>
      <c r="K95" s="24">
        <f t="shared" si="74"/>
        <v>2348.7951231286174</v>
      </c>
      <c r="L95" s="24">
        <f t="shared" si="57"/>
        <v>6365.9512550018198</v>
      </c>
      <c r="M95" s="24">
        <v>0</v>
      </c>
      <c r="N95" s="48"/>
      <c r="O95" s="32">
        <f t="shared" si="48"/>
        <v>10082.99055914864</v>
      </c>
      <c r="P95" s="32">
        <f t="shared" si="58"/>
        <v>4678.9421461202137</v>
      </c>
      <c r="Q95" s="32">
        <f t="shared" si="59"/>
        <v>5404.0484130284267</v>
      </c>
      <c r="R95" s="45">
        <f t="shared" si="64"/>
        <v>1117542.0666558228</v>
      </c>
      <c r="S95" s="31">
        <f t="shared" si="49"/>
        <v>-3987.285033173308</v>
      </c>
      <c r="T95" s="32">
        <f t="shared" si="60"/>
        <v>0</v>
      </c>
      <c r="U95" s="32">
        <f t="shared" si="50"/>
        <v>-9391.3334462017338</v>
      </c>
      <c r="V95" s="32">
        <f t="shared" si="51"/>
        <v>2728.2648235722081</v>
      </c>
      <c r="W95" s="32">
        <f t="shared" si="52"/>
        <v>-5753.647014772122</v>
      </c>
      <c r="X95" s="32">
        <f t="shared" si="75"/>
        <v>-3894.2947748166234</v>
      </c>
      <c r="Y95" s="102">
        <f t="shared" si="65"/>
        <v>-605911.32998555934</v>
      </c>
      <c r="Z95" s="32">
        <f t="shared" si="66"/>
        <v>-745130.5097301401</v>
      </c>
      <c r="AA95" s="45">
        <f t="shared" si="67"/>
        <v>-745130.5097301401</v>
      </c>
      <c r="AB95" s="1"/>
      <c r="AC95" s="40">
        <f t="shared" si="53"/>
        <v>691.65711294690573</v>
      </c>
      <c r="AD95" s="40">
        <f t="shared" si="61"/>
        <v>0</v>
      </c>
      <c r="AE95" s="40">
        <f t="shared" si="54"/>
        <v>691.65711294690573</v>
      </c>
      <c r="AF95" s="40">
        <f t="shared" si="55"/>
        <v>2728.2648235722081</v>
      </c>
      <c r="AG95" s="40">
        <f t="shared" si="56"/>
        <v>4329.3435443765175</v>
      </c>
      <c r="AH95" s="40">
        <f t="shared" si="76"/>
        <v>2930.2701225788173</v>
      </c>
      <c r="AI95" s="106">
        <f t="shared" si="68"/>
        <v>-1385840.2968522047</v>
      </c>
      <c r="AJ95" s="40">
        <f t="shared" si="62"/>
        <v>172421.63115238611</v>
      </c>
      <c r="AK95" s="108">
        <f t="shared" si="63"/>
        <v>-1355406.6700480508</v>
      </c>
    </row>
    <row r="96" spans="6:37">
      <c r="G96" s="1"/>
      <c r="I96">
        <v>8</v>
      </c>
      <c r="J96" s="26">
        <f t="shared" si="73"/>
        <v>8838.775694201986</v>
      </c>
      <c r="K96" s="24">
        <f t="shared" si="74"/>
        <v>2348.7951231286174</v>
      </c>
      <c r="L96" s="24">
        <f t="shared" si="57"/>
        <v>6365.9512550018198</v>
      </c>
      <c r="M96" s="24">
        <v>0</v>
      </c>
      <c r="N96" s="48"/>
      <c r="O96" s="32">
        <f t="shared" si="48"/>
        <v>10082.99055914864</v>
      </c>
      <c r="P96" s="32">
        <f t="shared" si="58"/>
        <v>4656.4252777325946</v>
      </c>
      <c r="Q96" s="32">
        <f t="shared" si="59"/>
        <v>5426.5652814160458</v>
      </c>
      <c r="R96" s="45">
        <f t="shared" si="64"/>
        <v>1112115.5013744067</v>
      </c>
      <c r="S96" s="31">
        <f t="shared" si="49"/>
        <v>-4532.3959616610455</v>
      </c>
      <c r="T96" s="32">
        <f t="shared" si="60"/>
        <v>0</v>
      </c>
      <c r="U96" s="32">
        <f t="shared" si="50"/>
        <v>-9958.9612430770903</v>
      </c>
      <c r="V96" s="32">
        <f t="shared" si="51"/>
        <v>2728.2648235722081</v>
      </c>
      <c r="W96" s="32">
        <f t="shared" si="52"/>
        <v>-6321.2748116474786</v>
      </c>
      <c r="X96" s="32">
        <f t="shared" si="75"/>
        <v>-4278.4876107234895</v>
      </c>
      <c r="Y96" s="102">
        <f t="shared" si="65"/>
        <v>-610189.81759628281</v>
      </c>
      <c r="Z96" s="32">
        <f t="shared" si="66"/>
        <v>-751451.78454178758</v>
      </c>
      <c r="AA96" s="45">
        <f t="shared" si="67"/>
        <v>-751451.78454178758</v>
      </c>
      <c r="AB96" s="1"/>
      <c r="AC96" s="40">
        <f t="shared" si="53"/>
        <v>124.02931607154915</v>
      </c>
      <c r="AD96" s="40">
        <f t="shared" si="61"/>
        <v>0</v>
      </c>
      <c r="AE96" s="40">
        <f t="shared" si="54"/>
        <v>124.02931607154915</v>
      </c>
      <c r="AF96" s="40">
        <f t="shared" si="55"/>
        <v>2728.2648235722081</v>
      </c>
      <c r="AG96" s="40">
        <f t="shared" si="56"/>
        <v>3761.7157475011609</v>
      </c>
      <c r="AH96" s="40">
        <f t="shared" si="76"/>
        <v>2546.0772866719517</v>
      </c>
      <c r="AI96" s="106">
        <f t="shared" si="68"/>
        <v>-1383294.2195655329</v>
      </c>
      <c r="AJ96" s="40">
        <f t="shared" si="62"/>
        <v>176183.34689988726</v>
      </c>
      <c r="AK96" s="108">
        <f t="shared" si="63"/>
        <v>-1351644.9543005496</v>
      </c>
    </row>
    <row r="97" spans="6:37">
      <c r="G97" s="1"/>
      <c r="I97">
        <v>9</v>
      </c>
      <c r="J97" s="26">
        <f t="shared" si="73"/>
        <v>7289.9627055849414</v>
      </c>
      <c r="K97" s="24">
        <f t="shared" si="74"/>
        <v>2348.7951231286174</v>
      </c>
      <c r="L97" s="24">
        <f t="shared" si="57"/>
        <v>6365.9512550018198</v>
      </c>
      <c r="M97" s="24">
        <v>0</v>
      </c>
      <c r="N97" s="48"/>
      <c r="O97" s="32">
        <f t="shared" si="48"/>
        <v>10082.99055914864</v>
      </c>
      <c r="P97" s="32">
        <f t="shared" si="58"/>
        <v>4633.8145890600281</v>
      </c>
      <c r="Q97" s="32">
        <f t="shared" si="59"/>
        <v>5449.1759700886123</v>
      </c>
      <c r="R97" s="45">
        <f t="shared" si="64"/>
        <v>1106666.325404318</v>
      </c>
      <c r="S97" s="31">
        <f t="shared" si="49"/>
        <v>-6058.5982616055235</v>
      </c>
      <c r="T97" s="32">
        <f t="shared" si="60"/>
        <v>0</v>
      </c>
      <c r="U97" s="32">
        <f t="shared" si="50"/>
        <v>-11507.774231694137</v>
      </c>
      <c r="V97" s="32">
        <f t="shared" si="51"/>
        <v>2728.2648235722081</v>
      </c>
      <c r="W97" s="32">
        <f t="shared" si="52"/>
        <v>-7870.087800264525</v>
      </c>
      <c r="X97" s="32">
        <f t="shared" si="75"/>
        <v>-5326.7852058407952</v>
      </c>
      <c r="Y97" s="102">
        <f t="shared" si="65"/>
        <v>-615516.60280212364</v>
      </c>
      <c r="Z97" s="32">
        <f t="shared" si="66"/>
        <v>-759321.87234205205</v>
      </c>
      <c r="AA97" s="45">
        <f t="shared" si="67"/>
        <v>-759321.87234205205</v>
      </c>
      <c r="AB97" s="1"/>
      <c r="AC97" s="40">
        <f t="shared" si="53"/>
        <v>-1424.7836725454954</v>
      </c>
      <c r="AD97" s="40">
        <f t="shared" si="61"/>
        <v>0</v>
      </c>
      <c r="AE97" s="40">
        <f t="shared" si="54"/>
        <v>-1424.7836725454954</v>
      </c>
      <c r="AF97" s="40">
        <f t="shared" si="55"/>
        <v>2728.2648235722081</v>
      </c>
      <c r="AG97" s="40">
        <f t="shared" si="56"/>
        <v>2212.9027588841163</v>
      </c>
      <c r="AH97" s="40">
        <f t="shared" si="76"/>
        <v>1497.7796915546471</v>
      </c>
      <c r="AI97" s="106">
        <f t="shared" si="68"/>
        <v>-1381796.4398739783</v>
      </c>
      <c r="AJ97" s="40">
        <f t="shared" si="62"/>
        <v>178396.24965877138</v>
      </c>
      <c r="AK97" s="108">
        <f t="shared" si="63"/>
        <v>-1349432.0515416656</v>
      </c>
    </row>
    <row r="98" spans="6:37">
      <c r="G98" s="1"/>
      <c r="I98">
        <v>10</v>
      </c>
      <c r="J98" s="26">
        <f t="shared" si="73"/>
        <v>5303.2654165211916</v>
      </c>
      <c r="K98" s="24">
        <f t="shared" si="74"/>
        <v>2348.7951231286174</v>
      </c>
      <c r="L98" s="24">
        <f t="shared" si="57"/>
        <v>6365.9512550018198</v>
      </c>
      <c r="M98" s="24">
        <v>0</v>
      </c>
      <c r="N98" s="48"/>
      <c r="O98" s="32">
        <f t="shared" si="48"/>
        <v>10082.99055914864</v>
      </c>
      <c r="P98" s="32">
        <f t="shared" si="58"/>
        <v>4611.1096891846582</v>
      </c>
      <c r="Q98" s="32">
        <f t="shared" si="59"/>
        <v>5471.8808699639821</v>
      </c>
      <c r="R98" s="45">
        <f t="shared" si="64"/>
        <v>1101194.4445343541</v>
      </c>
      <c r="S98" s="31">
        <f t="shared" si="49"/>
        <v>-8022.5906507939035</v>
      </c>
      <c r="T98" s="32">
        <f t="shared" si="60"/>
        <v>0</v>
      </c>
      <c r="U98" s="32">
        <f t="shared" si="50"/>
        <v>-13494.471520757887</v>
      </c>
      <c r="V98" s="32">
        <f t="shared" si="51"/>
        <v>2728.2648235722081</v>
      </c>
      <c r="W98" s="32">
        <f t="shared" si="52"/>
        <v>-9856.7850893282739</v>
      </c>
      <c r="X98" s="32">
        <f t="shared" si="75"/>
        <v>-6671.4601315148257</v>
      </c>
      <c r="Y98" s="102">
        <f t="shared" si="65"/>
        <v>-622188.06293363846</v>
      </c>
      <c r="Z98" s="32">
        <f t="shared" si="66"/>
        <v>-769178.65743138036</v>
      </c>
      <c r="AA98" s="45">
        <f t="shared" si="67"/>
        <v>-769178.65743138036</v>
      </c>
      <c r="AB98" s="1"/>
      <c r="AC98" s="40">
        <f t="shared" si="53"/>
        <v>-3411.4809616092457</v>
      </c>
      <c r="AD98" s="40">
        <f t="shared" si="61"/>
        <v>0</v>
      </c>
      <c r="AE98" s="40">
        <f t="shared" si="54"/>
        <v>-3411.4809616092457</v>
      </c>
      <c r="AF98" s="40">
        <f t="shared" si="55"/>
        <v>2728.2648235722081</v>
      </c>
      <c r="AG98" s="40">
        <f t="shared" si="56"/>
        <v>226.20546982036558</v>
      </c>
      <c r="AH98" s="40">
        <f t="shared" si="76"/>
        <v>153.1047658806157</v>
      </c>
      <c r="AI98" s="106">
        <f t="shared" si="68"/>
        <v>-1381643.3351080976</v>
      </c>
      <c r="AJ98" s="40">
        <f t="shared" si="62"/>
        <v>178622.45512859174</v>
      </c>
      <c r="AK98" s="108">
        <f t="shared" si="63"/>
        <v>-1349205.8460718452</v>
      </c>
    </row>
    <row r="99" spans="6:37">
      <c r="G99" s="1"/>
      <c r="I99">
        <v>11</v>
      </c>
      <c r="J99" s="26">
        <f t="shared" si="73"/>
        <v>2781.3762046892484</v>
      </c>
      <c r="K99" s="24">
        <f t="shared" si="74"/>
        <v>2348.7951231286174</v>
      </c>
      <c r="L99" s="24">
        <f t="shared" si="57"/>
        <v>6365.9512550018198</v>
      </c>
      <c r="M99" s="24">
        <v>0</v>
      </c>
      <c r="N99" s="48"/>
      <c r="O99" s="32">
        <f t="shared" si="48"/>
        <v>10082.99055914864</v>
      </c>
      <c r="P99" s="32">
        <f t="shared" si="58"/>
        <v>4588.3101855598088</v>
      </c>
      <c r="Q99" s="32">
        <f t="shared" si="59"/>
        <v>5494.6803735888316</v>
      </c>
      <c r="R99" s="45">
        <f t="shared" si="64"/>
        <v>1095699.7641607653</v>
      </c>
      <c r="S99" s="31">
        <f t="shared" si="49"/>
        <v>-10521.680359000999</v>
      </c>
      <c r="T99" s="32">
        <f t="shared" si="60"/>
        <v>0</v>
      </c>
      <c r="U99" s="32">
        <f t="shared" si="50"/>
        <v>-16016.36073258983</v>
      </c>
      <c r="V99" s="32">
        <f t="shared" si="51"/>
        <v>2728.2648235722081</v>
      </c>
      <c r="W99" s="32">
        <f t="shared" si="52"/>
        <v>-12378.674301160219</v>
      </c>
      <c r="X99" s="32">
        <f t="shared" si="75"/>
        <v>-8378.3740167581873</v>
      </c>
      <c r="Y99" s="102">
        <f t="shared" si="65"/>
        <v>-630566.43695039663</v>
      </c>
      <c r="Z99" s="32">
        <f t="shared" si="66"/>
        <v>-781557.33173254062</v>
      </c>
      <c r="AA99" s="45">
        <f t="shared" si="67"/>
        <v>-781557.33173254062</v>
      </c>
      <c r="AB99" s="1"/>
      <c r="AC99" s="40">
        <f t="shared" si="53"/>
        <v>-5933.3701734411889</v>
      </c>
      <c r="AD99" s="40">
        <f t="shared" si="61"/>
        <v>0</v>
      </c>
      <c r="AE99" s="40">
        <f t="shared" si="54"/>
        <v>-5933.3701734411889</v>
      </c>
      <c r="AF99" s="40">
        <f t="shared" si="55"/>
        <v>2728.2648235722081</v>
      </c>
      <c r="AG99" s="40">
        <f t="shared" si="56"/>
        <v>-2295.6837420115762</v>
      </c>
      <c r="AH99" s="40">
        <f t="shared" si="76"/>
        <v>-1553.8091193627445</v>
      </c>
      <c r="AI99" s="106">
        <f t="shared" si="68"/>
        <v>-1383197.1442274605</v>
      </c>
      <c r="AJ99" s="40">
        <f t="shared" si="62"/>
        <v>176326.77138658016</v>
      </c>
      <c r="AK99" s="108">
        <f t="shared" si="63"/>
        <v>-1351501.5298138568</v>
      </c>
    </row>
    <row r="100" spans="6:37">
      <c r="G100" s="1"/>
      <c r="I100">
        <v>12</v>
      </c>
      <c r="J100" s="26">
        <f t="shared" si="73"/>
        <v>2100.2228484388206</v>
      </c>
      <c r="K100" s="24">
        <f t="shared" si="74"/>
        <v>2348.7951231286174</v>
      </c>
      <c r="L100" s="24">
        <f t="shared" si="57"/>
        <v>6365.9512550018198</v>
      </c>
      <c r="M100" s="24">
        <v>0</v>
      </c>
      <c r="N100" s="48"/>
      <c r="O100" s="32">
        <f t="shared" si="48"/>
        <v>10082.99055914864</v>
      </c>
      <c r="P100" s="32">
        <f t="shared" si="58"/>
        <v>4565.4156840031892</v>
      </c>
      <c r="Q100" s="32">
        <f t="shared" si="59"/>
        <v>5517.5748751454512</v>
      </c>
      <c r="R100" s="45">
        <f t="shared" si="64"/>
        <v>1090182.1892856199</v>
      </c>
      <c r="S100" s="31">
        <f t="shared" si="49"/>
        <v>-11179.939213694804</v>
      </c>
      <c r="T100" s="32">
        <f t="shared" si="60"/>
        <v>0</v>
      </c>
      <c r="U100" s="32">
        <f t="shared" si="50"/>
        <v>-16697.514088840257</v>
      </c>
      <c r="V100" s="32">
        <f t="shared" si="51"/>
        <v>2728.2648235722081</v>
      </c>
      <c r="W100" s="32">
        <f t="shared" si="52"/>
        <v>-13059.827657410646</v>
      </c>
      <c r="X100" s="32">
        <f t="shared" si="75"/>
        <v>-8839.4054198464255</v>
      </c>
      <c r="Y100" s="102">
        <f t="shared" si="65"/>
        <v>-639405.84237024304</v>
      </c>
      <c r="Z100" s="32">
        <f t="shared" si="66"/>
        <v>-794617.15938995127</v>
      </c>
      <c r="AA100" s="45">
        <f t="shared" si="67"/>
        <v>-794617.15938995127</v>
      </c>
      <c r="AB100" s="1"/>
      <c r="AC100" s="40">
        <f t="shared" si="53"/>
        <v>-6614.5235296916162</v>
      </c>
      <c r="AD100" s="40">
        <f t="shared" si="61"/>
        <v>0</v>
      </c>
      <c r="AE100" s="40">
        <f t="shared" si="54"/>
        <v>-6614.5235296916162</v>
      </c>
      <c r="AF100" s="40">
        <f t="shared" si="55"/>
        <v>2728.2648235722081</v>
      </c>
      <c r="AG100" s="40">
        <f t="shared" si="56"/>
        <v>-2976.8370982620045</v>
      </c>
      <c r="AH100" s="40">
        <f t="shared" si="76"/>
        <v>-2014.8405224509834</v>
      </c>
      <c r="AI100" s="106">
        <f t="shared" si="68"/>
        <v>-1385211.9847499116</v>
      </c>
      <c r="AJ100" s="40">
        <f t="shared" si="62"/>
        <v>173349.93428831815</v>
      </c>
      <c r="AK100" s="108">
        <f t="shared" si="63"/>
        <v>-1354478.3669121189</v>
      </c>
    </row>
    <row r="101" spans="6:37">
      <c r="F101" s="132" t="s">
        <v>88</v>
      </c>
      <c r="G101" s="1">
        <f>SUM(S101:S112)</f>
        <v>-82057.543308076449</v>
      </c>
      <c r="H101">
        <v>2023</v>
      </c>
      <c r="I101">
        <v>1</v>
      </c>
      <c r="J101" s="26">
        <f t="shared" ref="J101:J112" si="77">C23*$C$46*$D$46</f>
        <v>2432.4472889814401</v>
      </c>
      <c r="K101" s="24">
        <f t="shared" ref="K101:K112" si="78">$K$100*$C$8</f>
        <v>2419.2589768224761</v>
      </c>
      <c r="L101" s="24">
        <f t="shared" si="57"/>
        <v>6365.9512550018198</v>
      </c>
      <c r="M101" s="24">
        <v>0</v>
      </c>
      <c r="N101" s="48"/>
      <c r="O101" s="32">
        <f t="shared" si="48"/>
        <v>10082.99055914864</v>
      </c>
      <c r="P101" s="32">
        <f t="shared" si="58"/>
        <v>4542.4257886900832</v>
      </c>
      <c r="Q101" s="32">
        <f t="shared" si="59"/>
        <v>5540.5647704585572</v>
      </c>
      <c r="R101" s="45">
        <f t="shared" si="64"/>
        <v>1084641.6245151614</v>
      </c>
      <c r="S101" s="31">
        <f t="shared" si="49"/>
        <v>-10895.188731532939</v>
      </c>
      <c r="T101" s="32">
        <f t="shared" si="60"/>
        <v>0</v>
      </c>
      <c r="U101" s="32">
        <f t="shared" si="50"/>
        <v>-16435.753501991494</v>
      </c>
      <c r="V101" s="32">
        <f t="shared" ref="V101:V124" si="79">$C$9/120</f>
        <v>2728.2648235722081</v>
      </c>
      <c r="W101" s="32">
        <f t="shared" si="52"/>
        <v>-12798.067070561883</v>
      </c>
      <c r="X101" s="32">
        <f t="shared" ref="X101:X112" si="80">W101/(1+$C$18)^9</f>
        <v>-8249.7481440375759</v>
      </c>
      <c r="Y101" s="102">
        <f t="shared" si="65"/>
        <v>-647655.5905142806</v>
      </c>
      <c r="Z101" s="32">
        <f t="shared" si="66"/>
        <v>-807415.22646051319</v>
      </c>
      <c r="AA101" s="45">
        <f t="shared" si="67"/>
        <v>-807415.22646051319</v>
      </c>
      <c r="AB101" s="1"/>
      <c r="AC101" s="40">
        <f t="shared" si="53"/>
        <v>-6352.7629428428554</v>
      </c>
      <c r="AD101" s="40">
        <f t="shared" si="61"/>
        <v>0</v>
      </c>
      <c r="AE101" s="40">
        <f t="shared" si="54"/>
        <v>-6352.7629428428554</v>
      </c>
      <c r="AF101" s="40">
        <f t="shared" si="55"/>
        <v>2728.2648235722081</v>
      </c>
      <c r="AG101" s="40">
        <f t="shared" si="56"/>
        <v>-2715.0765114132437</v>
      </c>
      <c r="AH101" s="40">
        <f t="shared" ref="AH101:AH112" si="81">AG101/(1+$C$18)^9</f>
        <v>-1750.1625274704888</v>
      </c>
      <c r="AI101" s="106">
        <f t="shared" si="68"/>
        <v>-1386962.147277382</v>
      </c>
      <c r="AJ101" s="40">
        <f t="shared" si="62"/>
        <v>170634.85777690492</v>
      </c>
      <c r="AK101" s="108">
        <f t="shared" si="63"/>
        <v>-1357193.4434235322</v>
      </c>
    </row>
    <row r="102" spans="6:37">
      <c r="F102" s="17" t="s">
        <v>31</v>
      </c>
      <c r="G102">
        <v>9</v>
      </c>
      <c r="I102">
        <v>2</v>
      </c>
      <c r="J102" s="26">
        <f t="shared" si="77"/>
        <v>3781.1309343572884</v>
      </c>
      <c r="K102" s="24">
        <f t="shared" si="78"/>
        <v>2419.2589768224761</v>
      </c>
      <c r="L102" s="24">
        <f t="shared" si="57"/>
        <v>6365.9512550018198</v>
      </c>
      <c r="M102" s="24">
        <v>0</v>
      </c>
      <c r="N102" s="48"/>
      <c r="O102" s="32">
        <f t="shared" si="48"/>
        <v>10082.99055914864</v>
      </c>
      <c r="P102" s="32">
        <f t="shared" si="58"/>
        <v>4519.3401021465061</v>
      </c>
      <c r="Q102" s="32">
        <f t="shared" si="59"/>
        <v>5563.6504570021343</v>
      </c>
      <c r="R102" s="45">
        <f t="shared" si="64"/>
        <v>1079077.9740581592</v>
      </c>
      <c r="S102" s="31">
        <f t="shared" si="49"/>
        <v>-9523.4193996135145</v>
      </c>
      <c r="T102" s="32">
        <f t="shared" si="60"/>
        <v>0</v>
      </c>
      <c r="U102" s="32">
        <f t="shared" si="50"/>
        <v>-15087.069856615648</v>
      </c>
      <c r="V102" s="32">
        <f t="shared" si="79"/>
        <v>2728.2648235722081</v>
      </c>
      <c r="W102" s="32">
        <f t="shared" si="52"/>
        <v>-11449.383425186039</v>
      </c>
      <c r="X102" s="32">
        <f t="shared" si="80"/>
        <v>-7380.3746410711847</v>
      </c>
      <c r="Y102" s="102">
        <f t="shared" si="65"/>
        <v>-655035.96515535179</v>
      </c>
      <c r="Z102" s="32">
        <f t="shared" si="66"/>
        <v>-818864.60988569923</v>
      </c>
      <c r="AA102" s="45">
        <f t="shared" si="67"/>
        <v>-818864.60988569923</v>
      </c>
      <c r="AB102" s="1"/>
      <c r="AC102" s="40">
        <f t="shared" si="53"/>
        <v>-5004.0792974670076</v>
      </c>
      <c r="AD102" s="40">
        <f t="shared" si="61"/>
        <v>0</v>
      </c>
      <c r="AE102" s="40">
        <f t="shared" si="54"/>
        <v>-5004.0792974670076</v>
      </c>
      <c r="AF102" s="40">
        <f t="shared" si="55"/>
        <v>2728.2648235722081</v>
      </c>
      <c r="AG102" s="40">
        <f t="shared" si="56"/>
        <v>-1366.3928660373958</v>
      </c>
      <c r="AH102" s="40">
        <f t="shared" si="81"/>
        <v>-880.78902450409555</v>
      </c>
      <c r="AI102" s="106">
        <f t="shared" si="68"/>
        <v>-1387842.9363018861</v>
      </c>
      <c r="AJ102" s="40">
        <f t="shared" si="62"/>
        <v>169268.46491086751</v>
      </c>
      <c r="AK102" s="108">
        <f t="shared" si="63"/>
        <v>-1358559.8362895695</v>
      </c>
    </row>
    <row r="103" spans="6:37">
      <c r="F103" s="13" t="s">
        <v>30</v>
      </c>
      <c r="G103" s="1">
        <f>G91+G101</f>
        <v>-788246.48820045381</v>
      </c>
      <c r="I103">
        <v>3</v>
      </c>
      <c r="J103" s="26">
        <f t="shared" si="77"/>
        <v>7056.5055016986344</v>
      </c>
      <c r="K103" s="24">
        <f t="shared" si="78"/>
        <v>2419.2589768224761</v>
      </c>
      <c r="L103" s="24">
        <f t="shared" si="57"/>
        <v>6365.9512550018198</v>
      </c>
      <c r="M103" s="24">
        <v>0</v>
      </c>
      <c r="N103" s="48"/>
      <c r="O103" s="32">
        <f t="shared" si="48"/>
        <v>10082.99055914864</v>
      </c>
      <c r="P103" s="32">
        <f t="shared" si="58"/>
        <v>4496.1582252423295</v>
      </c>
      <c r="Q103" s="32">
        <f t="shared" si="59"/>
        <v>5586.8323339063109</v>
      </c>
      <c r="R103" s="45">
        <f t="shared" si="64"/>
        <v>1073491.1417242528</v>
      </c>
      <c r="S103" s="31">
        <f t="shared" si="49"/>
        <v>-6224.8629553679912</v>
      </c>
      <c r="T103" s="32">
        <f t="shared" si="60"/>
        <v>0</v>
      </c>
      <c r="U103" s="32">
        <f t="shared" si="50"/>
        <v>-11811.695289274303</v>
      </c>
      <c r="V103" s="32">
        <f t="shared" si="79"/>
        <v>2728.2648235722081</v>
      </c>
      <c r="W103" s="32">
        <f t="shared" si="52"/>
        <v>-8174.0088578446912</v>
      </c>
      <c r="X103" s="32">
        <f t="shared" si="80"/>
        <v>-5269.0389910099411</v>
      </c>
      <c r="Y103" s="102">
        <f t="shared" si="65"/>
        <v>-660305.00414636172</v>
      </c>
      <c r="Z103" s="32">
        <f t="shared" si="66"/>
        <v>-827038.61874354398</v>
      </c>
      <c r="AA103" s="45">
        <f t="shared" si="67"/>
        <v>-827038.61874354398</v>
      </c>
      <c r="AB103" s="1"/>
      <c r="AC103" s="40">
        <f t="shared" si="53"/>
        <v>-1728.7047301256616</v>
      </c>
      <c r="AD103" s="40">
        <f t="shared" si="61"/>
        <v>0</v>
      </c>
      <c r="AE103" s="40">
        <f t="shared" si="54"/>
        <v>-1728.7047301256616</v>
      </c>
      <c r="AF103" s="40">
        <f t="shared" si="55"/>
        <v>2728.2648235722081</v>
      </c>
      <c r="AG103" s="40">
        <f t="shared" si="56"/>
        <v>1908.9817013039501</v>
      </c>
      <c r="AH103" s="40">
        <f t="shared" si="81"/>
        <v>1230.5466255571462</v>
      </c>
      <c r="AI103" s="106">
        <f t="shared" si="68"/>
        <v>-1386612.389676329</v>
      </c>
      <c r="AJ103" s="40">
        <f t="shared" si="62"/>
        <v>171177.44661217145</v>
      </c>
      <c r="AK103" s="108">
        <f t="shared" si="63"/>
        <v>-1356650.8545882655</v>
      </c>
    </row>
    <row r="104" spans="6:37">
      <c r="F104" s="18" t="s">
        <v>39</v>
      </c>
      <c r="G104" s="1">
        <v>0</v>
      </c>
      <c r="I104">
        <v>4</v>
      </c>
      <c r="J104" s="26">
        <f t="shared" si="77"/>
        <v>9071.5030909208817</v>
      </c>
      <c r="K104" s="24">
        <f t="shared" si="78"/>
        <v>2419.2589768224761</v>
      </c>
      <c r="L104" s="24">
        <f t="shared" si="57"/>
        <v>6365.9512550018198</v>
      </c>
      <c r="M104" s="24">
        <v>0</v>
      </c>
      <c r="N104" s="48"/>
      <c r="O104" s="32">
        <f t="shared" si="48"/>
        <v>10082.99055914864</v>
      </c>
      <c r="P104" s="32">
        <f t="shared" si="58"/>
        <v>4472.879757184387</v>
      </c>
      <c r="Q104" s="32">
        <f t="shared" si="59"/>
        <v>5610.1108019642534</v>
      </c>
      <c r="R104" s="45">
        <f t="shared" si="64"/>
        <v>1067881.0309222885</v>
      </c>
      <c r="S104" s="31">
        <f t="shared" si="49"/>
        <v>-4186.5868980878013</v>
      </c>
      <c r="T104" s="32">
        <f t="shared" si="60"/>
        <v>0</v>
      </c>
      <c r="U104" s="32">
        <f t="shared" si="50"/>
        <v>-9796.6977000520546</v>
      </c>
      <c r="V104" s="32">
        <f t="shared" si="79"/>
        <v>2728.2648235722081</v>
      </c>
      <c r="W104" s="32">
        <f t="shared" si="52"/>
        <v>-6159.0112686224429</v>
      </c>
      <c r="X104" s="32">
        <f t="shared" si="80"/>
        <v>-3970.1535788399137</v>
      </c>
      <c r="Y104" s="102">
        <f t="shared" si="65"/>
        <v>-664275.15772520169</v>
      </c>
      <c r="Z104" s="32">
        <f t="shared" si="66"/>
        <v>-833197.63001216645</v>
      </c>
      <c r="AA104" s="45">
        <f t="shared" si="67"/>
        <v>-833197.63001216645</v>
      </c>
      <c r="AB104" s="1"/>
      <c r="AC104" s="40">
        <f t="shared" si="53"/>
        <v>286.29285909658574</v>
      </c>
      <c r="AD104" s="40">
        <f t="shared" si="61"/>
        <v>0</v>
      </c>
      <c r="AE104" s="40">
        <f t="shared" si="54"/>
        <v>286.29285909658574</v>
      </c>
      <c r="AF104" s="40">
        <f t="shared" si="55"/>
        <v>2728.2648235722081</v>
      </c>
      <c r="AG104" s="40">
        <f t="shared" si="56"/>
        <v>3923.9792905261975</v>
      </c>
      <c r="AH104" s="40">
        <f t="shared" si="81"/>
        <v>2529.4320377271733</v>
      </c>
      <c r="AI104" s="106">
        <f t="shared" si="68"/>
        <v>-1384082.9576386018</v>
      </c>
      <c r="AJ104" s="40">
        <f t="shared" si="62"/>
        <v>175101.42590269764</v>
      </c>
      <c r="AK104" s="108">
        <f t="shared" si="63"/>
        <v>-1352726.8752977394</v>
      </c>
    </row>
    <row r="105" spans="6:37">
      <c r="F105" s="16" t="s">
        <v>90</v>
      </c>
      <c r="G105" s="129">
        <f>$C$60</f>
        <v>0</v>
      </c>
      <c r="I105">
        <v>5</v>
      </c>
      <c r="J105" s="26">
        <f t="shared" si="77"/>
        <v>9312.33945616657</v>
      </c>
      <c r="K105" s="24">
        <f t="shared" si="78"/>
        <v>2419.2589768224761</v>
      </c>
      <c r="L105" s="24">
        <f t="shared" si="57"/>
        <v>6365.9512550018198</v>
      </c>
      <c r="M105" s="24">
        <v>0</v>
      </c>
      <c r="N105" s="48"/>
      <c r="O105" s="32">
        <f t="shared" si="48"/>
        <v>10082.99055914864</v>
      </c>
      <c r="P105" s="32">
        <f t="shared" si="58"/>
        <v>4449.504295509536</v>
      </c>
      <c r="Q105" s="32">
        <f t="shared" si="59"/>
        <v>5633.4862636391044</v>
      </c>
      <c r="R105" s="45">
        <f t="shared" si="64"/>
        <v>1062247.5446586495</v>
      </c>
      <c r="S105" s="31">
        <f t="shared" si="49"/>
        <v>-3922.3750711672619</v>
      </c>
      <c r="T105" s="32">
        <f t="shared" si="60"/>
        <v>0</v>
      </c>
      <c r="U105" s="32">
        <f t="shared" si="50"/>
        <v>-9555.8613348063664</v>
      </c>
      <c r="V105" s="32">
        <f t="shared" si="79"/>
        <v>2728.2648235722081</v>
      </c>
      <c r="W105" s="32">
        <f t="shared" si="52"/>
        <v>-5918.1749033767546</v>
      </c>
      <c r="X105" s="32">
        <f t="shared" si="80"/>
        <v>-3814.9083104530569</v>
      </c>
      <c r="Y105" s="102">
        <f t="shared" si="65"/>
        <v>-668090.06603565475</v>
      </c>
      <c r="Z105" s="32">
        <f t="shared" si="66"/>
        <v>-839115.80491554318</v>
      </c>
      <c r="AA105" s="45">
        <f t="shared" si="67"/>
        <v>-839115.80491554318</v>
      </c>
      <c r="AB105" s="1"/>
      <c r="AC105" s="40">
        <f t="shared" si="53"/>
        <v>527.12922434227403</v>
      </c>
      <c r="AD105" s="40">
        <f t="shared" si="61"/>
        <v>0</v>
      </c>
      <c r="AE105" s="40">
        <f t="shared" si="54"/>
        <v>527.12922434227403</v>
      </c>
      <c r="AF105" s="40">
        <f t="shared" si="55"/>
        <v>2728.2648235722081</v>
      </c>
      <c r="AG105" s="40">
        <f t="shared" si="56"/>
        <v>4164.8156557718858</v>
      </c>
      <c r="AH105" s="40">
        <f t="shared" si="81"/>
        <v>2684.6773061140298</v>
      </c>
      <c r="AI105" s="106">
        <f t="shared" si="68"/>
        <v>-1381398.2803324878</v>
      </c>
      <c r="AJ105" s="40">
        <f t="shared" si="62"/>
        <v>179266.24155846951</v>
      </c>
      <c r="AK105" s="108">
        <f t="shared" si="63"/>
        <v>-1348562.0596419675</v>
      </c>
    </row>
    <row r="106" spans="6:37">
      <c r="G106" s="1"/>
      <c r="I106">
        <v>6</v>
      </c>
      <c r="J106" s="26">
        <f t="shared" si="77"/>
        <v>9312.33945616657</v>
      </c>
      <c r="K106" s="24">
        <f t="shared" si="78"/>
        <v>2419.2589768224761</v>
      </c>
      <c r="L106" s="24">
        <f t="shared" si="57"/>
        <v>6365.9512550018198</v>
      </c>
      <c r="M106" s="24">
        <v>0</v>
      </c>
      <c r="N106" s="48"/>
      <c r="O106" s="32">
        <f t="shared" si="48"/>
        <v>10082.99055914864</v>
      </c>
      <c r="P106" s="32">
        <f t="shared" si="58"/>
        <v>4426.0314360777065</v>
      </c>
      <c r="Q106" s="32">
        <f t="shared" si="59"/>
        <v>5656.9591230709339</v>
      </c>
      <c r="R106" s="45">
        <f t="shared" si="64"/>
        <v>1056590.5855355784</v>
      </c>
      <c r="S106" s="31">
        <f t="shared" si="49"/>
        <v>-3898.9022117354325</v>
      </c>
      <c r="T106" s="32">
        <f t="shared" si="60"/>
        <v>0</v>
      </c>
      <c r="U106" s="32">
        <f t="shared" si="50"/>
        <v>-9555.8613348063664</v>
      </c>
      <c r="V106" s="32">
        <f t="shared" si="79"/>
        <v>2728.2648235722081</v>
      </c>
      <c r="W106" s="32">
        <f t="shared" si="52"/>
        <v>-5918.1749033767546</v>
      </c>
      <c r="X106" s="32">
        <f t="shared" si="80"/>
        <v>-3814.9083104530569</v>
      </c>
      <c r="Y106" s="102">
        <f t="shared" si="65"/>
        <v>-671904.9743461078</v>
      </c>
      <c r="Z106" s="32">
        <f t="shared" si="66"/>
        <v>-845033.97981891991</v>
      </c>
      <c r="AA106" s="45">
        <f t="shared" si="67"/>
        <v>-845033.97981891991</v>
      </c>
      <c r="AB106" s="1"/>
      <c r="AC106" s="40">
        <f t="shared" si="53"/>
        <v>527.12922434227403</v>
      </c>
      <c r="AD106" s="40">
        <f t="shared" si="61"/>
        <v>0</v>
      </c>
      <c r="AE106" s="40">
        <f t="shared" si="54"/>
        <v>527.12922434227403</v>
      </c>
      <c r="AF106" s="40">
        <f t="shared" si="55"/>
        <v>2728.2648235722081</v>
      </c>
      <c r="AG106" s="40">
        <f t="shared" si="56"/>
        <v>4164.8156557718858</v>
      </c>
      <c r="AH106" s="40">
        <f t="shared" si="81"/>
        <v>2684.6773061140298</v>
      </c>
      <c r="AI106" s="106">
        <f t="shared" si="68"/>
        <v>-1378713.6030263738</v>
      </c>
      <c r="AJ106" s="40">
        <f t="shared" si="62"/>
        <v>183431.05721424139</v>
      </c>
      <c r="AK106" s="108">
        <f t="shared" si="63"/>
        <v>-1344397.2439861957</v>
      </c>
    </row>
    <row r="107" spans="6:37">
      <c r="G107" s="1"/>
      <c r="I107">
        <v>7</v>
      </c>
      <c r="J107" s="26">
        <f t="shared" si="77"/>
        <v>9312.33945616657</v>
      </c>
      <c r="K107" s="24">
        <f t="shared" si="78"/>
        <v>2419.2589768224761</v>
      </c>
      <c r="L107" s="24">
        <f t="shared" si="57"/>
        <v>6365.9512550018198</v>
      </c>
      <c r="M107" s="24">
        <v>0</v>
      </c>
      <c r="N107" s="48"/>
      <c r="O107" s="32">
        <f t="shared" si="48"/>
        <v>10082.99055914864</v>
      </c>
      <c r="P107" s="32">
        <f t="shared" si="58"/>
        <v>4402.4607730649104</v>
      </c>
      <c r="Q107" s="32">
        <f t="shared" si="59"/>
        <v>5680.52978608373</v>
      </c>
      <c r="R107" s="45">
        <f t="shared" si="64"/>
        <v>1050910.0557494948</v>
      </c>
      <c r="S107" s="31">
        <f t="shared" si="49"/>
        <v>-3875.3315487226364</v>
      </c>
      <c r="T107" s="32">
        <f t="shared" si="60"/>
        <v>0</v>
      </c>
      <c r="U107" s="32">
        <f t="shared" si="50"/>
        <v>-9555.8613348063664</v>
      </c>
      <c r="V107" s="32">
        <f t="shared" si="79"/>
        <v>2728.2648235722081</v>
      </c>
      <c r="W107" s="32">
        <f t="shared" si="52"/>
        <v>-5918.1749033767546</v>
      </c>
      <c r="X107" s="32">
        <f t="shared" si="80"/>
        <v>-3814.9083104530569</v>
      </c>
      <c r="Y107" s="102">
        <f t="shared" si="65"/>
        <v>-675719.88265656086</v>
      </c>
      <c r="Z107" s="32">
        <f t="shared" si="66"/>
        <v>-850952.15472229663</v>
      </c>
      <c r="AA107" s="45">
        <f t="shared" si="67"/>
        <v>-850952.15472229663</v>
      </c>
      <c r="AB107" s="1"/>
      <c r="AC107" s="40">
        <f t="shared" si="53"/>
        <v>527.12922434227403</v>
      </c>
      <c r="AD107" s="40">
        <f t="shared" si="61"/>
        <v>0</v>
      </c>
      <c r="AE107" s="40">
        <f t="shared" si="54"/>
        <v>527.12922434227403</v>
      </c>
      <c r="AF107" s="40">
        <f t="shared" si="55"/>
        <v>2728.2648235722081</v>
      </c>
      <c r="AG107" s="40">
        <f t="shared" si="56"/>
        <v>4164.8156557718858</v>
      </c>
      <c r="AH107" s="40">
        <f t="shared" si="81"/>
        <v>2684.6773061140298</v>
      </c>
      <c r="AI107" s="106">
        <f t="shared" si="68"/>
        <v>-1376028.9257202598</v>
      </c>
      <c r="AJ107" s="40">
        <f t="shared" si="62"/>
        <v>187595.87287001326</v>
      </c>
      <c r="AK107" s="108">
        <f t="shared" si="63"/>
        <v>-1340232.4283304238</v>
      </c>
    </row>
    <row r="108" spans="6:37">
      <c r="G108" s="1"/>
      <c r="I108">
        <v>8</v>
      </c>
      <c r="J108" s="26">
        <f t="shared" si="77"/>
        <v>8750.3879372599658</v>
      </c>
      <c r="K108" s="24">
        <f t="shared" si="78"/>
        <v>2419.2589768224761</v>
      </c>
      <c r="L108" s="24">
        <f t="shared" si="57"/>
        <v>6365.9512550018198</v>
      </c>
      <c r="M108" s="24">
        <v>0</v>
      </c>
      <c r="N108" s="48"/>
      <c r="O108" s="32">
        <f t="shared" si="48"/>
        <v>10082.99055914864</v>
      </c>
      <c r="P108" s="32">
        <f t="shared" si="58"/>
        <v>4378.7918989562286</v>
      </c>
      <c r="Q108" s="32">
        <f t="shared" si="59"/>
        <v>5704.1986601924118</v>
      </c>
      <c r="R108" s="45">
        <f t="shared" si="64"/>
        <v>1045205.8570893024</v>
      </c>
      <c r="S108" s="31">
        <f t="shared" si="49"/>
        <v>-4413.6141935205587</v>
      </c>
      <c r="T108" s="32">
        <f t="shared" si="60"/>
        <v>0</v>
      </c>
      <c r="U108" s="32">
        <f t="shared" si="50"/>
        <v>-10117.812853712971</v>
      </c>
      <c r="V108" s="32">
        <f t="shared" si="79"/>
        <v>2728.2648235722081</v>
      </c>
      <c r="W108" s="32">
        <f t="shared" si="52"/>
        <v>-6480.1264222833588</v>
      </c>
      <c r="X108" s="32">
        <f t="shared" si="80"/>
        <v>-4177.1472700223885</v>
      </c>
      <c r="Y108" s="102">
        <f t="shared" si="65"/>
        <v>-679897.02992658329</v>
      </c>
      <c r="Z108" s="32">
        <f t="shared" si="66"/>
        <v>-857432.28114457999</v>
      </c>
      <c r="AA108" s="45">
        <f t="shared" si="67"/>
        <v>-857432.28114457999</v>
      </c>
      <c r="AB108" s="1"/>
      <c r="AC108" s="40">
        <f t="shared" si="53"/>
        <v>-34.82229456433015</v>
      </c>
      <c r="AD108" s="40">
        <f t="shared" si="61"/>
        <v>0</v>
      </c>
      <c r="AE108" s="40">
        <f t="shared" si="54"/>
        <v>-34.82229456433015</v>
      </c>
      <c r="AF108" s="40">
        <f t="shared" si="55"/>
        <v>2728.2648235722081</v>
      </c>
      <c r="AG108" s="40">
        <f t="shared" si="56"/>
        <v>3602.8641368652816</v>
      </c>
      <c r="AH108" s="40">
        <f t="shared" si="81"/>
        <v>2322.438346544699</v>
      </c>
      <c r="AI108" s="106">
        <f t="shared" si="68"/>
        <v>-1373706.487373715</v>
      </c>
      <c r="AJ108" s="40">
        <f t="shared" si="62"/>
        <v>191198.73700687854</v>
      </c>
      <c r="AK108" s="108">
        <f t="shared" si="63"/>
        <v>-1336629.5641935584</v>
      </c>
    </row>
    <row r="109" spans="6:37">
      <c r="G109" s="1"/>
      <c r="I109">
        <v>9</v>
      </c>
      <c r="J109" s="26">
        <f t="shared" si="77"/>
        <v>7217.0630785290914</v>
      </c>
      <c r="K109" s="24">
        <f t="shared" si="78"/>
        <v>2419.2589768224761</v>
      </c>
      <c r="L109" s="24">
        <f t="shared" si="57"/>
        <v>6365.9512550018198</v>
      </c>
      <c r="M109" s="24">
        <v>0</v>
      </c>
      <c r="N109" s="48"/>
      <c r="O109" s="32">
        <f t="shared" si="48"/>
        <v>10082.99055914864</v>
      </c>
      <c r="P109" s="32">
        <f t="shared" si="58"/>
        <v>4355.0244045387599</v>
      </c>
      <c r="Q109" s="32">
        <f t="shared" si="59"/>
        <v>5727.9661546098805</v>
      </c>
      <c r="R109" s="45">
        <f t="shared" si="64"/>
        <v>1039477.8909346925</v>
      </c>
      <c r="S109" s="31">
        <f t="shared" si="49"/>
        <v>-5923.1715578339645</v>
      </c>
      <c r="T109" s="32">
        <f t="shared" si="60"/>
        <v>0</v>
      </c>
      <c r="U109" s="32">
        <f t="shared" si="50"/>
        <v>-11651.137712443844</v>
      </c>
      <c r="V109" s="32">
        <f t="shared" si="79"/>
        <v>2728.2648235722081</v>
      </c>
      <c r="W109" s="32">
        <f t="shared" si="52"/>
        <v>-8013.4512810142323</v>
      </c>
      <c r="X109" s="32">
        <f t="shared" si="80"/>
        <v>-5165.5421454187035</v>
      </c>
      <c r="Y109" s="102">
        <f t="shared" si="65"/>
        <v>-685062.57207200199</v>
      </c>
      <c r="Z109" s="32">
        <f t="shared" si="66"/>
        <v>-865445.73242559424</v>
      </c>
      <c r="AA109" s="45">
        <f t="shared" si="67"/>
        <v>-865445.73242559424</v>
      </c>
      <c r="AB109" s="1"/>
      <c r="AC109" s="40">
        <f t="shared" si="53"/>
        <v>-1568.1471532952046</v>
      </c>
      <c r="AD109" s="40">
        <f t="shared" si="61"/>
        <v>0</v>
      </c>
      <c r="AE109" s="40">
        <f t="shared" si="54"/>
        <v>-1568.1471532952046</v>
      </c>
      <c r="AF109" s="40">
        <f t="shared" si="55"/>
        <v>2728.2648235722081</v>
      </c>
      <c r="AG109" s="40">
        <f t="shared" si="56"/>
        <v>2069.5392781344071</v>
      </c>
      <c r="AH109" s="40">
        <f t="shared" si="81"/>
        <v>1334.0434711483827</v>
      </c>
      <c r="AI109" s="106">
        <f t="shared" si="68"/>
        <v>-1372372.4439025666</v>
      </c>
      <c r="AJ109" s="40">
        <f t="shared" si="62"/>
        <v>193268.27628501295</v>
      </c>
      <c r="AK109" s="108">
        <f t="shared" si="63"/>
        <v>-1334560.0249154239</v>
      </c>
    </row>
    <row r="110" spans="6:37">
      <c r="G110" s="1"/>
      <c r="I110">
        <v>10</v>
      </c>
      <c r="J110" s="26">
        <f t="shared" si="77"/>
        <v>5250.2327623559795</v>
      </c>
      <c r="K110" s="24">
        <f t="shared" si="78"/>
        <v>2419.2589768224761</v>
      </c>
      <c r="L110" s="24">
        <f t="shared" si="57"/>
        <v>6365.9512550018198</v>
      </c>
      <c r="M110" s="24">
        <v>0</v>
      </c>
      <c r="N110" s="48"/>
      <c r="O110" s="32">
        <f t="shared" si="48"/>
        <v>10082.99055914864</v>
      </c>
      <c r="P110" s="32">
        <f t="shared" si="58"/>
        <v>4331.1578788945517</v>
      </c>
      <c r="Q110" s="32">
        <f t="shared" si="59"/>
        <v>5751.8326802540887</v>
      </c>
      <c r="R110" s="45">
        <f t="shared" si="64"/>
        <v>1033726.0582544383</v>
      </c>
      <c r="S110" s="31">
        <f t="shared" si="49"/>
        <v>-7866.1353483628682</v>
      </c>
      <c r="T110" s="32">
        <f t="shared" si="60"/>
        <v>0</v>
      </c>
      <c r="U110" s="32">
        <f t="shared" si="50"/>
        <v>-13617.968028616957</v>
      </c>
      <c r="V110" s="32">
        <f t="shared" si="79"/>
        <v>2728.2648235722081</v>
      </c>
      <c r="W110" s="32">
        <f t="shared" si="52"/>
        <v>-9980.2815971873461</v>
      </c>
      <c r="X110" s="32">
        <f t="shared" si="80"/>
        <v>-6433.3785039113618</v>
      </c>
      <c r="Y110" s="102">
        <f t="shared" si="65"/>
        <v>-691495.9505759133</v>
      </c>
      <c r="Z110" s="32">
        <f t="shared" si="66"/>
        <v>-875426.01402278163</v>
      </c>
      <c r="AA110" s="45">
        <f t="shared" si="67"/>
        <v>-875426.01402278163</v>
      </c>
      <c r="AB110" s="1"/>
      <c r="AC110" s="40">
        <f t="shared" si="53"/>
        <v>-3534.9774694683165</v>
      </c>
      <c r="AD110" s="40">
        <f t="shared" si="61"/>
        <v>0</v>
      </c>
      <c r="AE110" s="40">
        <f t="shared" si="54"/>
        <v>-3534.9774694683165</v>
      </c>
      <c r="AF110" s="40">
        <f t="shared" si="55"/>
        <v>2728.2648235722081</v>
      </c>
      <c r="AG110" s="40">
        <f t="shared" si="56"/>
        <v>102.70896196129524</v>
      </c>
      <c r="AH110" s="40">
        <f t="shared" si="81"/>
        <v>66.207112655725496</v>
      </c>
      <c r="AI110" s="106">
        <f t="shared" si="68"/>
        <v>-1372306.2367899108</v>
      </c>
      <c r="AJ110" s="40">
        <f t="shared" si="62"/>
        <v>193370.98524697425</v>
      </c>
      <c r="AK110" s="108">
        <f t="shared" si="63"/>
        <v>-1334457.3159534626</v>
      </c>
    </row>
    <row r="111" spans="6:37">
      <c r="G111" s="1"/>
      <c r="I111">
        <v>11</v>
      </c>
      <c r="J111" s="26">
        <f t="shared" si="77"/>
        <v>2753.5624426423565</v>
      </c>
      <c r="K111" s="24">
        <f t="shared" si="78"/>
        <v>2419.2589768224761</v>
      </c>
      <c r="L111" s="24">
        <f t="shared" si="57"/>
        <v>6365.9512550018198</v>
      </c>
      <c r="M111" s="24">
        <v>0</v>
      </c>
      <c r="N111" s="48"/>
      <c r="O111" s="32">
        <f t="shared" si="48"/>
        <v>10082.99055914864</v>
      </c>
      <c r="P111" s="32">
        <f t="shared" si="58"/>
        <v>4307.191909393493</v>
      </c>
      <c r="Q111" s="32">
        <f t="shared" si="59"/>
        <v>5775.7986497551474</v>
      </c>
      <c r="R111" s="45">
        <f t="shared" si="64"/>
        <v>1027950.2596046831</v>
      </c>
      <c r="S111" s="31">
        <f t="shared" si="49"/>
        <v>-10338.839698575433</v>
      </c>
      <c r="T111" s="32">
        <f t="shared" si="60"/>
        <v>0</v>
      </c>
      <c r="U111" s="32">
        <f t="shared" si="50"/>
        <v>-16114.63834833058</v>
      </c>
      <c r="V111" s="32">
        <f t="shared" si="79"/>
        <v>2728.2648235722081</v>
      </c>
      <c r="W111" s="32">
        <f t="shared" si="52"/>
        <v>-12476.951916900969</v>
      </c>
      <c r="X111" s="32">
        <f t="shared" si="80"/>
        <v>-8042.7544528551016</v>
      </c>
      <c r="Y111" s="102">
        <f t="shared" si="65"/>
        <v>-699538.7050287684</v>
      </c>
      <c r="Z111" s="32">
        <f t="shared" si="66"/>
        <v>-887902.96593968256</v>
      </c>
      <c r="AA111" s="45">
        <f t="shared" si="67"/>
        <v>-887902.96593968256</v>
      </c>
      <c r="AB111" s="1"/>
      <c r="AC111" s="40">
        <f t="shared" si="53"/>
        <v>-6031.6477891819395</v>
      </c>
      <c r="AD111" s="40">
        <f t="shared" si="61"/>
        <v>0</v>
      </c>
      <c r="AE111" s="40">
        <f t="shared" si="54"/>
        <v>-6031.6477891819395</v>
      </c>
      <c r="AF111" s="40">
        <f t="shared" si="55"/>
        <v>2728.2648235722081</v>
      </c>
      <c r="AG111" s="40">
        <f t="shared" si="56"/>
        <v>-2393.9613577523278</v>
      </c>
      <c r="AH111" s="40">
        <f t="shared" si="81"/>
        <v>-1543.1688362880145</v>
      </c>
      <c r="AI111" s="106">
        <f t="shared" si="68"/>
        <v>-1373849.4056261987</v>
      </c>
      <c r="AJ111" s="40">
        <f t="shared" si="62"/>
        <v>190977.02388922192</v>
      </c>
      <c r="AK111" s="108">
        <f t="shared" si="63"/>
        <v>-1336851.2773112149</v>
      </c>
    </row>
    <row r="112" spans="6:37">
      <c r="G112" s="1"/>
      <c r="I112">
        <v>12</v>
      </c>
      <c r="J112" s="26">
        <f t="shared" si="77"/>
        <v>2079.2206199544326</v>
      </c>
      <c r="K112" s="24">
        <f t="shared" si="78"/>
        <v>2419.2589768224761</v>
      </c>
      <c r="L112" s="24">
        <f t="shared" si="57"/>
        <v>6365.9512550018198</v>
      </c>
      <c r="M112" s="24">
        <v>0</v>
      </c>
      <c r="N112" s="48"/>
      <c r="O112" s="32">
        <f t="shared" si="48"/>
        <v>10082.99055914864</v>
      </c>
      <c r="P112" s="32">
        <f t="shared" si="58"/>
        <v>4283.1260816861795</v>
      </c>
      <c r="Q112" s="32">
        <f t="shared" si="59"/>
        <v>5799.8644774624609</v>
      </c>
      <c r="R112" s="45">
        <f t="shared" si="64"/>
        <v>1022150.3951272207</v>
      </c>
      <c r="S112" s="31">
        <f t="shared" si="49"/>
        <v>-10989.115693556043</v>
      </c>
      <c r="T112" s="32">
        <f t="shared" si="60"/>
        <v>0</v>
      </c>
      <c r="U112" s="32">
        <f t="shared" si="50"/>
        <v>-16788.980171018506</v>
      </c>
      <c r="V112" s="32">
        <f t="shared" si="79"/>
        <v>2728.2648235722081</v>
      </c>
      <c r="W112" s="32">
        <f t="shared" si="52"/>
        <v>-13151.293739588895</v>
      </c>
      <c r="X112" s="32">
        <f t="shared" si="80"/>
        <v>-8477.4412043382999</v>
      </c>
      <c r="Y112" s="102">
        <f t="shared" si="65"/>
        <v>-708016.14623310673</v>
      </c>
      <c r="Z112" s="32">
        <f t="shared" si="66"/>
        <v>-901054.25967927149</v>
      </c>
      <c r="AA112" s="45">
        <f t="shared" si="67"/>
        <v>-901054.25967927149</v>
      </c>
      <c r="AB112" s="1"/>
      <c r="AC112" s="40">
        <f t="shared" si="53"/>
        <v>-6705.9896118698634</v>
      </c>
      <c r="AD112" s="40">
        <f t="shared" si="61"/>
        <v>0</v>
      </c>
      <c r="AE112" s="40">
        <f t="shared" si="54"/>
        <v>-6705.9896118698634</v>
      </c>
      <c r="AF112" s="40">
        <f t="shared" si="55"/>
        <v>2728.2648235722081</v>
      </c>
      <c r="AG112" s="40">
        <f t="shared" si="56"/>
        <v>-3068.3031804402517</v>
      </c>
      <c r="AH112" s="40">
        <f t="shared" si="81"/>
        <v>-1977.855587771211</v>
      </c>
      <c r="AI112" s="106">
        <f t="shared" si="68"/>
        <v>-1375827.2612139699</v>
      </c>
      <c r="AJ112" s="40">
        <f t="shared" si="62"/>
        <v>187908.72070878168</v>
      </c>
      <c r="AK112" s="108">
        <f t="shared" si="63"/>
        <v>-1339919.5804916553</v>
      </c>
    </row>
    <row r="113" spans="2:37">
      <c r="F113" s="132" t="s">
        <v>88</v>
      </c>
      <c r="G113" s="1">
        <f>SUM(S113:S124)</f>
        <v>-80211.131554541425</v>
      </c>
      <c r="H113">
        <v>2024</v>
      </c>
      <c r="I113">
        <v>1</v>
      </c>
      <c r="J113" s="26">
        <f t="shared" ref="J113:J124" si="82">C23*$C$47*$D$47</f>
        <v>2408.1228160916257</v>
      </c>
      <c r="K113" s="24">
        <f t="shared" ref="K113:K124" si="83">$K$112*$C$8</f>
        <v>2491.8367461271505</v>
      </c>
      <c r="L113" s="24">
        <f t="shared" si="57"/>
        <v>6365.9512550018198</v>
      </c>
      <c r="M113" s="24">
        <v>0</v>
      </c>
      <c r="N113" s="48"/>
      <c r="O113" s="32">
        <f t="shared" si="48"/>
        <v>10082.99055914864</v>
      </c>
      <c r="P113" s="32">
        <f t="shared" si="58"/>
        <v>4258.9599796967523</v>
      </c>
      <c r="Q113" s="32">
        <f t="shared" si="59"/>
        <v>5824.0305794518881</v>
      </c>
      <c r="R113" s="45">
        <f t="shared" si="64"/>
        <v>1016326.3645477687</v>
      </c>
      <c r="S113" s="31">
        <f t="shared" si="49"/>
        <v>-10708.625164734098</v>
      </c>
      <c r="T113" s="32">
        <f t="shared" si="60"/>
        <v>0</v>
      </c>
      <c r="U113" s="32">
        <f t="shared" si="50"/>
        <v>-16532.655744185984</v>
      </c>
      <c r="V113" s="32">
        <f t="shared" si="79"/>
        <v>2728.2648235722081</v>
      </c>
      <c r="W113" s="32">
        <f t="shared" si="52"/>
        <v>-12894.969312756373</v>
      </c>
      <c r="X113" s="32">
        <f t="shared" ref="X113:X124" si="84">W113/(1+$C$18)^10</f>
        <v>-7916.3925651025147</v>
      </c>
      <c r="Y113" s="102">
        <f t="shared" si="65"/>
        <v>-715932.53879820928</v>
      </c>
      <c r="Z113" s="32">
        <f t="shared" si="66"/>
        <v>-913949.22899202781</v>
      </c>
      <c r="AA113" s="45">
        <f t="shared" si="67"/>
        <v>-913949.22899202781</v>
      </c>
      <c r="AB113" s="1"/>
      <c r="AC113" s="40">
        <f t="shared" si="53"/>
        <v>-6449.6651850373446</v>
      </c>
      <c r="AD113" s="40">
        <f t="shared" si="61"/>
        <v>0</v>
      </c>
      <c r="AE113" s="40">
        <f t="shared" si="54"/>
        <v>-6449.6651850373446</v>
      </c>
      <c r="AF113" s="40">
        <f t="shared" si="55"/>
        <v>2728.2648235722081</v>
      </c>
      <c r="AG113" s="40">
        <f t="shared" si="56"/>
        <v>-2811.9787536077338</v>
      </c>
      <c r="AH113" s="40">
        <f t="shared" ref="AH113:AH124" si="85">AG113/(1+$C$18)^10</f>
        <v>-1726.3110255148131</v>
      </c>
      <c r="AI113" s="106">
        <f t="shared" si="68"/>
        <v>-1377553.5722394846</v>
      </c>
      <c r="AJ113" s="40">
        <f t="shared" si="62"/>
        <v>185096.74195517396</v>
      </c>
      <c r="AK113" s="108">
        <f t="shared" si="63"/>
        <v>-1342731.559245263</v>
      </c>
    </row>
    <row r="114" spans="2:37">
      <c r="F114" s="17" t="s">
        <v>31</v>
      </c>
      <c r="G114">
        <v>10</v>
      </c>
      <c r="I114">
        <v>2</v>
      </c>
      <c r="J114" s="26">
        <f t="shared" si="82"/>
        <v>3743.3196250137153</v>
      </c>
      <c r="K114" s="24">
        <f t="shared" si="83"/>
        <v>2491.8367461271505</v>
      </c>
      <c r="L114" s="24">
        <f t="shared" si="57"/>
        <v>6365.9512550018198</v>
      </c>
      <c r="M114" s="24">
        <v>0</v>
      </c>
      <c r="N114" s="48"/>
      <c r="O114" s="32">
        <f t="shared" si="48"/>
        <v>10082.99055914864</v>
      </c>
      <c r="P114" s="32">
        <f t="shared" si="58"/>
        <v>4234.6931856157025</v>
      </c>
      <c r="Q114" s="32">
        <f t="shared" si="59"/>
        <v>5848.2973735329379</v>
      </c>
      <c r="R114" s="45">
        <f t="shared" si="64"/>
        <v>1010478.0671742358</v>
      </c>
      <c r="S114" s="31">
        <f t="shared" si="49"/>
        <v>-9349.1615617309581</v>
      </c>
      <c r="T114" s="32">
        <f t="shared" si="60"/>
        <v>0</v>
      </c>
      <c r="U114" s="32">
        <f t="shared" si="50"/>
        <v>-15197.458935263896</v>
      </c>
      <c r="V114" s="32">
        <f t="shared" si="79"/>
        <v>2728.2648235722081</v>
      </c>
      <c r="W114" s="32">
        <f t="shared" si="52"/>
        <v>-11559.772503834283</v>
      </c>
      <c r="X114" s="32">
        <f t="shared" si="84"/>
        <v>-7096.6975480199144</v>
      </c>
      <c r="Y114" s="102">
        <f t="shared" si="65"/>
        <v>-723029.23634622921</v>
      </c>
      <c r="Z114" s="32">
        <f t="shared" si="66"/>
        <v>-925509.00149586215</v>
      </c>
      <c r="AA114" s="45">
        <f t="shared" si="67"/>
        <v>-925509.00149586215</v>
      </c>
      <c r="AB114" s="1"/>
      <c r="AC114" s="40">
        <f t="shared" si="53"/>
        <v>-5114.4683761152555</v>
      </c>
      <c r="AD114" s="40">
        <f t="shared" si="61"/>
        <v>0</v>
      </c>
      <c r="AE114" s="40">
        <f t="shared" si="54"/>
        <v>-5114.4683761152555</v>
      </c>
      <c r="AF114" s="40">
        <f t="shared" si="55"/>
        <v>2728.2648235722081</v>
      </c>
      <c r="AG114" s="40">
        <f t="shared" si="56"/>
        <v>-1476.7819446856438</v>
      </c>
      <c r="AH114" s="40">
        <f t="shared" si="85"/>
        <v>-906.61600843221322</v>
      </c>
      <c r="AI114" s="106">
        <f t="shared" si="68"/>
        <v>-1378460.1882479168</v>
      </c>
      <c r="AJ114" s="40">
        <f t="shared" si="62"/>
        <v>183619.96001048831</v>
      </c>
      <c r="AK114" s="108">
        <f t="shared" si="63"/>
        <v>-1344208.3411899486</v>
      </c>
    </row>
    <row r="115" spans="2:37">
      <c r="F115" s="13" t="s">
        <v>30</v>
      </c>
      <c r="G115" s="1">
        <f>G103+G113</f>
        <v>-868457.61975499522</v>
      </c>
      <c r="I115">
        <v>3</v>
      </c>
      <c r="J115" s="26">
        <f t="shared" si="82"/>
        <v>6985.9404466816468</v>
      </c>
      <c r="K115" s="24">
        <f t="shared" si="83"/>
        <v>2491.8367461271505</v>
      </c>
      <c r="L115" s="24">
        <f t="shared" si="57"/>
        <v>6365.9512550018198</v>
      </c>
      <c r="M115" s="24">
        <v>0</v>
      </c>
      <c r="N115" s="48"/>
      <c r="O115" s="32">
        <f t="shared" si="48"/>
        <v>10082.99055914864</v>
      </c>
      <c r="P115" s="32">
        <f t="shared" si="58"/>
        <v>4210.3252798926496</v>
      </c>
      <c r="Q115" s="32">
        <f t="shared" si="59"/>
        <v>5872.6652792559908</v>
      </c>
      <c r="R115" s="45">
        <f t="shared" si="64"/>
        <v>1004605.4018949799</v>
      </c>
      <c r="S115" s="31">
        <f t="shared" si="49"/>
        <v>-6082.1728343399727</v>
      </c>
      <c r="T115" s="32">
        <f t="shared" si="60"/>
        <v>0</v>
      </c>
      <c r="U115" s="32">
        <f t="shared" si="50"/>
        <v>-11954.838113595964</v>
      </c>
      <c r="V115" s="32">
        <f t="shared" si="79"/>
        <v>2728.2648235722081</v>
      </c>
      <c r="W115" s="32">
        <f t="shared" si="52"/>
        <v>-8317.1516821663536</v>
      </c>
      <c r="X115" s="32">
        <f t="shared" si="84"/>
        <v>-5106.0096493907458</v>
      </c>
      <c r="Y115" s="102">
        <f t="shared" si="65"/>
        <v>-728135.24599561992</v>
      </c>
      <c r="Z115" s="32">
        <f t="shared" si="66"/>
        <v>-933826.15317802853</v>
      </c>
      <c r="AA115" s="45">
        <f t="shared" si="67"/>
        <v>-933826.15317802853</v>
      </c>
      <c r="AB115" s="1"/>
      <c r="AC115" s="40">
        <f t="shared" si="53"/>
        <v>-1871.8475544473231</v>
      </c>
      <c r="AD115" s="40">
        <f t="shared" si="61"/>
        <v>0</v>
      </c>
      <c r="AE115" s="40">
        <f t="shared" si="54"/>
        <v>-1871.8475544473231</v>
      </c>
      <c r="AF115" s="40">
        <f t="shared" si="55"/>
        <v>2728.2648235722081</v>
      </c>
      <c r="AG115" s="40">
        <f t="shared" si="56"/>
        <v>1765.8388769822886</v>
      </c>
      <c r="AH115" s="40">
        <f t="shared" si="85"/>
        <v>1084.0718901969574</v>
      </c>
      <c r="AI115" s="106">
        <f t="shared" si="68"/>
        <v>-1377376.1163577198</v>
      </c>
      <c r="AJ115" s="40">
        <f t="shared" si="62"/>
        <v>185385.79888747059</v>
      </c>
      <c r="AK115" s="108">
        <f t="shared" si="63"/>
        <v>-1342442.5023129664</v>
      </c>
    </row>
    <row r="116" spans="2:37">
      <c r="B116" s="51" t="s">
        <v>77</v>
      </c>
      <c r="F116" s="18" t="s">
        <v>39</v>
      </c>
      <c r="G116" s="1">
        <v>0</v>
      </c>
      <c r="I116">
        <v>4</v>
      </c>
      <c r="J116" s="26">
        <f t="shared" si="82"/>
        <v>8980.7880600116732</v>
      </c>
      <c r="K116" s="24">
        <f t="shared" si="83"/>
        <v>2491.8367461271505</v>
      </c>
      <c r="L116" s="24">
        <f t="shared" si="57"/>
        <v>6365.9512550018198</v>
      </c>
      <c r="M116" s="24">
        <v>0</v>
      </c>
      <c r="N116" s="48"/>
      <c r="O116" s="32">
        <f t="shared" si="48"/>
        <v>10082.99055914864</v>
      </c>
      <c r="P116" s="32">
        <f t="shared" si="58"/>
        <v>4185.8558412290831</v>
      </c>
      <c r="Q116" s="32">
        <f t="shared" si="59"/>
        <v>5897.1347179195573</v>
      </c>
      <c r="R116" s="45">
        <f t="shared" si="64"/>
        <v>998708.26717706036</v>
      </c>
      <c r="S116" s="31">
        <f t="shared" si="49"/>
        <v>-4062.8557823463798</v>
      </c>
      <c r="T116" s="32">
        <f t="shared" si="60"/>
        <v>0</v>
      </c>
      <c r="U116" s="32">
        <f t="shared" si="50"/>
        <v>-9959.9905002659361</v>
      </c>
      <c r="V116" s="32">
        <f t="shared" si="79"/>
        <v>2728.2648235722081</v>
      </c>
      <c r="W116" s="32">
        <f t="shared" si="52"/>
        <v>-6322.3040688363244</v>
      </c>
      <c r="X116" s="32">
        <f t="shared" si="84"/>
        <v>-3881.3462607732886</v>
      </c>
      <c r="Y116" s="102">
        <f t="shared" si="65"/>
        <v>-732016.59225639317</v>
      </c>
      <c r="Z116" s="32">
        <f t="shared" si="66"/>
        <v>-940148.4572468648</v>
      </c>
      <c r="AA116" s="45">
        <f t="shared" si="67"/>
        <v>-940148.4572468648</v>
      </c>
      <c r="AB116" s="1"/>
      <c r="AC116" s="40">
        <f t="shared" si="53"/>
        <v>123.00005888270334</v>
      </c>
      <c r="AD116" s="40">
        <f t="shared" si="61"/>
        <v>0</v>
      </c>
      <c r="AE116" s="40">
        <f t="shared" si="54"/>
        <v>123.00005888270334</v>
      </c>
      <c r="AF116" s="40">
        <f t="shared" si="55"/>
        <v>2728.2648235722081</v>
      </c>
      <c r="AG116" s="40">
        <f t="shared" si="56"/>
        <v>3760.6864903123151</v>
      </c>
      <c r="AH116" s="40">
        <f t="shared" si="85"/>
        <v>2308.7352788144126</v>
      </c>
      <c r="AI116" s="106">
        <f t="shared" si="68"/>
        <v>-1375067.3810789054</v>
      </c>
      <c r="AJ116" s="40">
        <f t="shared" si="62"/>
        <v>189146.4853777829</v>
      </c>
      <c r="AK116" s="108">
        <f t="shared" si="63"/>
        <v>-1338681.8158226542</v>
      </c>
    </row>
    <row r="117" spans="2:37">
      <c r="F117" s="16" t="s">
        <v>90</v>
      </c>
      <c r="G117" s="129">
        <f>$C$60</f>
        <v>0</v>
      </c>
      <c r="I117">
        <v>5</v>
      </c>
      <c r="J117" s="26">
        <f t="shared" si="82"/>
        <v>9219.2160616049041</v>
      </c>
      <c r="K117" s="24">
        <f t="shared" si="83"/>
        <v>2491.8367461271505</v>
      </c>
      <c r="L117" s="24">
        <f t="shared" si="57"/>
        <v>6365.9512550018198</v>
      </c>
      <c r="M117" s="24">
        <v>0</v>
      </c>
      <c r="N117" s="48"/>
      <c r="O117" s="32">
        <f t="shared" si="48"/>
        <v>10082.99055914864</v>
      </c>
      <c r="P117" s="32">
        <f t="shared" si="58"/>
        <v>4161.284446571085</v>
      </c>
      <c r="Q117" s="32">
        <f t="shared" si="59"/>
        <v>5921.7061125775554</v>
      </c>
      <c r="R117" s="45">
        <f t="shared" si="64"/>
        <v>992786.56106448278</v>
      </c>
      <c r="S117" s="31">
        <f t="shared" si="49"/>
        <v>-3799.8563860951508</v>
      </c>
      <c r="T117" s="32">
        <f t="shared" si="60"/>
        <v>0</v>
      </c>
      <c r="U117" s="32">
        <f t="shared" si="50"/>
        <v>-9721.5624986727053</v>
      </c>
      <c r="V117" s="32">
        <f t="shared" si="79"/>
        <v>2728.2648235722081</v>
      </c>
      <c r="W117" s="32">
        <f t="shared" si="52"/>
        <v>-6083.8760672430935</v>
      </c>
      <c r="X117" s="32">
        <f t="shared" si="84"/>
        <v>-3734.9721505799671</v>
      </c>
      <c r="Y117" s="102">
        <f t="shared" si="65"/>
        <v>-735751.56440697308</v>
      </c>
      <c r="Z117" s="32">
        <f t="shared" si="66"/>
        <v>-946232.33331410785</v>
      </c>
      <c r="AA117" s="45">
        <f t="shared" si="67"/>
        <v>-946232.33331410785</v>
      </c>
      <c r="AB117" s="1"/>
      <c r="AC117" s="40">
        <f t="shared" si="53"/>
        <v>361.42806047593422</v>
      </c>
      <c r="AD117" s="40">
        <f t="shared" si="61"/>
        <v>0</v>
      </c>
      <c r="AE117" s="40">
        <f t="shared" si="54"/>
        <v>361.42806047593422</v>
      </c>
      <c r="AF117" s="40">
        <f t="shared" si="55"/>
        <v>2728.2648235722081</v>
      </c>
      <c r="AG117" s="40">
        <f t="shared" si="56"/>
        <v>3999.1144919055459</v>
      </c>
      <c r="AH117" s="40">
        <f t="shared" si="85"/>
        <v>2455.1093890077341</v>
      </c>
      <c r="AI117" s="106">
        <f t="shared" si="68"/>
        <v>-1372612.2716898976</v>
      </c>
      <c r="AJ117" s="40">
        <f t="shared" si="62"/>
        <v>193145.59986968845</v>
      </c>
      <c r="AK117" s="108">
        <f t="shared" si="63"/>
        <v>-1334682.7013307486</v>
      </c>
    </row>
    <row r="118" spans="2:37">
      <c r="G118" s="1"/>
      <c r="I118">
        <v>6</v>
      </c>
      <c r="J118" s="26">
        <f t="shared" si="82"/>
        <v>9219.2160616049041</v>
      </c>
      <c r="K118" s="24">
        <f t="shared" si="83"/>
        <v>2491.8367461271505</v>
      </c>
      <c r="L118" s="24">
        <f t="shared" si="57"/>
        <v>6365.9512550018198</v>
      </c>
      <c r="M118" s="24">
        <v>0</v>
      </c>
      <c r="N118" s="48"/>
      <c r="O118" s="32">
        <f t="shared" si="48"/>
        <v>10082.99055914864</v>
      </c>
      <c r="P118" s="32">
        <f t="shared" si="58"/>
        <v>4136.6106711020111</v>
      </c>
      <c r="Q118" s="32">
        <f t="shared" si="59"/>
        <v>5946.3798880466293</v>
      </c>
      <c r="R118" s="45">
        <f t="shared" si="64"/>
        <v>986840.18117643613</v>
      </c>
      <c r="S118" s="31">
        <f t="shared" si="49"/>
        <v>-3775.1826106260769</v>
      </c>
      <c r="T118" s="32">
        <f t="shared" si="60"/>
        <v>0</v>
      </c>
      <c r="U118" s="32">
        <f t="shared" si="50"/>
        <v>-9721.5624986727053</v>
      </c>
      <c r="V118" s="32">
        <f t="shared" si="79"/>
        <v>2728.2648235722081</v>
      </c>
      <c r="W118" s="32">
        <f t="shared" si="52"/>
        <v>-6083.8760672430935</v>
      </c>
      <c r="X118" s="32">
        <f t="shared" si="84"/>
        <v>-3734.9721505799671</v>
      </c>
      <c r="Y118" s="102">
        <f t="shared" si="65"/>
        <v>-739486.53655755299</v>
      </c>
      <c r="Z118" s="32">
        <f t="shared" si="66"/>
        <v>-952316.2093813509</v>
      </c>
      <c r="AA118" s="45">
        <f t="shared" si="67"/>
        <v>-952316.2093813509</v>
      </c>
      <c r="AB118" s="1"/>
      <c r="AC118" s="40">
        <f t="shared" si="53"/>
        <v>361.42806047593422</v>
      </c>
      <c r="AD118" s="40">
        <f t="shared" si="61"/>
        <v>0</v>
      </c>
      <c r="AE118" s="40">
        <f t="shared" si="54"/>
        <v>361.42806047593422</v>
      </c>
      <c r="AF118" s="40">
        <f t="shared" si="55"/>
        <v>2728.2648235722081</v>
      </c>
      <c r="AG118" s="40">
        <f t="shared" si="56"/>
        <v>3999.1144919055459</v>
      </c>
      <c r="AH118" s="40">
        <f t="shared" si="85"/>
        <v>2455.1093890077341</v>
      </c>
      <c r="AI118" s="106">
        <f t="shared" si="68"/>
        <v>-1370157.1623008898</v>
      </c>
      <c r="AJ118" s="40">
        <f t="shared" si="62"/>
        <v>197144.714361594</v>
      </c>
      <c r="AK118" s="108">
        <f t="shared" si="63"/>
        <v>-1330683.5868388431</v>
      </c>
    </row>
    <row r="119" spans="2:37">
      <c r="G119" s="1"/>
      <c r="I119">
        <v>7</v>
      </c>
      <c r="J119" s="26">
        <f t="shared" si="82"/>
        <v>9219.2160616049041</v>
      </c>
      <c r="K119" s="24">
        <f t="shared" si="83"/>
        <v>2491.8367461271505</v>
      </c>
      <c r="L119" s="24">
        <f t="shared" si="57"/>
        <v>6365.9512550018198</v>
      </c>
      <c r="M119" s="24">
        <v>0</v>
      </c>
      <c r="N119" s="48"/>
      <c r="O119" s="32">
        <f t="shared" si="48"/>
        <v>10082.99055914864</v>
      </c>
      <c r="P119" s="32">
        <f t="shared" si="58"/>
        <v>4111.8340882351504</v>
      </c>
      <c r="Q119" s="32">
        <f t="shared" si="59"/>
        <v>5971.15647091349</v>
      </c>
      <c r="R119" s="45">
        <f t="shared" si="64"/>
        <v>980869.02470552269</v>
      </c>
      <c r="S119" s="31">
        <f t="shared" si="49"/>
        <v>-3750.4060277592162</v>
      </c>
      <c r="T119" s="32">
        <f t="shared" si="60"/>
        <v>0</v>
      </c>
      <c r="U119" s="32">
        <f t="shared" si="50"/>
        <v>-9721.5624986727053</v>
      </c>
      <c r="V119" s="32">
        <f t="shared" si="79"/>
        <v>2728.2648235722081</v>
      </c>
      <c r="W119" s="32">
        <f t="shared" si="52"/>
        <v>-6083.8760672430935</v>
      </c>
      <c r="X119" s="32">
        <f t="shared" si="84"/>
        <v>-3734.9721505799671</v>
      </c>
      <c r="Y119" s="102">
        <f t="shared" si="65"/>
        <v>-743221.5087081329</v>
      </c>
      <c r="Z119" s="32">
        <f t="shared" si="66"/>
        <v>-958400.08544859395</v>
      </c>
      <c r="AA119" s="45">
        <f t="shared" si="67"/>
        <v>-958400.08544859395</v>
      </c>
      <c r="AB119" s="1"/>
      <c r="AC119" s="40">
        <f t="shared" si="53"/>
        <v>361.42806047593422</v>
      </c>
      <c r="AD119" s="40">
        <f t="shared" si="61"/>
        <v>0</v>
      </c>
      <c r="AE119" s="40">
        <f t="shared" si="54"/>
        <v>361.42806047593422</v>
      </c>
      <c r="AF119" s="40">
        <f t="shared" si="55"/>
        <v>2728.2648235722081</v>
      </c>
      <c r="AG119" s="40">
        <f t="shared" si="56"/>
        <v>3999.1144919055459</v>
      </c>
      <c r="AH119" s="40">
        <f t="shared" si="85"/>
        <v>2455.1093890077341</v>
      </c>
      <c r="AI119" s="106">
        <f t="shared" si="68"/>
        <v>-1367702.0529118821</v>
      </c>
      <c r="AJ119" s="40">
        <f t="shared" si="62"/>
        <v>201143.82885349955</v>
      </c>
      <c r="AK119" s="108">
        <f t="shared" si="63"/>
        <v>-1326684.4723469375</v>
      </c>
    </row>
    <row r="120" spans="2:37">
      <c r="G120" s="1"/>
      <c r="I120">
        <v>8</v>
      </c>
      <c r="J120" s="26">
        <f t="shared" si="82"/>
        <v>8662.884057887366</v>
      </c>
      <c r="K120" s="24">
        <f t="shared" si="83"/>
        <v>2491.8367461271505</v>
      </c>
      <c r="L120" s="24">
        <f t="shared" si="57"/>
        <v>6365.9512550018198</v>
      </c>
      <c r="M120" s="24">
        <v>0</v>
      </c>
      <c r="N120" s="48"/>
      <c r="O120" s="32">
        <f t="shared" si="48"/>
        <v>10082.99055914864</v>
      </c>
      <c r="P120" s="32">
        <f t="shared" si="58"/>
        <v>4086.9542696063445</v>
      </c>
      <c r="Q120" s="32">
        <f t="shared" si="59"/>
        <v>5996.0362895422959</v>
      </c>
      <c r="R120" s="45">
        <f t="shared" si="64"/>
        <v>974872.98841598036</v>
      </c>
      <c r="S120" s="31">
        <f t="shared" si="49"/>
        <v>-4281.8582128479484</v>
      </c>
      <c r="T120" s="32">
        <f t="shared" si="60"/>
        <v>0</v>
      </c>
      <c r="U120" s="32">
        <f t="shared" si="50"/>
        <v>-10277.894502390245</v>
      </c>
      <c r="V120" s="32">
        <f t="shared" si="79"/>
        <v>2728.2648235722081</v>
      </c>
      <c r="W120" s="32">
        <f t="shared" si="52"/>
        <v>-6640.2080709606334</v>
      </c>
      <c r="X120" s="32">
        <f t="shared" si="84"/>
        <v>-4076.5117410310518</v>
      </c>
      <c r="Y120" s="102">
        <f t="shared" si="65"/>
        <v>-747298.02044916397</v>
      </c>
      <c r="Z120" s="32">
        <f t="shared" si="66"/>
        <v>-965040.29351955454</v>
      </c>
      <c r="AA120" s="45">
        <f t="shared" si="67"/>
        <v>-965040.29351955454</v>
      </c>
      <c r="AB120" s="1"/>
      <c r="AC120" s="40">
        <f t="shared" si="53"/>
        <v>-194.90394324160388</v>
      </c>
      <c r="AD120" s="40">
        <f t="shared" si="61"/>
        <v>0</v>
      </c>
      <c r="AE120" s="40">
        <f t="shared" si="54"/>
        <v>-194.90394324160388</v>
      </c>
      <c r="AF120" s="40">
        <f t="shared" si="55"/>
        <v>2728.2648235722081</v>
      </c>
      <c r="AG120" s="40">
        <f t="shared" si="56"/>
        <v>3442.7824881880078</v>
      </c>
      <c r="AH120" s="40">
        <f t="shared" si="85"/>
        <v>2113.5697985566508</v>
      </c>
      <c r="AI120" s="106">
        <f t="shared" si="68"/>
        <v>-1365588.4831133254</v>
      </c>
      <c r="AJ120" s="40">
        <f t="shared" si="62"/>
        <v>204586.61134168756</v>
      </c>
      <c r="AK120" s="108">
        <f t="shared" si="63"/>
        <v>-1323241.6898587495</v>
      </c>
    </row>
    <row r="121" spans="2:37">
      <c r="G121" s="1"/>
      <c r="I121">
        <v>9</v>
      </c>
      <c r="J121" s="26">
        <f t="shared" si="82"/>
        <v>7144.8924477438004</v>
      </c>
      <c r="K121" s="24">
        <f t="shared" si="83"/>
        <v>2491.8367461271505</v>
      </c>
      <c r="L121" s="24">
        <f t="shared" si="57"/>
        <v>6365.9512550018198</v>
      </c>
      <c r="M121" s="24">
        <v>0</v>
      </c>
      <c r="N121" s="48"/>
      <c r="O121" s="32">
        <f t="shared" si="48"/>
        <v>10082.99055914864</v>
      </c>
      <c r="P121" s="32">
        <f t="shared" si="58"/>
        <v>4061.970785066585</v>
      </c>
      <c r="Q121" s="32">
        <f t="shared" si="59"/>
        <v>6021.0197740820549</v>
      </c>
      <c r="R121" s="45">
        <f t="shared" si="64"/>
        <v>968851.96864189836</v>
      </c>
      <c r="S121" s="31">
        <f t="shared" si="49"/>
        <v>-5774.8663384517549</v>
      </c>
      <c r="T121" s="32">
        <f t="shared" si="60"/>
        <v>0</v>
      </c>
      <c r="U121" s="32">
        <f t="shared" si="50"/>
        <v>-11795.886112533812</v>
      </c>
      <c r="V121" s="32">
        <f t="shared" si="79"/>
        <v>2728.2648235722081</v>
      </c>
      <c r="W121" s="32">
        <f t="shared" si="52"/>
        <v>-8158.1996811042</v>
      </c>
      <c r="X121" s="32">
        <f t="shared" si="84"/>
        <v>-5008.4269092618642</v>
      </c>
      <c r="Y121" s="102">
        <f t="shared" si="65"/>
        <v>-752306.44735842582</v>
      </c>
      <c r="Z121" s="32">
        <f t="shared" si="66"/>
        <v>-973198.4932006587</v>
      </c>
      <c r="AA121" s="45">
        <f t="shared" si="67"/>
        <v>-973198.4932006587</v>
      </c>
      <c r="AB121" s="1"/>
      <c r="AC121" s="40">
        <f t="shared" si="53"/>
        <v>-1712.8955533851704</v>
      </c>
      <c r="AD121" s="40">
        <f t="shared" si="61"/>
        <v>0</v>
      </c>
      <c r="AE121" s="40">
        <f t="shared" si="54"/>
        <v>-1712.8955533851704</v>
      </c>
      <c r="AF121" s="40">
        <f t="shared" si="55"/>
        <v>2728.2648235722081</v>
      </c>
      <c r="AG121" s="40">
        <f t="shared" si="56"/>
        <v>1924.7908780444413</v>
      </c>
      <c r="AH121" s="40">
        <f t="shared" si="85"/>
        <v>1181.6546303258378</v>
      </c>
      <c r="AI121" s="106">
        <f t="shared" si="68"/>
        <v>-1364406.8284829997</v>
      </c>
      <c r="AJ121" s="40">
        <f t="shared" si="62"/>
        <v>206511.402219732</v>
      </c>
      <c r="AK121" s="108">
        <f t="shared" si="63"/>
        <v>-1321316.8989807051</v>
      </c>
    </row>
    <row r="122" spans="2:37">
      <c r="G122" s="1"/>
      <c r="I122">
        <v>10</v>
      </c>
      <c r="J122" s="26">
        <f t="shared" si="82"/>
        <v>5197.7304347324198</v>
      </c>
      <c r="K122" s="24">
        <f t="shared" si="83"/>
        <v>2491.8367461271505</v>
      </c>
      <c r="L122" s="24">
        <f t="shared" si="57"/>
        <v>6365.9512550018198</v>
      </c>
      <c r="M122" s="24">
        <v>0</v>
      </c>
      <c r="N122" s="48"/>
      <c r="O122" s="32">
        <f t="shared" si="48"/>
        <v>10082.99055914864</v>
      </c>
      <c r="P122" s="32">
        <f t="shared" si="58"/>
        <v>4036.8832026745763</v>
      </c>
      <c r="Q122" s="32">
        <f t="shared" si="59"/>
        <v>6046.1073564740636</v>
      </c>
      <c r="R122" s="45">
        <f t="shared" si="64"/>
        <v>962805.86128542433</v>
      </c>
      <c r="S122" s="31">
        <f t="shared" si="49"/>
        <v>-7696.9407690711269</v>
      </c>
      <c r="T122" s="32">
        <f t="shared" si="60"/>
        <v>0</v>
      </c>
      <c r="U122" s="32">
        <f t="shared" si="50"/>
        <v>-13743.04812554519</v>
      </c>
      <c r="V122" s="32">
        <f t="shared" si="79"/>
        <v>2728.2648235722081</v>
      </c>
      <c r="W122" s="32">
        <f t="shared" si="52"/>
        <v>-10105.361694115578</v>
      </c>
      <c r="X122" s="32">
        <f t="shared" si="84"/>
        <v>-6203.8154758406536</v>
      </c>
      <c r="Y122" s="102">
        <f t="shared" si="65"/>
        <v>-758510.26283426653</v>
      </c>
      <c r="Z122" s="32">
        <f t="shared" si="66"/>
        <v>-983303.85489477427</v>
      </c>
      <c r="AA122" s="45">
        <f t="shared" si="67"/>
        <v>-983303.85489477427</v>
      </c>
      <c r="AB122" s="1"/>
      <c r="AC122" s="40">
        <f t="shared" si="53"/>
        <v>-3660.0575663965506</v>
      </c>
      <c r="AD122" s="40">
        <f t="shared" si="61"/>
        <v>0</v>
      </c>
      <c r="AE122" s="40">
        <f t="shared" si="54"/>
        <v>-3660.0575663965506</v>
      </c>
      <c r="AF122" s="40">
        <f t="shared" si="55"/>
        <v>2728.2648235722081</v>
      </c>
      <c r="AG122" s="40">
        <f t="shared" si="56"/>
        <v>-22.371134966938371</v>
      </c>
      <c r="AH122" s="40">
        <f t="shared" si="85"/>
        <v>-13.733936252952581</v>
      </c>
      <c r="AI122" s="106">
        <f t="shared" si="68"/>
        <v>-1364420.5624192527</v>
      </c>
      <c r="AJ122" s="40">
        <f t="shared" si="62"/>
        <v>206489.03108476507</v>
      </c>
      <c r="AK122" s="108">
        <f t="shared" si="63"/>
        <v>-1321339.2701156719</v>
      </c>
    </row>
    <row r="123" spans="2:37">
      <c r="G123" s="1"/>
      <c r="I123">
        <v>11</v>
      </c>
      <c r="J123" s="26">
        <f t="shared" si="82"/>
        <v>2726.0268182159325</v>
      </c>
      <c r="K123" s="24">
        <f t="shared" si="83"/>
        <v>2491.8367461271505</v>
      </c>
      <c r="L123" s="24">
        <f t="shared" si="57"/>
        <v>6365.9512550018198</v>
      </c>
      <c r="M123" s="24">
        <v>0</v>
      </c>
      <c r="N123" s="48"/>
      <c r="O123" s="32">
        <f t="shared" si="48"/>
        <v>10082.99055914864</v>
      </c>
      <c r="P123" s="32">
        <f t="shared" si="58"/>
        <v>4011.6910886892679</v>
      </c>
      <c r="Q123" s="32">
        <f t="shared" si="59"/>
        <v>6071.299470459373</v>
      </c>
      <c r="R123" s="45">
        <f t="shared" si="64"/>
        <v>956734.56181496498</v>
      </c>
      <c r="S123" s="31">
        <f t="shared" si="49"/>
        <v>-10143.452271602306</v>
      </c>
      <c r="T123" s="32">
        <f t="shared" si="60"/>
        <v>0</v>
      </c>
      <c r="U123" s="32">
        <f t="shared" si="50"/>
        <v>-16214.751742061679</v>
      </c>
      <c r="V123" s="32">
        <f t="shared" si="79"/>
        <v>2728.2648235722081</v>
      </c>
      <c r="W123" s="32">
        <f t="shared" si="52"/>
        <v>-12577.065310632068</v>
      </c>
      <c r="X123" s="32">
        <f t="shared" si="84"/>
        <v>-7721.2270848447533</v>
      </c>
      <c r="Y123" s="102">
        <f t="shared" si="65"/>
        <v>-766231.48991911125</v>
      </c>
      <c r="Z123" s="32">
        <f t="shared" si="66"/>
        <v>-995880.92020540638</v>
      </c>
      <c r="AA123" s="45">
        <f t="shared" si="67"/>
        <v>-995880.92020540638</v>
      </c>
      <c r="AB123" s="1"/>
      <c r="AC123" s="40">
        <f t="shared" si="53"/>
        <v>-6131.7611829130383</v>
      </c>
      <c r="AD123" s="40">
        <f t="shared" si="61"/>
        <v>0</v>
      </c>
      <c r="AE123" s="40">
        <f t="shared" si="54"/>
        <v>-6131.7611829130383</v>
      </c>
      <c r="AF123" s="40">
        <f t="shared" si="55"/>
        <v>2728.2648235722081</v>
      </c>
      <c r="AG123" s="40">
        <f t="shared" si="56"/>
        <v>-2494.0747514834266</v>
      </c>
      <c r="AH123" s="40">
        <f t="shared" si="85"/>
        <v>-1531.145545257051</v>
      </c>
      <c r="AI123" s="106">
        <f t="shared" si="68"/>
        <v>-1365951.7079645097</v>
      </c>
      <c r="AJ123" s="40">
        <f t="shared" si="62"/>
        <v>203994.95633328165</v>
      </c>
      <c r="AK123" s="108">
        <f t="shared" si="63"/>
        <v>-1323833.3448671554</v>
      </c>
    </row>
    <row r="124" spans="2:37">
      <c r="G124" s="1"/>
      <c r="I124">
        <v>12</v>
      </c>
      <c r="J124" s="26">
        <f t="shared" si="82"/>
        <v>2058.428413754888</v>
      </c>
      <c r="K124" s="24">
        <f t="shared" si="83"/>
        <v>2491.8367461271505</v>
      </c>
      <c r="L124" s="24">
        <f t="shared" si="57"/>
        <v>6365.9512550018198</v>
      </c>
      <c r="M124" s="24">
        <v>0</v>
      </c>
      <c r="N124" s="48"/>
      <c r="O124" s="32">
        <f t="shared" si="48"/>
        <v>10082.99055914864</v>
      </c>
      <c r="P124" s="32">
        <f t="shared" si="58"/>
        <v>3986.3940075623541</v>
      </c>
      <c r="Q124" s="32">
        <f t="shared" si="59"/>
        <v>6096.5965515862863</v>
      </c>
      <c r="R124" s="45">
        <f t="shared" si="64"/>
        <v>950637.96526337869</v>
      </c>
      <c r="S124" s="31">
        <f t="shared" si="49"/>
        <v>-10785.753594936436</v>
      </c>
      <c r="T124" s="32">
        <f t="shared" si="60"/>
        <v>0</v>
      </c>
      <c r="U124" s="32">
        <f t="shared" si="50"/>
        <v>-16882.350146522724</v>
      </c>
      <c r="V124" s="32">
        <f t="shared" si="79"/>
        <v>2728.2648235722081</v>
      </c>
      <c r="W124" s="32">
        <f t="shared" si="52"/>
        <v>-13244.663715093113</v>
      </c>
      <c r="X124" s="32">
        <f t="shared" si="84"/>
        <v>-8131.0745933860535</v>
      </c>
      <c r="Y124" s="102">
        <f t="shared" si="65"/>
        <v>-774362.56451249728</v>
      </c>
      <c r="Z124" s="32">
        <f t="shared" si="66"/>
        <v>-1009125.5839204995</v>
      </c>
      <c r="AA124" s="45">
        <f t="shared" si="67"/>
        <v>-1009125.5839204995</v>
      </c>
      <c r="AB124" s="1"/>
      <c r="AC124" s="40">
        <f t="shared" si="53"/>
        <v>-6799.3595873740824</v>
      </c>
      <c r="AD124" s="40">
        <f t="shared" si="61"/>
        <v>0</v>
      </c>
      <c r="AE124" s="40">
        <f t="shared" si="54"/>
        <v>-6799.3595873740824</v>
      </c>
      <c r="AF124" s="40">
        <f t="shared" si="55"/>
        <v>2728.2648235722081</v>
      </c>
      <c r="AG124" s="40">
        <f t="shared" si="56"/>
        <v>-3161.6731559444697</v>
      </c>
      <c r="AH124" s="40">
        <f t="shared" si="85"/>
        <v>-1940.9930537983498</v>
      </c>
      <c r="AI124" s="106">
        <f t="shared" si="68"/>
        <v>-1367892.7010183081</v>
      </c>
      <c r="AJ124" s="40">
        <f t="shared" si="62"/>
        <v>200833.28317733717</v>
      </c>
      <c r="AK124" s="108">
        <f t="shared" si="63"/>
        <v>-1326995.0180231</v>
      </c>
    </row>
    <row r="125" spans="2:37">
      <c r="F125" s="132" t="s">
        <v>88</v>
      </c>
      <c r="G125" s="1">
        <f>SUM(S125:S136)</f>
        <v>-110944.3168450947</v>
      </c>
      <c r="H125">
        <v>2025</v>
      </c>
      <c r="I125">
        <v>1</v>
      </c>
      <c r="J125" s="26">
        <f t="shared" ref="J125:J136" si="86">C23*$C$48*$D$48</f>
        <v>2384.0415879307093</v>
      </c>
      <c r="K125" s="24">
        <f t="shared" ref="K125:K136" si="87">$K$124*$C$8</f>
        <v>2566.5918485109651</v>
      </c>
      <c r="L125" s="24">
        <f t="shared" si="57"/>
        <v>6365.9512550018198</v>
      </c>
      <c r="M125" s="24">
        <f>$C$9/($C$6/2)</f>
        <v>2728.2648235722081</v>
      </c>
      <c r="N125" s="48"/>
      <c r="O125" s="32">
        <f t="shared" si="48"/>
        <v>10082.99055914864</v>
      </c>
      <c r="P125" s="32">
        <f t="shared" si="58"/>
        <v>3960.9915219307445</v>
      </c>
      <c r="Q125" s="32">
        <f t="shared" si="59"/>
        <v>6121.9990372178963</v>
      </c>
      <c r="R125" s="45">
        <f t="shared" si="64"/>
        <v>944515.96622616076</v>
      </c>
      <c r="S125" s="31">
        <f t="shared" si="49"/>
        <v>-13237.757861085029</v>
      </c>
      <c r="T125" s="32">
        <f t="shared" si="60"/>
        <v>0</v>
      </c>
      <c r="U125" s="32">
        <f t="shared" si="50"/>
        <v>-19359.756898302927</v>
      </c>
      <c r="V125" s="32">
        <v>0</v>
      </c>
      <c r="W125" s="32">
        <f t="shared" si="52"/>
        <v>-10265.5408197289</v>
      </c>
      <c r="X125" s="32">
        <f t="shared" ref="X125:X136" si="88">W125/(1+$C$18)^11</f>
        <v>-6002.0491085668973</v>
      </c>
      <c r="Y125" s="102">
        <f t="shared" si="65"/>
        <v>-780364.61362106423</v>
      </c>
      <c r="Z125" s="32">
        <f t="shared" si="66"/>
        <v>-1019391.1247402284</v>
      </c>
      <c r="AA125" s="45">
        <f t="shared" si="67"/>
        <v>-1019391.1247402284</v>
      </c>
      <c r="AB125" s="1"/>
      <c r="AC125" s="40">
        <f t="shared" si="53"/>
        <v>-9276.7663391542847</v>
      </c>
      <c r="AD125" s="40">
        <f t="shared" si="61"/>
        <v>0</v>
      </c>
      <c r="AE125" s="40">
        <f t="shared" si="54"/>
        <v>-9276.7663391542847</v>
      </c>
      <c r="AF125" s="40">
        <f t="shared" si="55"/>
        <v>0</v>
      </c>
      <c r="AG125" s="40">
        <f t="shared" si="56"/>
        <v>-182.55026058025669</v>
      </c>
      <c r="AH125" s="40">
        <f t="shared" ref="AH125:AH136" si="89">AG125/(1+$C$18)^11</f>
        <v>-106.73335657860838</v>
      </c>
      <c r="AI125" s="106">
        <f>AI124+AH125</f>
        <v>-1367999.4343748866</v>
      </c>
      <c r="AJ125" s="40">
        <f t="shared" si="62"/>
        <v>200650.73291675691</v>
      </c>
      <c r="AK125" s="108">
        <f t="shared" si="63"/>
        <v>-1327177.5682836801</v>
      </c>
    </row>
    <row r="126" spans="2:37">
      <c r="F126" s="17" t="s">
        <v>31</v>
      </c>
      <c r="G126">
        <v>11</v>
      </c>
      <c r="I126">
        <v>2</v>
      </c>
      <c r="J126" s="26">
        <f t="shared" si="86"/>
        <v>3705.8864287635784</v>
      </c>
      <c r="K126" s="24">
        <f t="shared" si="87"/>
        <v>2566.5918485109651</v>
      </c>
      <c r="L126" s="24">
        <f t="shared" si="57"/>
        <v>6365.9512550018198</v>
      </c>
      <c r="M126" s="24">
        <f t="shared" ref="M126:M189" si="90">$C$9/($C$6/2)</f>
        <v>2728.2648235722081</v>
      </c>
      <c r="N126" s="48"/>
      <c r="O126" s="32">
        <f t="shared" si="48"/>
        <v>10082.99055914864</v>
      </c>
      <c r="P126" s="32">
        <f t="shared" si="58"/>
        <v>3935.4831926090033</v>
      </c>
      <c r="Q126" s="32">
        <f t="shared" si="59"/>
        <v>6147.5073665396376</v>
      </c>
      <c r="R126" s="45">
        <f t="shared" si="64"/>
        <v>938368.45885962108</v>
      </c>
      <c r="S126" s="31">
        <f t="shared" si="49"/>
        <v>-11890.404690930418</v>
      </c>
      <c r="T126" s="32">
        <f t="shared" si="60"/>
        <v>0</v>
      </c>
      <c r="U126" s="32">
        <f t="shared" si="50"/>
        <v>-18037.912057470057</v>
      </c>
      <c r="V126" s="32">
        <v>0</v>
      </c>
      <c r="W126" s="32">
        <f t="shared" si="52"/>
        <v>-8943.6959788960303</v>
      </c>
      <c r="X126" s="32">
        <f t="shared" si="88"/>
        <v>-5229.1938067461597</v>
      </c>
      <c r="Y126" s="102">
        <f t="shared" si="65"/>
        <v>-785593.80742781039</v>
      </c>
      <c r="Z126" s="32">
        <f t="shared" si="66"/>
        <v>-1028334.8207191244</v>
      </c>
      <c r="AA126" s="45">
        <f t="shared" si="67"/>
        <v>-1028334.8207191244</v>
      </c>
      <c r="AB126" s="1"/>
      <c r="AC126" s="40">
        <f t="shared" si="53"/>
        <v>-7954.9214983214151</v>
      </c>
      <c r="AD126" s="40">
        <f t="shared" si="61"/>
        <v>0</v>
      </c>
      <c r="AE126" s="40">
        <f t="shared" si="54"/>
        <v>-7954.9214983214151</v>
      </c>
      <c r="AF126" s="40">
        <f t="shared" si="55"/>
        <v>0</v>
      </c>
      <c r="AG126" s="40">
        <f t="shared" si="56"/>
        <v>1139.2945802526128</v>
      </c>
      <c r="AH126" s="40">
        <f t="shared" si="89"/>
        <v>666.12194524212873</v>
      </c>
      <c r="AI126" s="106">
        <f t="shared" si="68"/>
        <v>-1367333.3124296444</v>
      </c>
      <c r="AJ126" s="40">
        <f t="shared" si="62"/>
        <v>201790.02749700952</v>
      </c>
      <c r="AK126" s="108">
        <f t="shared" si="63"/>
        <v>-1326038.2737034275</v>
      </c>
    </row>
    <row r="127" spans="2:37">
      <c r="F127" s="13" t="s">
        <v>30</v>
      </c>
      <c r="G127" s="1">
        <f>G125+G115</f>
        <v>-979401.93660008989</v>
      </c>
      <c r="I127">
        <v>3</v>
      </c>
      <c r="J127" s="26">
        <f t="shared" si="86"/>
        <v>6916.0810422148297</v>
      </c>
      <c r="K127" s="24">
        <f t="shared" si="87"/>
        <v>2566.5918485109651</v>
      </c>
      <c r="L127" s="24">
        <f t="shared" si="57"/>
        <v>6365.9512550018198</v>
      </c>
      <c r="M127" s="24">
        <f t="shared" si="90"/>
        <v>2728.2648235722081</v>
      </c>
      <c r="N127" s="48"/>
      <c r="O127" s="32">
        <f t="shared" si="48"/>
        <v>10082.99055914864</v>
      </c>
      <c r="P127" s="32">
        <f t="shared" si="58"/>
        <v>3909.8685785817543</v>
      </c>
      <c r="Q127" s="32">
        <f t="shared" si="59"/>
        <v>6173.1219805668861</v>
      </c>
      <c r="R127" s="45">
        <f t="shared" si="64"/>
        <v>932195.3368790542</v>
      </c>
      <c r="S127" s="31">
        <f t="shared" si="49"/>
        <v>-8654.5954634519185</v>
      </c>
      <c r="T127" s="32">
        <f t="shared" si="60"/>
        <v>0</v>
      </c>
      <c r="U127" s="32">
        <f t="shared" si="50"/>
        <v>-14827.717444018803</v>
      </c>
      <c r="V127" s="32">
        <v>0</v>
      </c>
      <c r="W127" s="32">
        <f t="shared" si="52"/>
        <v>-5733.5013654447757</v>
      </c>
      <c r="X127" s="32">
        <f t="shared" si="88"/>
        <v>-3352.2595023243698</v>
      </c>
      <c r="Y127" s="102">
        <f t="shared" si="65"/>
        <v>-788946.06693013478</v>
      </c>
      <c r="Z127" s="32">
        <f t="shared" si="66"/>
        <v>-1034068.3220845691</v>
      </c>
      <c r="AA127" s="45">
        <f t="shared" si="67"/>
        <v>-1034068.3220845691</v>
      </c>
      <c r="AB127" s="1"/>
      <c r="AC127" s="40">
        <f t="shared" si="53"/>
        <v>-4744.7268848701633</v>
      </c>
      <c r="AD127" s="40">
        <f t="shared" si="61"/>
        <v>0</v>
      </c>
      <c r="AE127" s="40">
        <f t="shared" si="54"/>
        <v>-4744.7268848701633</v>
      </c>
      <c r="AF127" s="40">
        <f t="shared" si="55"/>
        <v>0</v>
      </c>
      <c r="AG127" s="40">
        <f t="shared" si="56"/>
        <v>4349.4891937038647</v>
      </c>
      <c r="AH127" s="40">
        <f t="shared" si="89"/>
        <v>2543.0562496639172</v>
      </c>
      <c r="AI127" s="106">
        <f t="shared" si="68"/>
        <v>-1364790.2561799805</v>
      </c>
      <c r="AJ127" s="40">
        <f t="shared" si="62"/>
        <v>206139.51669071338</v>
      </c>
      <c r="AK127" s="108">
        <f t="shared" si="63"/>
        <v>-1321688.7845097235</v>
      </c>
    </row>
    <row r="128" spans="2:37">
      <c r="F128" s="18" t="s">
        <v>39</v>
      </c>
      <c r="G128" s="1">
        <v>0</v>
      </c>
      <c r="I128">
        <v>4</v>
      </c>
      <c r="J128" s="26">
        <f t="shared" si="86"/>
        <v>8890.9801794115556</v>
      </c>
      <c r="K128" s="24">
        <f t="shared" si="87"/>
        <v>2566.5918485109651</v>
      </c>
      <c r="L128" s="24">
        <f t="shared" si="57"/>
        <v>6365.9512550018198</v>
      </c>
      <c r="M128" s="24">
        <f t="shared" si="90"/>
        <v>2728.2648235722081</v>
      </c>
      <c r="N128" s="48"/>
      <c r="O128" s="32">
        <f t="shared" si="48"/>
        <v>10082.99055914864</v>
      </c>
      <c r="P128" s="32">
        <f t="shared" si="58"/>
        <v>3884.1472369960593</v>
      </c>
      <c r="Q128" s="32">
        <f t="shared" si="59"/>
        <v>6198.8433221525811</v>
      </c>
      <c r="R128" s="45">
        <f t="shared" si="64"/>
        <v>925996.49355690158</v>
      </c>
      <c r="S128" s="31">
        <f t="shared" si="49"/>
        <v>-6653.9749846694967</v>
      </c>
      <c r="T128" s="32">
        <f t="shared" si="60"/>
        <v>0</v>
      </c>
      <c r="U128" s="32">
        <f t="shared" si="50"/>
        <v>-12852.818306822079</v>
      </c>
      <c r="V128" s="32">
        <v>0</v>
      </c>
      <c r="W128" s="32">
        <f t="shared" si="52"/>
        <v>-3758.6022282480508</v>
      </c>
      <c r="X128" s="32">
        <f t="shared" si="88"/>
        <v>-2197.5768787707698</v>
      </c>
      <c r="Y128" s="102">
        <f t="shared" si="65"/>
        <v>-791143.6438089055</v>
      </c>
      <c r="Z128" s="32">
        <f t="shared" si="66"/>
        <v>-1037826.9243128172</v>
      </c>
      <c r="AA128" s="45">
        <f t="shared" si="67"/>
        <v>-1037826.9243128172</v>
      </c>
      <c r="AB128" s="1"/>
      <c r="AC128" s="40">
        <f t="shared" si="53"/>
        <v>-2769.8277476734374</v>
      </c>
      <c r="AD128" s="40">
        <f t="shared" si="61"/>
        <v>0</v>
      </c>
      <c r="AE128" s="40">
        <f t="shared" si="54"/>
        <v>-2769.8277476734374</v>
      </c>
      <c r="AF128" s="40">
        <f t="shared" si="55"/>
        <v>0</v>
      </c>
      <c r="AG128" s="40">
        <f t="shared" si="56"/>
        <v>6324.3883309005905</v>
      </c>
      <c r="AH128" s="40">
        <f t="shared" si="89"/>
        <v>3697.7388732175177</v>
      </c>
      <c r="AI128" s="106">
        <f t="shared" si="68"/>
        <v>-1361092.517306763</v>
      </c>
      <c r="AJ128" s="40">
        <f t="shared" si="62"/>
        <v>212463.90502161399</v>
      </c>
      <c r="AK128" s="108">
        <f t="shared" si="63"/>
        <v>-1315364.396178823</v>
      </c>
    </row>
    <row r="129" spans="6:37">
      <c r="F129" s="16" t="s">
        <v>90</v>
      </c>
      <c r="G129" s="129">
        <f>$C$60</f>
        <v>0</v>
      </c>
      <c r="I129">
        <v>5</v>
      </c>
      <c r="J129" s="26">
        <f t="shared" si="86"/>
        <v>9127.0239009888537</v>
      </c>
      <c r="K129" s="24">
        <f t="shared" si="87"/>
        <v>2566.5918485109651</v>
      </c>
      <c r="L129" s="24">
        <f t="shared" si="57"/>
        <v>6365.9512550018198</v>
      </c>
      <c r="M129" s="24">
        <f t="shared" si="90"/>
        <v>2728.2648235722081</v>
      </c>
      <c r="N129" s="48"/>
      <c r="O129" s="32">
        <f t="shared" si="48"/>
        <v>10082.99055914864</v>
      </c>
      <c r="P129" s="32">
        <f t="shared" si="58"/>
        <v>3858.3187231537563</v>
      </c>
      <c r="Q129" s="32">
        <f t="shared" si="59"/>
        <v>6224.6718359948845</v>
      </c>
      <c r="R129" s="45">
        <f t="shared" si="64"/>
        <v>919771.82172090665</v>
      </c>
      <c r="S129" s="31">
        <f t="shared" si="49"/>
        <v>-6392.1027492498961</v>
      </c>
      <c r="T129" s="32">
        <f t="shared" si="60"/>
        <v>0</v>
      </c>
      <c r="U129" s="32">
        <f t="shared" si="50"/>
        <v>-12616.774585244781</v>
      </c>
      <c r="V129" s="32">
        <v>0</v>
      </c>
      <c r="W129" s="32">
        <f t="shared" si="52"/>
        <v>-3522.5585066707526</v>
      </c>
      <c r="X129" s="32">
        <f t="shared" si="88"/>
        <v>-2059.5670034456384</v>
      </c>
      <c r="Y129" s="102">
        <f t="shared" si="65"/>
        <v>-793203.21081235108</v>
      </c>
      <c r="Z129" s="32">
        <f t="shared" si="66"/>
        <v>-1041349.4828194879</v>
      </c>
      <c r="AA129" s="45">
        <f t="shared" si="67"/>
        <v>-1041349.4828194879</v>
      </c>
      <c r="AB129" s="1"/>
      <c r="AC129" s="40">
        <f t="shared" si="53"/>
        <v>-2533.7840260961393</v>
      </c>
      <c r="AD129" s="40">
        <f t="shared" si="61"/>
        <v>0</v>
      </c>
      <c r="AE129" s="40">
        <f t="shared" si="54"/>
        <v>-2533.7840260961393</v>
      </c>
      <c r="AF129" s="40">
        <f t="shared" si="55"/>
        <v>0</v>
      </c>
      <c r="AG129" s="40">
        <f t="shared" si="56"/>
        <v>6560.4320524778886</v>
      </c>
      <c r="AH129" s="40">
        <f t="shared" si="89"/>
        <v>3835.7487485426495</v>
      </c>
      <c r="AI129" s="106">
        <f t="shared" si="68"/>
        <v>-1357256.7685582202</v>
      </c>
      <c r="AJ129" s="40">
        <f t="shared" si="62"/>
        <v>219024.33707409189</v>
      </c>
      <c r="AK129" s="108">
        <f t="shared" si="63"/>
        <v>-1308803.964126345</v>
      </c>
    </row>
    <row r="130" spans="6:37">
      <c r="G130" s="1"/>
      <c r="I130">
        <v>6</v>
      </c>
      <c r="J130" s="26">
        <f t="shared" si="86"/>
        <v>9127.0239009888537</v>
      </c>
      <c r="K130" s="24">
        <f t="shared" si="87"/>
        <v>2566.5918485109651</v>
      </c>
      <c r="L130" s="24">
        <f t="shared" si="57"/>
        <v>6365.9512550018198</v>
      </c>
      <c r="M130" s="24">
        <f t="shared" si="90"/>
        <v>2728.2648235722081</v>
      </c>
      <c r="N130" s="48"/>
      <c r="O130" s="32">
        <f t="shared" si="48"/>
        <v>10082.99055914864</v>
      </c>
      <c r="P130" s="32">
        <f t="shared" si="58"/>
        <v>3832.3825905037775</v>
      </c>
      <c r="Q130" s="32">
        <f t="shared" si="59"/>
        <v>6250.6079686448629</v>
      </c>
      <c r="R130" s="45">
        <f t="shared" si="64"/>
        <v>913521.21375226183</v>
      </c>
      <c r="S130" s="31">
        <f t="shared" si="49"/>
        <v>-6366.1666165999168</v>
      </c>
      <c r="T130" s="32">
        <f t="shared" si="60"/>
        <v>0</v>
      </c>
      <c r="U130" s="32">
        <f t="shared" si="50"/>
        <v>-12616.774585244781</v>
      </c>
      <c r="V130" s="32">
        <v>0</v>
      </c>
      <c r="W130" s="32">
        <f t="shared" si="52"/>
        <v>-3522.5585066707526</v>
      </c>
      <c r="X130" s="32">
        <f t="shared" si="88"/>
        <v>-2059.5670034456384</v>
      </c>
      <c r="Y130" s="102">
        <f t="shared" si="65"/>
        <v>-795262.77781579667</v>
      </c>
      <c r="Z130" s="32">
        <f t="shared" si="66"/>
        <v>-1044872.0413261587</v>
      </c>
      <c r="AA130" s="45">
        <f t="shared" si="67"/>
        <v>-1044872.0413261587</v>
      </c>
      <c r="AB130" s="1"/>
      <c r="AC130" s="40">
        <f t="shared" si="53"/>
        <v>-2533.7840260961393</v>
      </c>
      <c r="AD130" s="40">
        <f t="shared" si="61"/>
        <v>0</v>
      </c>
      <c r="AE130" s="40">
        <f t="shared" si="54"/>
        <v>-2533.7840260961393</v>
      </c>
      <c r="AF130" s="40">
        <f t="shared" si="55"/>
        <v>0</v>
      </c>
      <c r="AG130" s="40">
        <f t="shared" si="56"/>
        <v>6560.4320524778886</v>
      </c>
      <c r="AH130" s="40">
        <f t="shared" si="89"/>
        <v>3835.7487485426495</v>
      </c>
      <c r="AI130" s="106">
        <f t="shared" si="68"/>
        <v>-1353421.0198096775</v>
      </c>
      <c r="AJ130" s="40">
        <f t="shared" si="62"/>
        <v>225584.76912656979</v>
      </c>
      <c r="AK130" s="108">
        <f t="shared" si="63"/>
        <v>-1302243.532073867</v>
      </c>
    </row>
    <row r="131" spans="6:37">
      <c r="G131" s="1"/>
      <c r="I131">
        <v>7</v>
      </c>
      <c r="J131" s="26">
        <f t="shared" si="86"/>
        <v>9127.0239009888537</v>
      </c>
      <c r="K131" s="24">
        <f t="shared" si="87"/>
        <v>2566.5918485109651</v>
      </c>
      <c r="L131" s="24">
        <f t="shared" si="57"/>
        <v>6365.9512550018198</v>
      </c>
      <c r="M131" s="24">
        <f t="shared" si="90"/>
        <v>2728.2648235722081</v>
      </c>
      <c r="N131" s="48"/>
      <c r="O131" s="32">
        <f t="shared" si="48"/>
        <v>10082.99055914864</v>
      </c>
      <c r="P131" s="32">
        <f t="shared" si="58"/>
        <v>3806.3383906344243</v>
      </c>
      <c r="Q131" s="32">
        <f t="shared" si="59"/>
        <v>6276.6521685142161</v>
      </c>
      <c r="R131" s="45">
        <f t="shared" si="64"/>
        <v>907244.56158374762</v>
      </c>
      <c r="S131" s="31">
        <f t="shared" si="49"/>
        <v>-6340.1224167305636</v>
      </c>
      <c r="T131" s="32">
        <f t="shared" si="60"/>
        <v>0</v>
      </c>
      <c r="U131" s="32">
        <f t="shared" si="50"/>
        <v>-12616.774585244781</v>
      </c>
      <c r="V131" s="32">
        <v>0</v>
      </c>
      <c r="W131" s="32">
        <f t="shared" si="52"/>
        <v>-3522.5585066707526</v>
      </c>
      <c r="X131" s="32">
        <f t="shared" si="88"/>
        <v>-2059.5670034456384</v>
      </c>
      <c r="Y131" s="102">
        <f t="shared" si="65"/>
        <v>-797322.34481924225</v>
      </c>
      <c r="Z131" s="32">
        <f t="shared" si="66"/>
        <v>-1048394.5998328294</v>
      </c>
      <c r="AA131" s="45">
        <f t="shared" si="67"/>
        <v>-1048394.5998328294</v>
      </c>
      <c r="AB131" s="1"/>
      <c r="AC131" s="40">
        <f t="shared" si="53"/>
        <v>-2533.7840260961393</v>
      </c>
      <c r="AD131" s="40">
        <f t="shared" si="61"/>
        <v>0</v>
      </c>
      <c r="AE131" s="40">
        <f t="shared" si="54"/>
        <v>-2533.7840260961393</v>
      </c>
      <c r="AF131" s="40">
        <f t="shared" si="55"/>
        <v>0</v>
      </c>
      <c r="AG131" s="40">
        <f t="shared" si="56"/>
        <v>6560.4320524778886</v>
      </c>
      <c r="AH131" s="40">
        <f t="shared" si="89"/>
        <v>3835.7487485426495</v>
      </c>
      <c r="AI131" s="106">
        <f t="shared" si="68"/>
        <v>-1349585.2710611348</v>
      </c>
      <c r="AJ131" s="40">
        <f t="shared" si="62"/>
        <v>232145.2011790477</v>
      </c>
      <c r="AK131" s="108">
        <f t="shared" si="63"/>
        <v>-1295683.1000213891</v>
      </c>
    </row>
    <row r="132" spans="6:37">
      <c r="G132" s="1"/>
      <c r="I132">
        <v>8</v>
      </c>
      <c r="J132" s="26">
        <f t="shared" si="86"/>
        <v>8576.2552173084914</v>
      </c>
      <c r="K132" s="24">
        <f t="shared" si="87"/>
        <v>2566.5918485109651</v>
      </c>
      <c r="L132" s="24">
        <f t="shared" si="57"/>
        <v>6365.9512550018198</v>
      </c>
      <c r="M132" s="24">
        <f t="shared" si="90"/>
        <v>2728.2648235722081</v>
      </c>
      <c r="N132" s="48"/>
      <c r="O132" s="32">
        <f t="shared" si="48"/>
        <v>10082.99055914864</v>
      </c>
      <c r="P132" s="32">
        <f t="shared" si="58"/>
        <v>3780.1856732656152</v>
      </c>
      <c r="Q132" s="32">
        <f t="shared" si="59"/>
        <v>6302.8048858830252</v>
      </c>
      <c r="R132" s="45">
        <f t="shared" si="64"/>
        <v>900941.75669786462</v>
      </c>
      <c r="S132" s="31">
        <f t="shared" si="49"/>
        <v>-6864.7383830421168</v>
      </c>
      <c r="T132" s="32">
        <f t="shared" si="60"/>
        <v>0</v>
      </c>
      <c r="U132" s="32">
        <f t="shared" si="50"/>
        <v>-13167.543268925143</v>
      </c>
      <c r="V132" s="32">
        <v>0</v>
      </c>
      <c r="W132" s="32">
        <f t="shared" si="52"/>
        <v>-4073.327190351115</v>
      </c>
      <c r="X132" s="32">
        <f t="shared" si="88"/>
        <v>-2381.5900458709452</v>
      </c>
      <c r="Y132" s="102">
        <f t="shared" si="65"/>
        <v>-799703.93486511323</v>
      </c>
      <c r="Z132" s="32">
        <f t="shared" si="66"/>
        <v>-1052467.9270231805</v>
      </c>
      <c r="AA132" s="45">
        <f t="shared" si="67"/>
        <v>-1052467.9270231805</v>
      </c>
      <c r="AB132" s="1"/>
      <c r="AC132" s="40">
        <f t="shared" si="53"/>
        <v>-3084.5527097765016</v>
      </c>
      <c r="AD132" s="40">
        <f t="shared" si="61"/>
        <v>0</v>
      </c>
      <c r="AE132" s="40">
        <f t="shared" si="54"/>
        <v>-3084.5527097765016</v>
      </c>
      <c r="AF132" s="40">
        <f t="shared" si="55"/>
        <v>0</v>
      </c>
      <c r="AG132" s="40">
        <f t="shared" si="56"/>
        <v>6009.6633687975263</v>
      </c>
      <c r="AH132" s="40">
        <f t="shared" si="89"/>
        <v>3513.7257061173423</v>
      </c>
      <c r="AI132" s="106">
        <f t="shared" si="68"/>
        <v>-1346071.5453550175</v>
      </c>
      <c r="AJ132" s="40">
        <f t="shared" si="62"/>
        <v>238154.86454784521</v>
      </c>
      <c r="AK132" s="108">
        <f t="shared" si="63"/>
        <v>-1289673.4366525915</v>
      </c>
    </row>
    <row r="133" spans="6:37">
      <c r="G133" s="1"/>
      <c r="I133">
        <v>9</v>
      </c>
      <c r="J133" s="26">
        <f t="shared" si="86"/>
        <v>7073.4435232663618</v>
      </c>
      <c r="K133" s="24">
        <f t="shared" si="87"/>
        <v>2566.5918485109651</v>
      </c>
      <c r="L133" s="24">
        <f t="shared" si="57"/>
        <v>6365.9512550018198</v>
      </c>
      <c r="M133" s="24">
        <f t="shared" si="90"/>
        <v>2728.2648235722081</v>
      </c>
      <c r="N133" s="48"/>
      <c r="O133" s="32">
        <f t="shared" ref="O133:O196" si="91">-PMT($C$13/12,$C$14,$C$12,0,0)</f>
        <v>10082.99055914864</v>
      </c>
      <c r="P133" s="32">
        <f t="shared" si="58"/>
        <v>3753.9239862411027</v>
      </c>
      <c r="Q133" s="32">
        <f t="shared" si="59"/>
        <v>6329.0665729075372</v>
      </c>
      <c r="R133" s="45">
        <f t="shared" si="64"/>
        <v>894612.69012495712</v>
      </c>
      <c r="S133" s="31">
        <f t="shared" ref="S133:S196" si="92">J133-K133-L133-M133-P133</f>
        <v>-8341.2883900597335</v>
      </c>
      <c r="T133" s="32">
        <f t="shared" si="60"/>
        <v>0</v>
      </c>
      <c r="U133" s="32">
        <f t="shared" ref="U133:U196" si="93">J133-K133-L133-M133-T133-O133</f>
        <v>-14670.354962967271</v>
      </c>
      <c r="V133" s="32">
        <v>0</v>
      </c>
      <c r="W133" s="32">
        <f t="shared" ref="W133:W196" si="94">U133-V133+L133+M133</f>
        <v>-5576.1388843932436</v>
      </c>
      <c r="X133" s="32">
        <f t="shared" si="88"/>
        <v>-3260.2529187742816</v>
      </c>
      <c r="Y133" s="102">
        <f t="shared" si="65"/>
        <v>-802964.18778388749</v>
      </c>
      <c r="Z133" s="32">
        <f t="shared" si="66"/>
        <v>-1058044.0659075738</v>
      </c>
      <c r="AA133" s="45">
        <f t="shared" si="67"/>
        <v>-1058044.0659075738</v>
      </c>
      <c r="AB133" s="1"/>
      <c r="AC133" s="40">
        <f t="shared" ref="AC133:AC196" si="95">J133-K133-L133-M133</f>
        <v>-4587.3644038186312</v>
      </c>
      <c r="AD133" s="40">
        <f t="shared" si="61"/>
        <v>0</v>
      </c>
      <c r="AE133" s="40">
        <f t="shared" ref="AE133:AE196" si="96">J133-K133-L133-M133-AD133</f>
        <v>-4587.3644038186312</v>
      </c>
      <c r="AF133" s="40">
        <f t="shared" ref="AF133:AF196" si="97">V133</f>
        <v>0</v>
      </c>
      <c r="AG133" s="40">
        <f t="shared" ref="AG133:AG196" si="98">AE133-AF133+L133+M133</f>
        <v>4506.8516747553967</v>
      </c>
      <c r="AH133" s="40">
        <f t="shared" si="89"/>
        <v>2635.062833214005</v>
      </c>
      <c r="AI133" s="106">
        <f t="shared" si="68"/>
        <v>-1343436.4825218036</v>
      </c>
      <c r="AJ133" s="40">
        <f t="shared" si="62"/>
        <v>242661.7162226006</v>
      </c>
      <c r="AK133" s="108">
        <f t="shared" si="63"/>
        <v>-1285166.5849778361</v>
      </c>
    </row>
    <row r="134" spans="6:37">
      <c r="G134" s="1"/>
      <c r="I134">
        <v>10</v>
      </c>
      <c r="J134" s="26">
        <f t="shared" si="86"/>
        <v>5145.7531303850956</v>
      </c>
      <c r="K134" s="24">
        <f t="shared" si="87"/>
        <v>2566.5918485109651</v>
      </c>
      <c r="L134" s="24">
        <f t="shared" ref="L134:L197" si="99">$C$5/$C$6</f>
        <v>6365.9512550018198</v>
      </c>
      <c r="M134" s="24">
        <f t="shared" si="90"/>
        <v>2728.2648235722081</v>
      </c>
      <c r="N134" s="48"/>
      <c r="O134" s="32">
        <f t="shared" si="91"/>
        <v>10082.99055914864</v>
      </c>
      <c r="P134" s="32">
        <f t="shared" ref="P134:P197" si="100">($C$13/12)*R133</f>
        <v>3727.5528755206547</v>
      </c>
      <c r="Q134" s="32">
        <f t="shared" ref="Q134:Q197" si="101">O134-P134</f>
        <v>6355.4376836279862</v>
      </c>
      <c r="R134" s="45">
        <f t="shared" si="64"/>
        <v>888257.25244132918</v>
      </c>
      <c r="S134" s="31">
        <f t="shared" si="92"/>
        <v>-10242.607672220553</v>
      </c>
      <c r="T134" s="32">
        <f t="shared" ref="T134:T197" si="102">S134*$C$60</f>
        <v>0</v>
      </c>
      <c r="U134" s="32">
        <f t="shared" si="93"/>
        <v>-16598.045355848539</v>
      </c>
      <c r="V134" s="32">
        <v>0</v>
      </c>
      <c r="W134" s="32">
        <f t="shared" si="94"/>
        <v>-7503.8292772745117</v>
      </c>
      <c r="X134" s="32">
        <f t="shared" si="88"/>
        <v>-4387.3335672628573</v>
      </c>
      <c r="Y134" s="102">
        <f t="shared" si="65"/>
        <v>-807351.52135115035</v>
      </c>
      <c r="Z134" s="32">
        <f t="shared" si="66"/>
        <v>-1065547.8951848482</v>
      </c>
      <c r="AA134" s="45">
        <f t="shared" si="67"/>
        <v>-1065547.8951848482</v>
      </c>
      <c r="AB134" s="1"/>
      <c r="AC134" s="40">
        <f t="shared" si="95"/>
        <v>-6515.0547966998975</v>
      </c>
      <c r="AD134" s="40">
        <f t="shared" ref="AD134:AD197" si="103">AC134*$C$60</f>
        <v>0</v>
      </c>
      <c r="AE134" s="40">
        <f t="shared" si="96"/>
        <v>-6515.0547966998975</v>
      </c>
      <c r="AF134" s="40">
        <f t="shared" si="97"/>
        <v>0</v>
      </c>
      <c r="AG134" s="40">
        <f t="shared" si="98"/>
        <v>2579.1612818741305</v>
      </c>
      <c r="AH134" s="40">
        <f t="shared" si="89"/>
        <v>1507.9821847254311</v>
      </c>
      <c r="AI134" s="106">
        <f t="shared" si="68"/>
        <v>-1341928.5003370782</v>
      </c>
      <c r="AJ134" s="40">
        <f t="shared" ref="AJ134:AJ197" si="104">AJ133+AG134</f>
        <v>245240.87750447475</v>
      </c>
      <c r="AK134" s="108">
        <f t="shared" ref="AK134:AK197" si="105">AK133+AG134</f>
        <v>-1282587.4236959619</v>
      </c>
    </row>
    <row r="135" spans="6:37">
      <c r="G135" s="1"/>
      <c r="I135">
        <v>11</v>
      </c>
      <c r="J135" s="26">
        <f t="shared" si="86"/>
        <v>2698.7665500337735</v>
      </c>
      <c r="K135" s="24">
        <f t="shared" si="87"/>
        <v>2566.5918485109651</v>
      </c>
      <c r="L135" s="24">
        <f t="shared" si="99"/>
        <v>6365.9512550018198</v>
      </c>
      <c r="M135" s="24">
        <f t="shared" si="90"/>
        <v>2728.2648235722081</v>
      </c>
      <c r="N135" s="48"/>
      <c r="O135" s="32">
        <f t="shared" si="91"/>
        <v>10082.99055914864</v>
      </c>
      <c r="P135" s="32">
        <f t="shared" si="100"/>
        <v>3701.0718851722049</v>
      </c>
      <c r="Q135" s="32">
        <f t="shared" si="101"/>
        <v>6381.9186739764355</v>
      </c>
      <c r="R135" s="45">
        <f t="shared" ref="R135:R198" si="106">R134-Q135</f>
        <v>881875.33376735274</v>
      </c>
      <c r="S135" s="31">
        <f t="shared" si="92"/>
        <v>-12663.113262223425</v>
      </c>
      <c r="T135" s="32">
        <f t="shared" si="102"/>
        <v>0</v>
      </c>
      <c r="U135" s="32">
        <f t="shared" si="93"/>
        <v>-19045.031936199863</v>
      </c>
      <c r="V135" s="32">
        <v>0</v>
      </c>
      <c r="W135" s="32">
        <f t="shared" si="94"/>
        <v>-9950.8158576258356</v>
      </c>
      <c r="X135" s="32">
        <f t="shared" si="88"/>
        <v>-5818.0359414667219</v>
      </c>
      <c r="Y135" s="102">
        <f t="shared" ref="Y135:Y198" si="107">Y134+X135</f>
        <v>-813169.55729261704</v>
      </c>
      <c r="Z135" s="32">
        <f t="shared" ref="Z135:Z198" si="108">Z134+W135</f>
        <v>-1075498.711042474</v>
      </c>
      <c r="AA135" s="45">
        <f t="shared" ref="AA135:AA198" si="109">AA134+W135</f>
        <v>-1075498.711042474</v>
      </c>
      <c r="AB135" s="1"/>
      <c r="AC135" s="40">
        <f t="shared" si="95"/>
        <v>-8962.0413770512205</v>
      </c>
      <c r="AD135" s="40">
        <f t="shared" si="103"/>
        <v>0</v>
      </c>
      <c r="AE135" s="40">
        <f t="shared" si="96"/>
        <v>-8962.0413770512205</v>
      </c>
      <c r="AF135" s="40">
        <f t="shared" si="97"/>
        <v>0</v>
      </c>
      <c r="AG135" s="40">
        <f t="shared" si="98"/>
        <v>132.17470152280748</v>
      </c>
      <c r="AH135" s="40">
        <f t="shared" si="89"/>
        <v>77.279810521567128</v>
      </c>
      <c r="AI135" s="106">
        <f t="shared" ref="AI135:AI198" si="110">AI134+AH135</f>
        <v>-1341851.2205265567</v>
      </c>
      <c r="AJ135" s="40">
        <f t="shared" si="104"/>
        <v>245373.05220599755</v>
      </c>
      <c r="AK135" s="108">
        <f t="shared" si="105"/>
        <v>-1282455.2489944391</v>
      </c>
    </row>
    <row r="136" spans="6:37">
      <c r="G136" s="1"/>
      <c r="I136">
        <v>12</v>
      </c>
      <c r="J136" s="26">
        <f t="shared" si="86"/>
        <v>2037.8441296173391</v>
      </c>
      <c r="K136" s="24">
        <f t="shared" si="87"/>
        <v>2566.5918485109651</v>
      </c>
      <c r="L136" s="24">
        <f t="shared" si="99"/>
        <v>6365.9512550018198</v>
      </c>
      <c r="M136" s="24">
        <f t="shared" si="90"/>
        <v>2728.2648235722081</v>
      </c>
      <c r="N136" s="48"/>
      <c r="O136" s="32">
        <f t="shared" si="91"/>
        <v>10082.99055914864</v>
      </c>
      <c r="P136" s="32">
        <f t="shared" si="100"/>
        <v>3674.4805573639696</v>
      </c>
      <c r="Q136" s="32">
        <f t="shared" si="101"/>
        <v>6408.5100017846707</v>
      </c>
      <c r="R136" s="45">
        <f t="shared" si="106"/>
        <v>875466.82376556809</v>
      </c>
      <c r="S136" s="31">
        <f t="shared" si="92"/>
        <v>-13297.444354831623</v>
      </c>
      <c r="T136" s="32">
        <f t="shared" si="102"/>
        <v>0</v>
      </c>
      <c r="U136" s="32">
        <f t="shared" si="93"/>
        <v>-19705.954356616294</v>
      </c>
      <c r="V136" s="32">
        <v>0</v>
      </c>
      <c r="W136" s="32">
        <f t="shared" si="94"/>
        <v>-10611.738278042267</v>
      </c>
      <c r="X136" s="32">
        <f t="shared" si="88"/>
        <v>-6204.4635923770875</v>
      </c>
      <c r="Y136" s="102">
        <f t="shared" si="107"/>
        <v>-819374.02088499418</v>
      </c>
      <c r="Z136" s="32">
        <f t="shared" si="108"/>
        <v>-1086110.4493205163</v>
      </c>
      <c r="AA136" s="45">
        <f t="shared" si="109"/>
        <v>-1086110.4493205163</v>
      </c>
      <c r="AB136" s="1"/>
      <c r="AC136" s="40">
        <f t="shared" si="95"/>
        <v>-9622.9637974676534</v>
      </c>
      <c r="AD136" s="40">
        <f t="shared" si="103"/>
        <v>0</v>
      </c>
      <c r="AE136" s="40">
        <f t="shared" si="96"/>
        <v>-9622.9637974676534</v>
      </c>
      <c r="AF136" s="40">
        <f t="shared" si="97"/>
        <v>0</v>
      </c>
      <c r="AG136" s="40">
        <f t="shared" si="98"/>
        <v>-528.74771889362546</v>
      </c>
      <c r="AH136" s="40">
        <f t="shared" si="89"/>
        <v>-309.14784038880038</v>
      </c>
      <c r="AI136" s="106">
        <f t="shared" si="110"/>
        <v>-1342160.3683669455</v>
      </c>
      <c r="AJ136" s="40">
        <f t="shared" si="104"/>
        <v>244844.30448710392</v>
      </c>
      <c r="AK136" s="108">
        <f t="shared" si="105"/>
        <v>-1282983.9967133328</v>
      </c>
    </row>
    <row r="137" spans="6:37">
      <c r="F137" s="132" t="s">
        <v>88</v>
      </c>
      <c r="G137" s="1">
        <f>SUM(S137:S148)</f>
        <v>-108770.49288051332</v>
      </c>
      <c r="H137">
        <v>2026</v>
      </c>
      <c r="I137">
        <v>1</v>
      </c>
      <c r="J137" s="26">
        <f t="shared" ref="J137:J148" si="111">C23*$C$49*$D$49</f>
        <v>2360.2011720514024</v>
      </c>
      <c r="K137" s="24">
        <f t="shared" ref="K137:K148" si="112">$K$136*$C$8</f>
        <v>2643.5896039662939</v>
      </c>
      <c r="L137" s="24">
        <f t="shared" si="99"/>
        <v>6365.9512550018198</v>
      </c>
      <c r="M137" s="24">
        <f t="shared" si="90"/>
        <v>2728.2648235722081</v>
      </c>
      <c r="N137" s="48"/>
      <c r="O137" s="32">
        <f t="shared" si="91"/>
        <v>10082.99055914864</v>
      </c>
      <c r="P137" s="32">
        <f t="shared" si="100"/>
        <v>3647.7784323565338</v>
      </c>
      <c r="Q137" s="32">
        <f t="shared" si="101"/>
        <v>6435.2121267921066</v>
      </c>
      <c r="R137" s="45">
        <f t="shared" si="106"/>
        <v>869031.61163877603</v>
      </c>
      <c r="S137" s="31">
        <f t="shared" si="92"/>
        <v>-13025.382942845454</v>
      </c>
      <c r="T137" s="32">
        <f t="shared" si="102"/>
        <v>0</v>
      </c>
      <c r="U137" s="32">
        <f t="shared" si="93"/>
        <v>-19460.595069637558</v>
      </c>
      <c r="V137" s="32">
        <v>0</v>
      </c>
      <c r="W137" s="32">
        <f t="shared" si="94"/>
        <v>-10366.378991063531</v>
      </c>
      <c r="X137" s="32">
        <f t="shared" ref="X137:X148" si="113">W137/(1+$C$18)^12</f>
        <v>-5772.3877132339112</v>
      </c>
      <c r="Y137" s="102">
        <f t="shared" si="107"/>
        <v>-825146.40859822812</v>
      </c>
      <c r="Z137" s="32">
        <f t="shared" si="108"/>
        <v>-1096476.8283115798</v>
      </c>
      <c r="AA137" s="45">
        <f t="shared" si="109"/>
        <v>-1096476.8283115798</v>
      </c>
      <c r="AB137" s="1"/>
      <c r="AC137" s="40">
        <f t="shared" si="95"/>
        <v>-9377.6045104889199</v>
      </c>
      <c r="AD137" s="40">
        <f t="shared" si="103"/>
        <v>0</v>
      </c>
      <c r="AE137" s="40">
        <f t="shared" si="96"/>
        <v>-9377.6045104889199</v>
      </c>
      <c r="AF137" s="40">
        <f t="shared" si="97"/>
        <v>0</v>
      </c>
      <c r="AG137" s="40">
        <f t="shared" si="98"/>
        <v>-283.38843191489195</v>
      </c>
      <c r="AH137" s="40">
        <f t="shared" ref="AH137:AH148" si="114">AG137/(1+$C$18)^12</f>
        <v>-157.80128276887555</v>
      </c>
      <c r="AI137" s="106">
        <f t="shared" si="110"/>
        <v>-1342318.1696497144</v>
      </c>
      <c r="AJ137" s="40">
        <f t="shared" si="104"/>
        <v>244560.91605518904</v>
      </c>
      <c r="AK137" s="108">
        <f t="shared" si="105"/>
        <v>-1283267.3851452477</v>
      </c>
    </row>
    <row r="138" spans="6:37">
      <c r="F138" s="17" t="s">
        <v>31</v>
      </c>
      <c r="G138">
        <v>12</v>
      </c>
      <c r="I138">
        <v>2</v>
      </c>
      <c r="J138" s="26">
        <f t="shared" si="111"/>
        <v>3668.8275644759419</v>
      </c>
      <c r="K138" s="24">
        <f t="shared" si="112"/>
        <v>2643.5896039662939</v>
      </c>
      <c r="L138" s="24">
        <f t="shared" si="99"/>
        <v>6365.9512550018198</v>
      </c>
      <c r="M138" s="24">
        <f t="shared" si="90"/>
        <v>2728.2648235722081</v>
      </c>
      <c r="N138" s="48"/>
      <c r="O138" s="32">
        <f t="shared" si="91"/>
        <v>10082.99055914864</v>
      </c>
      <c r="P138" s="32">
        <f t="shared" si="100"/>
        <v>3620.9650484949002</v>
      </c>
      <c r="Q138" s="32">
        <f t="shared" si="101"/>
        <v>6462.0255106537406</v>
      </c>
      <c r="R138" s="45">
        <f t="shared" si="106"/>
        <v>862569.58612812229</v>
      </c>
      <c r="S138" s="31">
        <f t="shared" si="92"/>
        <v>-11689.94316655928</v>
      </c>
      <c r="T138" s="32">
        <f t="shared" si="102"/>
        <v>0</v>
      </c>
      <c r="U138" s="32">
        <f t="shared" si="93"/>
        <v>-18151.968677213023</v>
      </c>
      <c r="V138" s="32">
        <v>0</v>
      </c>
      <c r="W138" s="32">
        <f t="shared" si="94"/>
        <v>-9057.7525986389956</v>
      </c>
      <c r="X138" s="32">
        <f t="shared" si="113"/>
        <v>-5043.6955715172189</v>
      </c>
      <c r="Y138" s="102">
        <f t="shared" si="107"/>
        <v>-830190.10416974535</v>
      </c>
      <c r="Z138" s="32">
        <f t="shared" si="108"/>
        <v>-1105534.5809102189</v>
      </c>
      <c r="AA138" s="45">
        <f t="shared" si="109"/>
        <v>-1105534.5809102189</v>
      </c>
      <c r="AB138" s="1"/>
      <c r="AC138" s="40">
        <f t="shared" si="95"/>
        <v>-8068.9781180643804</v>
      </c>
      <c r="AD138" s="40">
        <f t="shared" si="103"/>
        <v>0</v>
      </c>
      <c r="AE138" s="40">
        <f t="shared" si="96"/>
        <v>-8068.9781180643804</v>
      </c>
      <c r="AF138" s="40">
        <f t="shared" si="97"/>
        <v>0</v>
      </c>
      <c r="AG138" s="40">
        <f t="shared" si="98"/>
        <v>1025.2379605096476</v>
      </c>
      <c r="AH138" s="40">
        <f t="shared" si="114"/>
        <v>570.89085894781886</v>
      </c>
      <c r="AI138" s="106">
        <f t="shared" si="110"/>
        <v>-1341747.2787907666</v>
      </c>
      <c r="AJ138" s="40">
        <f t="shared" si="104"/>
        <v>245586.15401569867</v>
      </c>
      <c r="AK138" s="108">
        <f t="shared" si="105"/>
        <v>-1282242.147184738</v>
      </c>
    </row>
    <row r="139" spans="6:37">
      <c r="F139" s="13" t="s">
        <v>30</v>
      </c>
      <c r="G139" s="1">
        <v>0</v>
      </c>
      <c r="I139">
        <v>3</v>
      </c>
      <c r="J139" s="26">
        <f t="shared" si="111"/>
        <v>6846.920231792682</v>
      </c>
      <c r="K139" s="24">
        <f t="shared" si="112"/>
        <v>2643.5896039662939</v>
      </c>
      <c r="L139" s="24">
        <f t="shared" si="99"/>
        <v>6365.9512550018198</v>
      </c>
      <c r="M139" s="24">
        <f t="shared" si="90"/>
        <v>2728.2648235722081</v>
      </c>
      <c r="N139" s="48"/>
      <c r="O139" s="32">
        <f t="shared" si="91"/>
        <v>10082.99055914864</v>
      </c>
      <c r="P139" s="32">
        <f t="shared" si="100"/>
        <v>3594.0399422005094</v>
      </c>
      <c r="Q139" s="32">
        <f t="shared" si="101"/>
        <v>6488.950616948131</v>
      </c>
      <c r="R139" s="45">
        <f t="shared" si="106"/>
        <v>856080.63551117422</v>
      </c>
      <c r="S139" s="31">
        <f t="shared" si="92"/>
        <v>-8484.9253929481492</v>
      </c>
      <c r="T139" s="32">
        <f t="shared" si="102"/>
        <v>0</v>
      </c>
      <c r="U139" s="32">
        <f t="shared" si="93"/>
        <v>-14973.876009896281</v>
      </c>
      <c r="V139" s="32">
        <v>0</v>
      </c>
      <c r="W139" s="32">
        <f t="shared" si="94"/>
        <v>-5879.6599313222541</v>
      </c>
      <c r="X139" s="32">
        <f t="shared" si="113"/>
        <v>-3274.0146559195309</v>
      </c>
      <c r="Y139" s="102">
        <f t="shared" si="107"/>
        <v>-833464.11882566486</v>
      </c>
      <c r="Z139" s="32">
        <f t="shared" si="108"/>
        <v>-1111414.2408415412</v>
      </c>
      <c r="AA139" s="45">
        <f t="shared" si="109"/>
        <v>-1111414.2408415412</v>
      </c>
      <c r="AB139" s="1"/>
      <c r="AC139" s="40">
        <f t="shared" si="95"/>
        <v>-4890.8854507476399</v>
      </c>
      <c r="AD139" s="40">
        <f t="shared" si="103"/>
        <v>0</v>
      </c>
      <c r="AE139" s="40">
        <f t="shared" si="96"/>
        <v>-4890.8854507476399</v>
      </c>
      <c r="AF139" s="40">
        <f t="shared" si="97"/>
        <v>0</v>
      </c>
      <c r="AG139" s="40">
        <f t="shared" si="98"/>
        <v>4203.3306278263881</v>
      </c>
      <c r="AH139" s="40">
        <f t="shared" si="114"/>
        <v>2340.5717745455063</v>
      </c>
      <c r="AI139" s="106">
        <f t="shared" si="110"/>
        <v>-1339406.707016221</v>
      </c>
      <c r="AJ139" s="40">
        <f t="shared" si="104"/>
        <v>249789.48464352507</v>
      </c>
      <c r="AK139" s="108">
        <f t="shared" si="105"/>
        <v>-1278038.8165569117</v>
      </c>
    </row>
    <row r="140" spans="6:37">
      <c r="F140" s="18" t="s">
        <v>39</v>
      </c>
      <c r="G140" s="1">
        <f>G137+G127</f>
        <v>-1088172.4294806032</v>
      </c>
      <c r="I140">
        <v>4</v>
      </c>
      <c r="J140" s="26">
        <f t="shared" si="111"/>
        <v>8802.0703776174414</v>
      </c>
      <c r="K140" s="24">
        <f t="shared" si="112"/>
        <v>2643.5896039662939</v>
      </c>
      <c r="L140" s="24">
        <f t="shared" si="99"/>
        <v>6365.9512550018198</v>
      </c>
      <c r="M140" s="24">
        <f t="shared" si="90"/>
        <v>2728.2648235722081</v>
      </c>
      <c r="N140" s="48"/>
      <c r="O140" s="32">
        <f t="shared" si="91"/>
        <v>10082.99055914864</v>
      </c>
      <c r="P140" s="32">
        <f t="shared" si="100"/>
        <v>3567.0026479632256</v>
      </c>
      <c r="Q140" s="32">
        <f t="shared" si="101"/>
        <v>6515.9879111854152</v>
      </c>
      <c r="R140" s="45">
        <f t="shared" si="106"/>
        <v>849564.64759998885</v>
      </c>
      <c r="S140" s="31">
        <f t="shared" si="92"/>
        <v>-6502.7379528861056</v>
      </c>
      <c r="T140" s="32">
        <f t="shared" si="102"/>
        <v>0</v>
      </c>
      <c r="U140" s="32">
        <f t="shared" si="93"/>
        <v>-13018.725864071521</v>
      </c>
      <c r="V140" s="32">
        <v>0</v>
      </c>
      <c r="W140" s="32">
        <f t="shared" si="94"/>
        <v>-3924.5097854974929</v>
      </c>
      <c r="X140" s="32">
        <f t="shared" si="113"/>
        <v>-2185.3138965689918</v>
      </c>
      <c r="Y140" s="102">
        <f t="shared" si="107"/>
        <v>-835649.43272223382</v>
      </c>
      <c r="Z140" s="32">
        <f t="shared" si="108"/>
        <v>-1115338.7506270388</v>
      </c>
      <c r="AA140" s="45">
        <f t="shared" si="109"/>
        <v>-1115338.7506270388</v>
      </c>
      <c r="AB140" s="1"/>
      <c r="AC140" s="40">
        <f t="shared" si="95"/>
        <v>-2935.7353049228805</v>
      </c>
      <c r="AD140" s="40">
        <f t="shared" si="103"/>
        <v>0</v>
      </c>
      <c r="AE140" s="40">
        <f t="shared" si="96"/>
        <v>-2935.7353049228805</v>
      </c>
      <c r="AF140" s="40">
        <f t="shared" si="97"/>
        <v>0</v>
      </c>
      <c r="AG140" s="40">
        <f t="shared" si="98"/>
        <v>6158.4807736511475</v>
      </c>
      <c r="AH140" s="40">
        <f t="shared" si="114"/>
        <v>3429.272533896044</v>
      </c>
      <c r="AI140" s="106">
        <f t="shared" si="110"/>
        <v>-1335977.4344823249</v>
      </c>
      <c r="AJ140" s="40">
        <f t="shared" si="104"/>
        <v>255947.96541717622</v>
      </c>
      <c r="AK140" s="108">
        <f t="shared" si="105"/>
        <v>-1271880.3357832606</v>
      </c>
    </row>
    <row r="141" spans="6:37">
      <c r="F141" s="16" t="s">
        <v>90</v>
      </c>
      <c r="G141" s="129">
        <f>$C$60</f>
        <v>0</v>
      </c>
      <c r="I141">
        <v>5</v>
      </c>
      <c r="J141" s="26">
        <f t="shared" si="111"/>
        <v>9035.7536619789662</v>
      </c>
      <c r="K141" s="24">
        <f t="shared" si="112"/>
        <v>2643.5896039662939</v>
      </c>
      <c r="L141" s="24">
        <f t="shared" si="99"/>
        <v>6365.9512550018198</v>
      </c>
      <c r="M141" s="24">
        <f t="shared" si="90"/>
        <v>2728.2648235722081</v>
      </c>
      <c r="N141" s="48"/>
      <c r="O141" s="32">
        <f t="shared" si="91"/>
        <v>10082.99055914864</v>
      </c>
      <c r="P141" s="32">
        <f t="shared" si="100"/>
        <v>3539.8526983332868</v>
      </c>
      <c r="Q141" s="32">
        <f t="shared" si="101"/>
        <v>6543.1378608153536</v>
      </c>
      <c r="R141" s="45">
        <f t="shared" si="106"/>
        <v>843021.50973917346</v>
      </c>
      <c r="S141" s="31">
        <f t="shared" si="92"/>
        <v>-6241.9047188946424</v>
      </c>
      <c r="T141" s="32">
        <f t="shared" si="102"/>
        <v>0</v>
      </c>
      <c r="U141" s="32">
        <f t="shared" si="93"/>
        <v>-12785.042579709996</v>
      </c>
      <c r="V141" s="32">
        <v>0</v>
      </c>
      <c r="W141" s="32">
        <f t="shared" si="94"/>
        <v>-3690.8265011359681</v>
      </c>
      <c r="X141" s="32">
        <f t="shared" si="113"/>
        <v>-2055.1902998338678</v>
      </c>
      <c r="Y141" s="102">
        <f t="shared" si="107"/>
        <v>-837704.62302206771</v>
      </c>
      <c r="Z141" s="32">
        <f t="shared" si="108"/>
        <v>-1119029.5771281747</v>
      </c>
      <c r="AA141" s="45">
        <f t="shared" si="109"/>
        <v>-1119029.5771281747</v>
      </c>
      <c r="AB141" s="1"/>
      <c r="AC141" s="40">
        <f t="shared" si="95"/>
        <v>-2702.0520205613557</v>
      </c>
      <c r="AD141" s="40">
        <f t="shared" si="103"/>
        <v>0</v>
      </c>
      <c r="AE141" s="40">
        <f t="shared" si="96"/>
        <v>-2702.0520205613557</v>
      </c>
      <c r="AF141" s="40">
        <f t="shared" si="97"/>
        <v>0</v>
      </c>
      <c r="AG141" s="40">
        <f t="shared" si="98"/>
        <v>6392.1640580126723</v>
      </c>
      <c r="AH141" s="40">
        <f t="shared" si="114"/>
        <v>3559.396130631168</v>
      </c>
      <c r="AI141" s="106">
        <f t="shared" si="110"/>
        <v>-1332418.0383516937</v>
      </c>
      <c r="AJ141" s="40">
        <f t="shared" si="104"/>
        <v>262340.12947518891</v>
      </c>
      <c r="AK141" s="108">
        <f t="shared" si="105"/>
        <v>-1265488.171725248</v>
      </c>
    </row>
    <row r="142" spans="6:37">
      <c r="G142" s="1"/>
      <c r="I142">
        <v>6</v>
      </c>
      <c r="J142" s="26">
        <f t="shared" si="111"/>
        <v>9035.7536619789662</v>
      </c>
      <c r="K142" s="24">
        <f t="shared" si="112"/>
        <v>2643.5896039662939</v>
      </c>
      <c r="L142" s="24">
        <f t="shared" si="99"/>
        <v>6365.9512550018198</v>
      </c>
      <c r="M142" s="24">
        <f t="shared" si="90"/>
        <v>2728.2648235722081</v>
      </c>
      <c r="N142" s="48"/>
      <c r="O142" s="32">
        <f t="shared" si="91"/>
        <v>10082.99055914864</v>
      </c>
      <c r="P142" s="32">
        <f t="shared" si="100"/>
        <v>3512.5896239132226</v>
      </c>
      <c r="Q142" s="32">
        <f t="shared" si="101"/>
        <v>6570.4009352354178</v>
      </c>
      <c r="R142" s="45">
        <f t="shared" si="106"/>
        <v>836451.10880393803</v>
      </c>
      <c r="S142" s="31">
        <f t="shared" si="92"/>
        <v>-6214.6416444745782</v>
      </c>
      <c r="T142" s="32">
        <f t="shared" si="102"/>
        <v>0</v>
      </c>
      <c r="U142" s="32">
        <f t="shared" si="93"/>
        <v>-12785.042579709996</v>
      </c>
      <c r="V142" s="32">
        <v>0</v>
      </c>
      <c r="W142" s="32">
        <f t="shared" si="94"/>
        <v>-3690.8265011359681</v>
      </c>
      <c r="X142" s="32">
        <f t="shared" si="113"/>
        <v>-2055.1902998338678</v>
      </c>
      <c r="Y142" s="102">
        <f t="shared" si="107"/>
        <v>-839759.8133219016</v>
      </c>
      <c r="Z142" s="32">
        <f t="shared" si="108"/>
        <v>-1122720.4036293107</v>
      </c>
      <c r="AA142" s="45">
        <f t="shared" si="109"/>
        <v>-1122720.4036293107</v>
      </c>
      <c r="AB142" s="1"/>
      <c r="AC142" s="40">
        <f t="shared" si="95"/>
        <v>-2702.0520205613557</v>
      </c>
      <c r="AD142" s="40">
        <f t="shared" si="103"/>
        <v>0</v>
      </c>
      <c r="AE142" s="40">
        <f t="shared" si="96"/>
        <v>-2702.0520205613557</v>
      </c>
      <c r="AF142" s="40">
        <f t="shared" si="97"/>
        <v>0</v>
      </c>
      <c r="AG142" s="40">
        <f t="shared" si="98"/>
        <v>6392.1640580126723</v>
      </c>
      <c r="AH142" s="40">
        <f t="shared" si="114"/>
        <v>3559.396130631168</v>
      </c>
      <c r="AI142" s="106">
        <f t="shared" si="110"/>
        <v>-1328858.6422210624</v>
      </c>
      <c r="AJ142" s="40">
        <f t="shared" si="104"/>
        <v>268732.29353320156</v>
      </c>
      <c r="AK142" s="108">
        <f t="shared" si="105"/>
        <v>-1259096.0076672353</v>
      </c>
    </row>
    <row r="143" spans="6:37">
      <c r="G143" s="1"/>
      <c r="I143">
        <v>7</v>
      </c>
      <c r="J143" s="26">
        <f t="shared" si="111"/>
        <v>9035.7536619789662</v>
      </c>
      <c r="K143" s="24">
        <f t="shared" si="112"/>
        <v>2643.5896039662939</v>
      </c>
      <c r="L143" s="24">
        <f t="shared" si="99"/>
        <v>6365.9512550018198</v>
      </c>
      <c r="M143" s="24">
        <f t="shared" si="90"/>
        <v>2728.2648235722081</v>
      </c>
      <c r="N143" s="48"/>
      <c r="O143" s="32">
        <f t="shared" si="91"/>
        <v>10082.99055914864</v>
      </c>
      <c r="P143" s="32">
        <f t="shared" si="100"/>
        <v>3485.2129533497418</v>
      </c>
      <c r="Q143" s="32">
        <f t="shared" si="101"/>
        <v>6597.7776057988985</v>
      </c>
      <c r="R143" s="45">
        <f t="shared" si="106"/>
        <v>829853.33119813912</v>
      </c>
      <c r="S143" s="31">
        <f t="shared" si="92"/>
        <v>-6187.2649739110975</v>
      </c>
      <c r="T143" s="32">
        <f t="shared" si="102"/>
        <v>0</v>
      </c>
      <c r="U143" s="32">
        <f t="shared" si="93"/>
        <v>-12785.042579709996</v>
      </c>
      <c r="V143" s="32">
        <v>0</v>
      </c>
      <c r="W143" s="32">
        <f t="shared" si="94"/>
        <v>-3690.8265011359681</v>
      </c>
      <c r="X143" s="32">
        <f t="shared" si="113"/>
        <v>-2055.1902998338678</v>
      </c>
      <c r="Y143" s="102">
        <f t="shared" si="107"/>
        <v>-841815.00362173549</v>
      </c>
      <c r="Z143" s="32">
        <f t="shared" si="108"/>
        <v>-1126411.2301304466</v>
      </c>
      <c r="AA143" s="45">
        <f t="shared" si="109"/>
        <v>-1126411.2301304466</v>
      </c>
      <c r="AB143" s="1"/>
      <c r="AC143" s="40">
        <f t="shared" si="95"/>
        <v>-2702.0520205613557</v>
      </c>
      <c r="AD143" s="40">
        <f t="shared" si="103"/>
        <v>0</v>
      </c>
      <c r="AE143" s="40">
        <f t="shared" si="96"/>
        <v>-2702.0520205613557</v>
      </c>
      <c r="AF143" s="40">
        <f t="shared" si="97"/>
        <v>0</v>
      </c>
      <c r="AG143" s="40">
        <f t="shared" si="98"/>
        <v>6392.1640580126723</v>
      </c>
      <c r="AH143" s="40">
        <f t="shared" si="114"/>
        <v>3559.396130631168</v>
      </c>
      <c r="AI143" s="106">
        <f t="shared" si="110"/>
        <v>-1325299.2460904312</v>
      </c>
      <c r="AJ143" s="40">
        <f t="shared" si="104"/>
        <v>275124.45759121422</v>
      </c>
      <c r="AK143" s="108">
        <f t="shared" si="105"/>
        <v>-1252703.8436092227</v>
      </c>
    </row>
    <row r="144" spans="6:37">
      <c r="G144" s="1"/>
      <c r="I144">
        <v>8</v>
      </c>
      <c r="J144" s="26">
        <f t="shared" si="111"/>
        <v>8490.492665135409</v>
      </c>
      <c r="K144" s="24">
        <f t="shared" si="112"/>
        <v>2643.5896039662939</v>
      </c>
      <c r="L144" s="24">
        <f t="shared" si="99"/>
        <v>6365.9512550018198</v>
      </c>
      <c r="M144" s="24">
        <f t="shared" si="90"/>
        <v>2728.2648235722081</v>
      </c>
      <c r="N144" s="48"/>
      <c r="O144" s="32">
        <f t="shared" si="91"/>
        <v>10082.99055914864</v>
      </c>
      <c r="P144" s="32">
        <f t="shared" si="100"/>
        <v>3457.7222133255796</v>
      </c>
      <c r="Q144" s="32">
        <f t="shared" si="101"/>
        <v>6625.2683458230604</v>
      </c>
      <c r="R144" s="45">
        <f t="shared" si="106"/>
        <v>823228.06285231607</v>
      </c>
      <c r="S144" s="31">
        <f t="shared" si="92"/>
        <v>-6705.0352307304929</v>
      </c>
      <c r="T144" s="32">
        <f t="shared" si="102"/>
        <v>0</v>
      </c>
      <c r="U144" s="32">
        <f t="shared" si="93"/>
        <v>-13330.303576553553</v>
      </c>
      <c r="V144" s="32">
        <v>0</v>
      </c>
      <c r="W144" s="32">
        <f t="shared" si="94"/>
        <v>-4236.0874979795253</v>
      </c>
      <c r="X144" s="32">
        <f t="shared" si="113"/>
        <v>-2358.8120255491567</v>
      </c>
      <c r="Y144" s="102">
        <f t="shared" si="107"/>
        <v>-844173.81564728462</v>
      </c>
      <c r="Z144" s="32">
        <f t="shared" si="108"/>
        <v>-1130647.3176284262</v>
      </c>
      <c r="AA144" s="45">
        <f t="shared" si="109"/>
        <v>-1130647.3176284262</v>
      </c>
      <c r="AB144" s="1"/>
      <c r="AC144" s="40">
        <f t="shared" si="95"/>
        <v>-3247.3130174049129</v>
      </c>
      <c r="AD144" s="40">
        <f t="shared" si="103"/>
        <v>0</v>
      </c>
      <c r="AE144" s="40">
        <f t="shared" si="96"/>
        <v>-3247.3130174049129</v>
      </c>
      <c r="AF144" s="40">
        <f t="shared" si="97"/>
        <v>0</v>
      </c>
      <c r="AG144" s="40">
        <f t="shared" si="98"/>
        <v>5846.9030611691151</v>
      </c>
      <c r="AH144" s="40">
        <f t="shared" si="114"/>
        <v>3255.7744049158791</v>
      </c>
      <c r="AI144" s="106">
        <f t="shared" si="110"/>
        <v>-1322043.4716855153</v>
      </c>
      <c r="AJ144" s="40">
        <f t="shared" si="104"/>
        <v>280971.36065238336</v>
      </c>
      <c r="AK144" s="108">
        <f t="shared" si="105"/>
        <v>-1246856.9405480535</v>
      </c>
    </row>
    <row r="145" spans="6:37">
      <c r="G145" s="1"/>
      <c r="I145">
        <v>9</v>
      </c>
      <c r="J145" s="26">
        <f t="shared" si="111"/>
        <v>7002.7090880336991</v>
      </c>
      <c r="K145" s="24">
        <f t="shared" si="112"/>
        <v>2643.5896039662939</v>
      </c>
      <c r="L145" s="24">
        <f t="shared" si="99"/>
        <v>6365.9512550018198</v>
      </c>
      <c r="M145" s="24">
        <f t="shared" si="90"/>
        <v>2728.2648235722081</v>
      </c>
      <c r="N145" s="48"/>
      <c r="O145" s="32">
        <f t="shared" si="91"/>
        <v>10082.99055914864</v>
      </c>
      <c r="P145" s="32">
        <f t="shared" si="100"/>
        <v>3430.116928551317</v>
      </c>
      <c r="Q145" s="32">
        <f t="shared" si="101"/>
        <v>6652.8736305973234</v>
      </c>
      <c r="R145" s="45">
        <f t="shared" si="106"/>
        <v>816575.1892217187</v>
      </c>
      <c r="S145" s="31">
        <f t="shared" si="92"/>
        <v>-8165.2135230579397</v>
      </c>
      <c r="T145" s="32">
        <f t="shared" si="102"/>
        <v>0</v>
      </c>
      <c r="U145" s="32">
        <f t="shared" si="93"/>
        <v>-14818.087153655262</v>
      </c>
      <c r="V145" s="32">
        <v>0</v>
      </c>
      <c r="W145" s="32">
        <f t="shared" si="94"/>
        <v>-5723.8710750812352</v>
      </c>
      <c r="X145" s="32">
        <f t="shared" si="113"/>
        <v>-3187.2655914294469</v>
      </c>
      <c r="Y145" s="102">
        <f t="shared" si="107"/>
        <v>-847361.08123871405</v>
      </c>
      <c r="Z145" s="32">
        <f t="shared" si="108"/>
        <v>-1136371.1887035074</v>
      </c>
      <c r="AA145" s="45">
        <f t="shared" si="109"/>
        <v>-1136371.1887035074</v>
      </c>
      <c r="AB145" s="1"/>
      <c r="AC145" s="40">
        <f t="shared" si="95"/>
        <v>-4735.0965945066228</v>
      </c>
      <c r="AD145" s="40">
        <f t="shared" si="103"/>
        <v>0</v>
      </c>
      <c r="AE145" s="40">
        <f t="shared" si="96"/>
        <v>-4735.0965945066228</v>
      </c>
      <c r="AF145" s="40">
        <f t="shared" si="97"/>
        <v>0</v>
      </c>
      <c r="AG145" s="40">
        <f t="shared" si="98"/>
        <v>4359.1194840674052</v>
      </c>
      <c r="AH145" s="40">
        <f t="shared" si="114"/>
        <v>2427.320839035589</v>
      </c>
      <c r="AI145" s="106">
        <f t="shared" si="110"/>
        <v>-1319616.1508464797</v>
      </c>
      <c r="AJ145" s="40">
        <f t="shared" si="104"/>
        <v>285330.48013645079</v>
      </c>
      <c r="AK145" s="108">
        <f t="shared" si="105"/>
        <v>-1242497.821063986</v>
      </c>
    </row>
    <row r="146" spans="6:37">
      <c r="G146" s="1"/>
      <c r="I146">
        <v>10</v>
      </c>
      <c r="J146" s="26">
        <f t="shared" si="111"/>
        <v>5094.2955990812452</v>
      </c>
      <c r="K146" s="24">
        <f t="shared" si="112"/>
        <v>2643.5896039662939</v>
      </c>
      <c r="L146" s="24">
        <f t="shared" si="99"/>
        <v>6365.9512550018198</v>
      </c>
      <c r="M146" s="24">
        <f t="shared" si="90"/>
        <v>2728.2648235722081</v>
      </c>
      <c r="N146" s="48"/>
      <c r="O146" s="32">
        <f t="shared" si="91"/>
        <v>10082.99055914864</v>
      </c>
      <c r="P146" s="32">
        <f t="shared" si="100"/>
        <v>3402.396621757161</v>
      </c>
      <c r="Q146" s="32">
        <f t="shared" si="101"/>
        <v>6680.5939373914789</v>
      </c>
      <c r="R146" s="45">
        <f t="shared" si="106"/>
        <v>809894.59528432717</v>
      </c>
      <c r="S146" s="31">
        <f t="shared" si="92"/>
        <v>-10045.906705216237</v>
      </c>
      <c r="T146" s="32">
        <f t="shared" si="102"/>
        <v>0</v>
      </c>
      <c r="U146" s="32">
        <f t="shared" si="93"/>
        <v>-16726.500642607716</v>
      </c>
      <c r="V146" s="32">
        <v>0</v>
      </c>
      <c r="W146" s="32">
        <f t="shared" si="94"/>
        <v>-7632.2845640336891</v>
      </c>
      <c r="X146" s="32">
        <f t="shared" si="113"/>
        <v>-4249.9416314329601</v>
      </c>
      <c r="Y146" s="102">
        <f t="shared" si="107"/>
        <v>-851611.02287014702</v>
      </c>
      <c r="Z146" s="32">
        <f t="shared" si="108"/>
        <v>-1144003.473267541</v>
      </c>
      <c r="AA146" s="45">
        <f t="shared" si="109"/>
        <v>-1144003.473267541</v>
      </c>
      <c r="AB146" s="1"/>
      <c r="AC146" s="40">
        <f t="shared" si="95"/>
        <v>-6643.5100834590767</v>
      </c>
      <c r="AD146" s="40">
        <f t="shared" si="103"/>
        <v>0</v>
      </c>
      <c r="AE146" s="40">
        <f t="shared" si="96"/>
        <v>-6643.5100834590767</v>
      </c>
      <c r="AF146" s="40">
        <f t="shared" si="97"/>
        <v>0</v>
      </c>
      <c r="AG146" s="40">
        <f t="shared" si="98"/>
        <v>2450.7059951149513</v>
      </c>
      <c r="AH146" s="40">
        <f t="shared" si="114"/>
        <v>1364.6447990320762</v>
      </c>
      <c r="AI146" s="106">
        <f t="shared" si="110"/>
        <v>-1318251.5060474477</v>
      </c>
      <c r="AJ146" s="40">
        <f t="shared" si="104"/>
        <v>287781.18613156572</v>
      </c>
      <c r="AK146" s="108">
        <f t="shared" si="105"/>
        <v>-1240047.1150688711</v>
      </c>
    </row>
    <row r="147" spans="6:37">
      <c r="G147" s="1"/>
      <c r="I147">
        <v>11</v>
      </c>
      <c r="J147" s="26">
        <f t="shared" si="111"/>
        <v>2671.7788845334358</v>
      </c>
      <c r="K147" s="24">
        <f t="shared" si="112"/>
        <v>2643.5896039662939</v>
      </c>
      <c r="L147" s="24">
        <f t="shared" si="99"/>
        <v>6365.9512550018198</v>
      </c>
      <c r="M147" s="24">
        <f t="shared" si="90"/>
        <v>2728.2648235722081</v>
      </c>
      <c r="N147" s="48"/>
      <c r="O147" s="32">
        <f t="shared" si="91"/>
        <v>10082.99055914864</v>
      </c>
      <c r="P147" s="32">
        <f t="shared" si="100"/>
        <v>3374.5608136846963</v>
      </c>
      <c r="Q147" s="32">
        <f t="shared" si="101"/>
        <v>6708.4297454639436</v>
      </c>
      <c r="R147" s="45">
        <f t="shared" si="106"/>
        <v>803186.16553886328</v>
      </c>
      <c r="S147" s="31">
        <f t="shared" si="92"/>
        <v>-12440.587611691582</v>
      </c>
      <c r="T147" s="32">
        <f t="shared" si="102"/>
        <v>0</v>
      </c>
      <c r="U147" s="32">
        <f t="shared" si="93"/>
        <v>-19149.017357155528</v>
      </c>
      <c r="V147" s="32">
        <v>0</v>
      </c>
      <c r="W147" s="32">
        <f t="shared" si="94"/>
        <v>-10054.801278581501</v>
      </c>
      <c r="X147" s="32">
        <f t="shared" si="113"/>
        <v>-5598.8895842537468</v>
      </c>
      <c r="Y147" s="102">
        <f t="shared" si="107"/>
        <v>-857209.91245440079</v>
      </c>
      <c r="Z147" s="32">
        <f t="shared" si="108"/>
        <v>-1154058.2745461226</v>
      </c>
      <c r="AA147" s="45">
        <f t="shared" si="109"/>
        <v>-1154058.2745461226</v>
      </c>
      <c r="AB147" s="1"/>
      <c r="AC147" s="40">
        <f t="shared" si="95"/>
        <v>-9066.0267980068857</v>
      </c>
      <c r="AD147" s="40">
        <f t="shared" si="103"/>
        <v>0</v>
      </c>
      <c r="AE147" s="40">
        <f t="shared" si="96"/>
        <v>-9066.0267980068857</v>
      </c>
      <c r="AF147" s="40">
        <f t="shared" si="97"/>
        <v>0</v>
      </c>
      <c r="AG147" s="40">
        <f t="shared" si="98"/>
        <v>28.189280567142305</v>
      </c>
      <c r="AH147" s="40">
        <f t="shared" si="114"/>
        <v>15.696846211290371</v>
      </c>
      <c r="AI147" s="106">
        <f t="shared" si="110"/>
        <v>-1318235.8092012363</v>
      </c>
      <c r="AJ147" s="40">
        <f t="shared" si="104"/>
        <v>287809.37541213288</v>
      </c>
      <c r="AK147" s="108">
        <f t="shared" si="105"/>
        <v>-1240018.9257883038</v>
      </c>
    </row>
    <row r="148" spans="6:37">
      <c r="G148" s="1"/>
      <c r="I148">
        <v>12</v>
      </c>
      <c r="J148" s="26">
        <f t="shared" si="111"/>
        <v>2017.4656883211658</v>
      </c>
      <c r="K148" s="24">
        <f t="shared" si="112"/>
        <v>2643.5896039662939</v>
      </c>
      <c r="L148" s="24">
        <f t="shared" si="99"/>
        <v>6365.9512550018198</v>
      </c>
      <c r="M148" s="24">
        <f t="shared" si="90"/>
        <v>2728.2648235722081</v>
      </c>
      <c r="N148" s="48"/>
      <c r="O148" s="32">
        <f t="shared" si="91"/>
        <v>10082.99055914864</v>
      </c>
      <c r="P148" s="32">
        <f t="shared" si="100"/>
        <v>3346.6090230785971</v>
      </c>
      <c r="Q148" s="32">
        <f t="shared" si="101"/>
        <v>6736.3815360700428</v>
      </c>
      <c r="R148" s="45">
        <f t="shared" si="106"/>
        <v>796449.78400279325</v>
      </c>
      <c r="S148" s="31">
        <f t="shared" si="92"/>
        <v>-13066.949017297755</v>
      </c>
      <c r="T148" s="32">
        <f t="shared" si="102"/>
        <v>0</v>
      </c>
      <c r="U148" s="32">
        <f t="shared" si="93"/>
        <v>-19803.330553367799</v>
      </c>
      <c r="V148" s="32">
        <v>0</v>
      </c>
      <c r="W148" s="32">
        <f t="shared" si="94"/>
        <v>-10709.114474793772</v>
      </c>
      <c r="X148" s="32">
        <f t="shared" si="113"/>
        <v>-5963.2356551120956</v>
      </c>
      <c r="Y148" s="102">
        <f t="shared" si="107"/>
        <v>-863173.14810951287</v>
      </c>
      <c r="Z148" s="32">
        <f t="shared" si="108"/>
        <v>-1164767.3890209163</v>
      </c>
      <c r="AA148" s="45">
        <f t="shared" si="109"/>
        <v>-1164767.3890209163</v>
      </c>
      <c r="AB148" s="1"/>
      <c r="AC148" s="40">
        <f t="shared" si="95"/>
        <v>-9720.3399942191572</v>
      </c>
      <c r="AD148" s="40">
        <f t="shared" si="103"/>
        <v>0</v>
      </c>
      <c r="AE148" s="40">
        <f t="shared" si="96"/>
        <v>-9720.3399942191572</v>
      </c>
      <c r="AF148" s="40">
        <f t="shared" si="97"/>
        <v>0</v>
      </c>
      <c r="AG148" s="40">
        <f t="shared" si="98"/>
        <v>-626.12391564512927</v>
      </c>
      <c r="AH148" s="40">
        <f t="shared" si="114"/>
        <v>-348.64922464705785</v>
      </c>
      <c r="AI148" s="106">
        <f t="shared" si="110"/>
        <v>-1318584.4584258834</v>
      </c>
      <c r="AJ148" s="40">
        <f t="shared" si="104"/>
        <v>287183.25149648776</v>
      </c>
      <c r="AK148" s="108">
        <f t="shared" si="105"/>
        <v>-1240645.0497039489</v>
      </c>
    </row>
    <row r="149" spans="6:37">
      <c r="F149" s="132" t="s">
        <v>88</v>
      </c>
      <c r="G149" s="1">
        <f>SUM(S149:S160)</f>
        <v>-106420.14364125102</v>
      </c>
      <c r="H149">
        <v>2027</v>
      </c>
      <c r="I149">
        <v>1</v>
      </c>
      <c r="J149" s="26">
        <f t="shared" ref="J149:J160" si="115">C23*$C$50*$D$50</f>
        <v>2336.5991603308885</v>
      </c>
      <c r="K149" s="24">
        <f t="shared" ref="K149:K160" si="116">$K$148*$C$8</f>
        <v>2722.897292085283</v>
      </c>
      <c r="L149" s="24">
        <f t="shared" si="99"/>
        <v>6365.9512550018198</v>
      </c>
      <c r="M149" s="24">
        <f t="shared" si="90"/>
        <v>2728.2648235722081</v>
      </c>
      <c r="N149" s="48"/>
      <c r="O149" s="32">
        <f t="shared" si="91"/>
        <v>10082.99055914864</v>
      </c>
      <c r="P149" s="32">
        <f t="shared" si="100"/>
        <v>3318.5407666783053</v>
      </c>
      <c r="Q149" s="32">
        <f t="shared" si="101"/>
        <v>6764.4497924703355</v>
      </c>
      <c r="R149" s="45">
        <f t="shared" si="106"/>
        <v>789685.33421032294</v>
      </c>
      <c r="S149" s="31">
        <f t="shared" si="92"/>
        <v>-12799.054977006728</v>
      </c>
      <c r="T149" s="32">
        <f t="shared" si="102"/>
        <v>0</v>
      </c>
      <c r="U149" s="32">
        <f t="shared" si="93"/>
        <v>-19563.504769477062</v>
      </c>
      <c r="V149" s="32">
        <v>0</v>
      </c>
      <c r="W149" s="32">
        <f t="shared" si="94"/>
        <v>-10469.288690903035</v>
      </c>
      <c r="X149" s="32">
        <f t="shared" ref="X149:X160" si="117">W149/(1+$C$18)^13</f>
        <v>-5552.0873188552068</v>
      </c>
      <c r="Y149" s="102">
        <f t="shared" si="107"/>
        <v>-868725.23542836809</v>
      </c>
      <c r="Z149" s="32">
        <f t="shared" si="108"/>
        <v>-1175236.6777118193</v>
      </c>
      <c r="AA149" s="45">
        <f t="shared" si="109"/>
        <v>-1175236.6777118193</v>
      </c>
      <c r="AB149" s="1"/>
      <c r="AC149" s="40">
        <f t="shared" si="95"/>
        <v>-9480.5142103284234</v>
      </c>
      <c r="AD149" s="40">
        <f t="shared" si="103"/>
        <v>0</v>
      </c>
      <c r="AE149" s="40">
        <f t="shared" si="96"/>
        <v>-9480.5142103284234</v>
      </c>
      <c r="AF149" s="40">
        <f t="shared" si="97"/>
        <v>0</v>
      </c>
      <c r="AG149" s="40">
        <f t="shared" si="98"/>
        <v>-386.2981317543954</v>
      </c>
      <c r="AH149" s="40">
        <f t="shared" ref="AH149:AH160" si="118">AG149/(1+$C$18)^13</f>
        <v>-204.86214698374496</v>
      </c>
      <c r="AI149" s="106">
        <f t="shared" si="110"/>
        <v>-1318789.3205728673</v>
      </c>
      <c r="AJ149" s="40">
        <f t="shared" si="104"/>
        <v>286796.95336473337</v>
      </c>
      <c r="AK149" s="108">
        <f t="shared" si="105"/>
        <v>-1241031.3478357033</v>
      </c>
    </row>
    <row r="150" spans="6:37">
      <c r="F150" s="17" t="s">
        <v>31</v>
      </c>
      <c r="G150">
        <v>13</v>
      </c>
      <c r="I150">
        <v>2</v>
      </c>
      <c r="J150" s="26">
        <f t="shared" si="115"/>
        <v>3632.139288831183</v>
      </c>
      <c r="K150" s="24">
        <f t="shared" si="116"/>
        <v>2722.897292085283</v>
      </c>
      <c r="L150" s="24">
        <f t="shared" si="99"/>
        <v>6365.9512550018198</v>
      </c>
      <c r="M150" s="24">
        <f t="shared" si="90"/>
        <v>2728.2648235722081</v>
      </c>
      <c r="N150" s="48"/>
      <c r="O150" s="32">
        <f t="shared" si="91"/>
        <v>10082.99055914864</v>
      </c>
      <c r="P150" s="32">
        <f t="shared" si="100"/>
        <v>3290.3555592096786</v>
      </c>
      <c r="Q150" s="32">
        <f t="shared" si="101"/>
        <v>6792.6349999389622</v>
      </c>
      <c r="R150" s="45">
        <f t="shared" si="106"/>
        <v>782892.69921038393</v>
      </c>
      <c r="S150" s="31">
        <f t="shared" si="92"/>
        <v>-11475.329641037806</v>
      </c>
      <c r="T150" s="32">
        <f t="shared" si="102"/>
        <v>0</v>
      </c>
      <c r="U150" s="32">
        <f t="shared" si="93"/>
        <v>-18267.964640976767</v>
      </c>
      <c r="V150" s="32">
        <v>0</v>
      </c>
      <c r="W150" s="32">
        <f t="shared" si="94"/>
        <v>-9173.7485624027395</v>
      </c>
      <c r="X150" s="32">
        <f t="shared" si="117"/>
        <v>-4865.0347280937513</v>
      </c>
      <c r="Y150" s="102">
        <f t="shared" si="107"/>
        <v>-873590.27015646186</v>
      </c>
      <c r="Z150" s="32">
        <f t="shared" si="108"/>
        <v>-1184410.4262742221</v>
      </c>
      <c r="AA150" s="45">
        <f t="shared" si="109"/>
        <v>-1184410.4262742221</v>
      </c>
      <c r="AB150" s="1"/>
      <c r="AC150" s="40">
        <f t="shared" si="95"/>
        <v>-8184.974081828128</v>
      </c>
      <c r="AD150" s="40">
        <f t="shared" si="103"/>
        <v>0</v>
      </c>
      <c r="AE150" s="40">
        <f t="shared" si="96"/>
        <v>-8184.974081828128</v>
      </c>
      <c r="AF150" s="40">
        <f t="shared" si="97"/>
        <v>0</v>
      </c>
      <c r="AG150" s="40">
        <f t="shared" si="98"/>
        <v>909.2419967459</v>
      </c>
      <c r="AH150" s="40">
        <f t="shared" si="118"/>
        <v>482.1904437777103</v>
      </c>
      <c r="AI150" s="106">
        <f t="shared" si="110"/>
        <v>-1318307.1301290896</v>
      </c>
      <c r="AJ150" s="40">
        <f t="shared" si="104"/>
        <v>287706.1953614793</v>
      </c>
      <c r="AK150" s="108">
        <f t="shared" si="105"/>
        <v>-1240122.1058389575</v>
      </c>
    </row>
    <row r="151" spans="6:37">
      <c r="F151" s="13" t="s">
        <v>30</v>
      </c>
      <c r="G151" s="1">
        <v>0</v>
      </c>
      <c r="I151">
        <v>3</v>
      </c>
      <c r="J151" s="26">
        <f t="shared" si="115"/>
        <v>6778.4510294747561</v>
      </c>
      <c r="K151" s="24">
        <f t="shared" si="116"/>
        <v>2722.897292085283</v>
      </c>
      <c r="L151" s="24">
        <f t="shared" si="99"/>
        <v>6365.9512550018198</v>
      </c>
      <c r="M151" s="24">
        <f t="shared" si="90"/>
        <v>2728.2648235722081</v>
      </c>
      <c r="N151" s="48"/>
      <c r="O151" s="32">
        <f t="shared" si="91"/>
        <v>10082.99055914864</v>
      </c>
      <c r="P151" s="32">
        <f t="shared" si="100"/>
        <v>3262.0529133765995</v>
      </c>
      <c r="Q151" s="32">
        <f t="shared" si="101"/>
        <v>6820.9376457720409</v>
      </c>
      <c r="R151" s="45">
        <f t="shared" si="106"/>
        <v>776071.76156461192</v>
      </c>
      <c r="S151" s="31">
        <f t="shared" si="92"/>
        <v>-8300.7152545611534</v>
      </c>
      <c r="T151" s="32">
        <f t="shared" si="102"/>
        <v>0</v>
      </c>
      <c r="U151" s="32">
        <f t="shared" si="93"/>
        <v>-15121.652900333196</v>
      </c>
      <c r="V151" s="32">
        <v>0</v>
      </c>
      <c r="W151" s="32">
        <f t="shared" si="94"/>
        <v>-6027.4368217591691</v>
      </c>
      <c r="X151" s="32">
        <f t="shared" si="117"/>
        <v>-3196.4784362445048</v>
      </c>
      <c r="Y151" s="102">
        <f t="shared" si="107"/>
        <v>-876786.7485927064</v>
      </c>
      <c r="Z151" s="32">
        <f t="shared" si="108"/>
        <v>-1190437.8630959813</v>
      </c>
      <c r="AA151" s="45">
        <f t="shared" si="109"/>
        <v>-1190437.8630959813</v>
      </c>
      <c r="AB151" s="1"/>
      <c r="AC151" s="40">
        <f t="shared" si="95"/>
        <v>-5038.6623411845549</v>
      </c>
      <c r="AD151" s="40">
        <f t="shared" si="103"/>
        <v>0</v>
      </c>
      <c r="AE151" s="40">
        <f t="shared" si="96"/>
        <v>-5038.6623411845549</v>
      </c>
      <c r="AF151" s="40">
        <f t="shared" si="97"/>
        <v>0</v>
      </c>
      <c r="AG151" s="40">
        <f t="shared" si="98"/>
        <v>4055.5537373894731</v>
      </c>
      <c r="AH151" s="40">
        <f t="shared" si="118"/>
        <v>2150.7467356269581</v>
      </c>
      <c r="AI151" s="106">
        <f t="shared" si="110"/>
        <v>-1316156.3833934625</v>
      </c>
      <c r="AJ151" s="40">
        <f t="shared" si="104"/>
        <v>291761.74909886875</v>
      </c>
      <c r="AK151" s="108">
        <f t="shared" si="105"/>
        <v>-1236066.5521015681</v>
      </c>
    </row>
    <row r="152" spans="6:37">
      <c r="F152" s="18" t="s">
        <v>39</v>
      </c>
      <c r="G152" s="1">
        <f>G149+G140</f>
        <v>-1194592.5731218541</v>
      </c>
      <c r="I152">
        <v>4</v>
      </c>
      <c r="J152" s="26">
        <f t="shared" si="115"/>
        <v>8714.0496738412676</v>
      </c>
      <c r="K152" s="24">
        <f t="shared" si="116"/>
        <v>2722.897292085283</v>
      </c>
      <c r="L152" s="24">
        <f t="shared" si="99"/>
        <v>6365.9512550018198</v>
      </c>
      <c r="M152" s="24">
        <f t="shared" si="90"/>
        <v>2728.2648235722081</v>
      </c>
      <c r="N152" s="48"/>
      <c r="O152" s="32">
        <f t="shared" si="91"/>
        <v>10082.99055914864</v>
      </c>
      <c r="P152" s="32">
        <f t="shared" si="100"/>
        <v>3233.6323398525496</v>
      </c>
      <c r="Q152" s="32">
        <f t="shared" si="101"/>
        <v>6849.3582192960912</v>
      </c>
      <c r="R152" s="45">
        <f t="shared" si="106"/>
        <v>769222.40334531583</v>
      </c>
      <c r="S152" s="31">
        <f t="shared" si="92"/>
        <v>-6336.6960366705935</v>
      </c>
      <c r="T152" s="32">
        <f t="shared" si="102"/>
        <v>0</v>
      </c>
      <c r="U152" s="32">
        <f t="shared" si="93"/>
        <v>-13186.054255966683</v>
      </c>
      <c r="V152" s="32">
        <v>0</v>
      </c>
      <c r="W152" s="32">
        <f t="shared" si="94"/>
        <v>-4091.8381773926549</v>
      </c>
      <c r="X152" s="32">
        <f t="shared" si="117"/>
        <v>-2169.9891488568537</v>
      </c>
      <c r="Y152" s="102">
        <f t="shared" si="107"/>
        <v>-878956.73774156324</v>
      </c>
      <c r="Z152" s="32">
        <f t="shared" si="108"/>
        <v>-1194529.701273374</v>
      </c>
      <c r="AA152" s="45">
        <f t="shared" si="109"/>
        <v>-1194529.701273374</v>
      </c>
      <c r="AB152" s="1"/>
      <c r="AC152" s="40">
        <f t="shared" si="95"/>
        <v>-3103.0636968180434</v>
      </c>
      <c r="AD152" s="40">
        <f t="shared" si="103"/>
        <v>0</v>
      </c>
      <c r="AE152" s="40">
        <f t="shared" si="96"/>
        <v>-3103.0636968180434</v>
      </c>
      <c r="AF152" s="40">
        <f t="shared" si="97"/>
        <v>0</v>
      </c>
      <c r="AG152" s="40">
        <f t="shared" si="98"/>
        <v>5991.1523817559846</v>
      </c>
      <c r="AH152" s="40">
        <f t="shared" si="118"/>
        <v>3177.2360230146078</v>
      </c>
      <c r="AI152" s="106">
        <f t="shared" si="110"/>
        <v>-1312979.1473704479</v>
      </c>
      <c r="AJ152" s="40">
        <f t="shared" si="104"/>
        <v>297752.90148062474</v>
      </c>
      <c r="AK152" s="108">
        <f t="shared" si="105"/>
        <v>-1230075.3997198122</v>
      </c>
    </row>
    <row r="153" spans="6:37">
      <c r="F153" s="16" t="s">
        <v>90</v>
      </c>
      <c r="G153" s="129">
        <f>$C$60</f>
        <v>0</v>
      </c>
      <c r="I153">
        <v>5</v>
      </c>
      <c r="J153" s="26">
        <f t="shared" si="115"/>
        <v>8945.3961253591769</v>
      </c>
      <c r="K153" s="24">
        <f t="shared" si="116"/>
        <v>2722.897292085283</v>
      </c>
      <c r="L153" s="24">
        <f t="shared" si="99"/>
        <v>6365.9512550018198</v>
      </c>
      <c r="M153" s="24">
        <f t="shared" si="90"/>
        <v>2728.2648235722081</v>
      </c>
      <c r="N153" s="48"/>
      <c r="O153" s="32">
        <f t="shared" si="91"/>
        <v>10082.99055914864</v>
      </c>
      <c r="P153" s="32">
        <f t="shared" si="100"/>
        <v>3205.0933472721495</v>
      </c>
      <c r="Q153" s="32">
        <f t="shared" si="101"/>
        <v>6877.8972118764905</v>
      </c>
      <c r="R153" s="45">
        <f t="shared" si="106"/>
        <v>762344.50613343937</v>
      </c>
      <c r="S153" s="31">
        <f t="shared" si="92"/>
        <v>-6076.810592572283</v>
      </c>
      <c r="T153" s="32">
        <f t="shared" si="102"/>
        <v>0</v>
      </c>
      <c r="U153" s="32">
        <f t="shared" si="93"/>
        <v>-12954.707804448775</v>
      </c>
      <c r="V153" s="32">
        <v>0</v>
      </c>
      <c r="W153" s="32">
        <f t="shared" si="94"/>
        <v>-3860.4917258747473</v>
      </c>
      <c r="X153" s="32">
        <f t="shared" si="117"/>
        <v>-2047.3011862208807</v>
      </c>
      <c r="Y153" s="102">
        <f t="shared" si="107"/>
        <v>-881004.03892778407</v>
      </c>
      <c r="Z153" s="32">
        <f t="shared" si="108"/>
        <v>-1198390.1929992489</v>
      </c>
      <c r="AA153" s="45">
        <f t="shared" si="109"/>
        <v>-1198390.1929992489</v>
      </c>
      <c r="AB153" s="1"/>
      <c r="AC153" s="40">
        <f t="shared" si="95"/>
        <v>-2871.717245300134</v>
      </c>
      <c r="AD153" s="40">
        <f t="shared" si="103"/>
        <v>0</v>
      </c>
      <c r="AE153" s="40">
        <f t="shared" si="96"/>
        <v>-2871.717245300134</v>
      </c>
      <c r="AF153" s="40">
        <f t="shared" si="97"/>
        <v>0</v>
      </c>
      <c r="AG153" s="40">
        <f t="shared" si="98"/>
        <v>6222.498833273894</v>
      </c>
      <c r="AH153" s="40">
        <f t="shared" si="118"/>
        <v>3299.9239856505819</v>
      </c>
      <c r="AI153" s="106">
        <f t="shared" si="110"/>
        <v>-1309679.2233847973</v>
      </c>
      <c r="AJ153" s="40">
        <f t="shared" si="104"/>
        <v>303975.40031389863</v>
      </c>
      <c r="AK153" s="108">
        <f t="shared" si="105"/>
        <v>-1223852.9008865382</v>
      </c>
    </row>
    <row r="154" spans="6:37">
      <c r="G154" s="1"/>
      <c r="I154">
        <v>6</v>
      </c>
      <c r="J154" s="26">
        <f t="shared" si="115"/>
        <v>8945.3961253591769</v>
      </c>
      <c r="K154" s="24">
        <f t="shared" si="116"/>
        <v>2722.897292085283</v>
      </c>
      <c r="L154" s="24">
        <f t="shared" si="99"/>
        <v>6365.9512550018198</v>
      </c>
      <c r="M154" s="24">
        <f t="shared" si="90"/>
        <v>2728.2648235722081</v>
      </c>
      <c r="N154" s="48"/>
      <c r="O154" s="32">
        <f t="shared" si="91"/>
        <v>10082.99055914864</v>
      </c>
      <c r="P154" s="32">
        <f t="shared" si="100"/>
        <v>3176.4354422226638</v>
      </c>
      <c r="Q154" s="32">
        <f t="shared" si="101"/>
        <v>6906.5551169259761</v>
      </c>
      <c r="R154" s="45">
        <f t="shared" si="106"/>
        <v>755437.9510165134</v>
      </c>
      <c r="S154" s="31">
        <f t="shared" si="92"/>
        <v>-6048.1526875227974</v>
      </c>
      <c r="T154" s="32">
        <f t="shared" si="102"/>
        <v>0</v>
      </c>
      <c r="U154" s="32">
        <f t="shared" si="93"/>
        <v>-12954.707804448775</v>
      </c>
      <c r="V154" s="32">
        <v>0</v>
      </c>
      <c r="W154" s="32">
        <f t="shared" si="94"/>
        <v>-3860.4917258747473</v>
      </c>
      <c r="X154" s="32">
        <f t="shared" si="117"/>
        <v>-2047.3011862208807</v>
      </c>
      <c r="Y154" s="102">
        <f t="shared" si="107"/>
        <v>-883051.34011400491</v>
      </c>
      <c r="Z154" s="32">
        <f t="shared" si="108"/>
        <v>-1202250.6847251237</v>
      </c>
      <c r="AA154" s="45">
        <f t="shared" si="109"/>
        <v>-1202250.6847251237</v>
      </c>
      <c r="AB154" s="1"/>
      <c r="AC154" s="40">
        <f t="shared" si="95"/>
        <v>-2871.717245300134</v>
      </c>
      <c r="AD154" s="40">
        <f t="shared" si="103"/>
        <v>0</v>
      </c>
      <c r="AE154" s="40">
        <f t="shared" si="96"/>
        <v>-2871.717245300134</v>
      </c>
      <c r="AF154" s="40">
        <f t="shared" si="97"/>
        <v>0</v>
      </c>
      <c r="AG154" s="40">
        <f t="shared" si="98"/>
        <v>6222.498833273894</v>
      </c>
      <c r="AH154" s="40">
        <f t="shared" si="118"/>
        <v>3299.9239856505819</v>
      </c>
      <c r="AI154" s="106">
        <f t="shared" si="110"/>
        <v>-1306379.2993991468</v>
      </c>
      <c r="AJ154" s="40">
        <f t="shared" si="104"/>
        <v>310197.89914717252</v>
      </c>
      <c r="AK154" s="108">
        <f t="shared" si="105"/>
        <v>-1217630.4020532642</v>
      </c>
    </row>
    <row r="155" spans="6:37">
      <c r="G155" s="1"/>
      <c r="I155">
        <v>7</v>
      </c>
      <c r="J155" s="26">
        <f t="shared" si="115"/>
        <v>8945.3961253591769</v>
      </c>
      <c r="K155" s="24">
        <f t="shared" si="116"/>
        <v>2722.897292085283</v>
      </c>
      <c r="L155" s="24">
        <f t="shared" si="99"/>
        <v>6365.9512550018198</v>
      </c>
      <c r="M155" s="24">
        <f t="shared" si="90"/>
        <v>2728.2648235722081</v>
      </c>
      <c r="N155" s="48"/>
      <c r="O155" s="32">
        <f t="shared" si="91"/>
        <v>10082.99055914864</v>
      </c>
      <c r="P155" s="32">
        <f t="shared" si="100"/>
        <v>3147.6581292354726</v>
      </c>
      <c r="Q155" s="32">
        <f t="shared" si="101"/>
        <v>6935.3324299131673</v>
      </c>
      <c r="R155" s="45">
        <f t="shared" si="106"/>
        <v>748502.61858660018</v>
      </c>
      <c r="S155" s="31">
        <f t="shared" si="92"/>
        <v>-6019.3753745356062</v>
      </c>
      <c r="T155" s="32">
        <f t="shared" si="102"/>
        <v>0</v>
      </c>
      <c r="U155" s="32">
        <f t="shared" si="93"/>
        <v>-12954.707804448775</v>
      </c>
      <c r="V155" s="32">
        <v>0</v>
      </c>
      <c r="W155" s="32">
        <f t="shared" si="94"/>
        <v>-3860.4917258747473</v>
      </c>
      <c r="X155" s="32">
        <f t="shared" si="117"/>
        <v>-2047.3011862208807</v>
      </c>
      <c r="Y155" s="102">
        <f t="shared" si="107"/>
        <v>-885098.64130022575</v>
      </c>
      <c r="Z155" s="32">
        <f t="shared" si="108"/>
        <v>-1206111.1764509985</v>
      </c>
      <c r="AA155" s="45">
        <f t="shared" si="109"/>
        <v>-1206111.1764509985</v>
      </c>
      <c r="AB155" s="1"/>
      <c r="AC155" s="40">
        <f t="shared" si="95"/>
        <v>-2871.717245300134</v>
      </c>
      <c r="AD155" s="40">
        <f t="shared" si="103"/>
        <v>0</v>
      </c>
      <c r="AE155" s="40">
        <f t="shared" si="96"/>
        <v>-2871.717245300134</v>
      </c>
      <c r="AF155" s="40">
        <f t="shared" si="97"/>
        <v>0</v>
      </c>
      <c r="AG155" s="40">
        <f t="shared" si="98"/>
        <v>6222.498833273894</v>
      </c>
      <c r="AH155" s="40">
        <f t="shared" si="118"/>
        <v>3299.9239856505819</v>
      </c>
      <c r="AI155" s="106">
        <f t="shared" si="110"/>
        <v>-1303079.3754134963</v>
      </c>
      <c r="AJ155" s="40">
        <f t="shared" si="104"/>
        <v>316420.3979804464</v>
      </c>
      <c r="AK155" s="108">
        <f t="shared" si="105"/>
        <v>-1211407.9032199902</v>
      </c>
    </row>
    <row r="156" spans="6:37">
      <c r="G156" s="1"/>
      <c r="I156">
        <v>8</v>
      </c>
      <c r="J156" s="26">
        <f t="shared" si="115"/>
        <v>8405.5877384840551</v>
      </c>
      <c r="K156" s="24">
        <f t="shared" si="116"/>
        <v>2722.897292085283</v>
      </c>
      <c r="L156" s="24">
        <f t="shared" si="99"/>
        <v>6365.9512550018198</v>
      </c>
      <c r="M156" s="24">
        <f t="shared" si="90"/>
        <v>2728.2648235722081</v>
      </c>
      <c r="N156" s="48"/>
      <c r="O156" s="32">
        <f t="shared" si="91"/>
        <v>10082.99055914864</v>
      </c>
      <c r="P156" s="32">
        <f t="shared" si="100"/>
        <v>3118.7609107775006</v>
      </c>
      <c r="Q156" s="32">
        <f t="shared" si="101"/>
        <v>6964.2296483711398</v>
      </c>
      <c r="R156" s="45">
        <f t="shared" si="106"/>
        <v>741538.38893822907</v>
      </c>
      <c r="S156" s="31">
        <f t="shared" si="92"/>
        <v>-6530.2865429527565</v>
      </c>
      <c r="T156" s="32">
        <f t="shared" si="102"/>
        <v>0</v>
      </c>
      <c r="U156" s="32">
        <f t="shared" si="93"/>
        <v>-13494.516191323895</v>
      </c>
      <c r="V156" s="32">
        <v>0</v>
      </c>
      <c r="W156" s="32">
        <f t="shared" si="94"/>
        <v>-4400.3001127498674</v>
      </c>
      <c r="X156" s="32">
        <f t="shared" si="117"/>
        <v>-2333.5730990381521</v>
      </c>
      <c r="Y156" s="102">
        <f t="shared" si="107"/>
        <v>-887432.21439926384</v>
      </c>
      <c r="Z156" s="32">
        <f t="shared" si="108"/>
        <v>-1210511.4765637484</v>
      </c>
      <c r="AA156" s="45">
        <f t="shared" si="109"/>
        <v>-1210511.4765637484</v>
      </c>
      <c r="AB156" s="1"/>
      <c r="AC156" s="40">
        <f t="shared" si="95"/>
        <v>-3411.5256321752559</v>
      </c>
      <c r="AD156" s="40">
        <f t="shared" si="103"/>
        <v>0</v>
      </c>
      <c r="AE156" s="40">
        <f t="shared" si="96"/>
        <v>-3411.5256321752559</v>
      </c>
      <c r="AF156" s="40">
        <f t="shared" si="97"/>
        <v>0</v>
      </c>
      <c r="AG156" s="40">
        <f t="shared" si="98"/>
        <v>5682.6904463987721</v>
      </c>
      <c r="AH156" s="40">
        <f t="shared" si="118"/>
        <v>3013.6520728333094</v>
      </c>
      <c r="AI156" s="106">
        <f t="shared" si="110"/>
        <v>-1300065.7233406629</v>
      </c>
      <c r="AJ156" s="40">
        <f t="shared" si="104"/>
        <v>322103.08842684515</v>
      </c>
      <c r="AK156" s="108">
        <f t="shared" si="105"/>
        <v>-1205725.2127735915</v>
      </c>
    </row>
    <row r="157" spans="6:37">
      <c r="G157" s="1"/>
      <c r="I157">
        <v>9</v>
      </c>
      <c r="J157" s="26">
        <f t="shared" si="115"/>
        <v>6932.6819971533623</v>
      </c>
      <c r="K157" s="24">
        <f t="shared" si="116"/>
        <v>2722.897292085283</v>
      </c>
      <c r="L157" s="24">
        <f t="shared" si="99"/>
        <v>6365.9512550018198</v>
      </c>
      <c r="M157" s="24">
        <f t="shared" si="90"/>
        <v>2728.2648235722081</v>
      </c>
      <c r="N157" s="48"/>
      <c r="O157" s="32">
        <f t="shared" si="91"/>
        <v>10082.99055914864</v>
      </c>
      <c r="P157" s="32">
        <f t="shared" si="100"/>
        <v>3089.7432872426211</v>
      </c>
      <c r="Q157" s="32">
        <f t="shared" si="101"/>
        <v>6993.2472719060188</v>
      </c>
      <c r="R157" s="45">
        <f t="shared" si="106"/>
        <v>734545.14166632306</v>
      </c>
      <c r="S157" s="31">
        <f t="shared" si="92"/>
        <v>-7974.1746607485693</v>
      </c>
      <c r="T157" s="32">
        <f t="shared" si="102"/>
        <v>0</v>
      </c>
      <c r="U157" s="32">
        <f t="shared" si="93"/>
        <v>-14967.42193265459</v>
      </c>
      <c r="V157" s="32">
        <v>0</v>
      </c>
      <c r="W157" s="32">
        <f t="shared" si="94"/>
        <v>-5873.2058540805629</v>
      </c>
      <c r="X157" s="32">
        <f t="shared" si="117"/>
        <v>-3114.6864611538554</v>
      </c>
      <c r="Y157" s="102">
        <f t="shared" si="107"/>
        <v>-890546.90086041775</v>
      </c>
      <c r="Z157" s="32">
        <f t="shared" si="108"/>
        <v>-1216384.6824178291</v>
      </c>
      <c r="AA157" s="45">
        <f t="shared" si="109"/>
        <v>-1216384.6824178291</v>
      </c>
      <c r="AB157" s="1"/>
      <c r="AC157" s="40">
        <f t="shared" si="95"/>
        <v>-4884.4313735059486</v>
      </c>
      <c r="AD157" s="40">
        <f t="shared" si="103"/>
        <v>0</v>
      </c>
      <c r="AE157" s="40">
        <f t="shared" si="96"/>
        <v>-4884.4313735059486</v>
      </c>
      <c r="AF157" s="40">
        <f t="shared" si="97"/>
        <v>0</v>
      </c>
      <c r="AG157" s="40">
        <f t="shared" si="98"/>
        <v>4209.7847050680793</v>
      </c>
      <c r="AH157" s="40">
        <f t="shared" si="118"/>
        <v>2232.5387107176075</v>
      </c>
      <c r="AI157" s="106">
        <f t="shared" si="110"/>
        <v>-1297833.1846299453</v>
      </c>
      <c r="AJ157" s="40">
        <f t="shared" si="104"/>
        <v>326312.87313191325</v>
      </c>
      <c r="AK157" s="108">
        <f t="shared" si="105"/>
        <v>-1201515.4280685235</v>
      </c>
    </row>
    <row r="158" spans="6:37">
      <c r="G158" s="1"/>
      <c r="I158">
        <v>10</v>
      </c>
      <c r="J158" s="26">
        <f t="shared" si="115"/>
        <v>5043.3526430904321</v>
      </c>
      <c r="K158" s="24">
        <f t="shared" si="116"/>
        <v>2722.897292085283</v>
      </c>
      <c r="L158" s="24">
        <f t="shared" si="99"/>
        <v>6365.9512550018198</v>
      </c>
      <c r="M158" s="24">
        <f t="shared" si="90"/>
        <v>2728.2648235722081</v>
      </c>
      <c r="N158" s="48"/>
      <c r="O158" s="32">
        <f t="shared" si="91"/>
        <v>10082.99055914864</v>
      </c>
      <c r="P158" s="32">
        <f t="shared" si="100"/>
        <v>3060.6047569430129</v>
      </c>
      <c r="Q158" s="32">
        <f t="shared" si="101"/>
        <v>7022.3858022056274</v>
      </c>
      <c r="R158" s="45">
        <f t="shared" si="106"/>
        <v>727522.75586411741</v>
      </c>
      <c r="S158" s="31">
        <f t="shared" si="92"/>
        <v>-9834.3654845118908</v>
      </c>
      <c r="T158" s="32">
        <f t="shared" si="102"/>
        <v>0</v>
      </c>
      <c r="U158" s="32">
        <f t="shared" si="93"/>
        <v>-16856.751286717517</v>
      </c>
      <c r="V158" s="32">
        <v>0</v>
      </c>
      <c r="W158" s="32">
        <f t="shared" si="94"/>
        <v>-7762.5352081434903</v>
      </c>
      <c r="X158" s="32">
        <f t="shared" si="117"/>
        <v>-4116.6381560143091</v>
      </c>
      <c r="Y158" s="102">
        <f t="shared" si="107"/>
        <v>-894663.53901643201</v>
      </c>
      <c r="Z158" s="32">
        <f t="shared" si="108"/>
        <v>-1224147.2176259726</v>
      </c>
      <c r="AA158" s="45">
        <f t="shared" si="109"/>
        <v>-1224147.2176259726</v>
      </c>
      <c r="AB158" s="1"/>
      <c r="AC158" s="40">
        <f t="shared" si="95"/>
        <v>-6773.7607275688788</v>
      </c>
      <c r="AD158" s="40">
        <f t="shared" si="103"/>
        <v>0</v>
      </c>
      <c r="AE158" s="40">
        <f t="shared" si="96"/>
        <v>-6773.7607275688788</v>
      </c>
      <c r="AF158" s="40">
        <f t="shared" si="97"/>
        <v>0</v>
      </c>
      <c r="AG158" s="40">
        <f t="shared" si="98"/>
        <v>2320.4553510051492</v>
      </c>
      <c r="AH158" s="40">
        <f t="shared" si="118"/>
        <v>1230.587015857152</v>
      </c>
      <c r="AI158" s="106">
        <f t="shared" si="110"/>
        <v>-1296602.5976140881</v>
      </c>
      <c r="AJ158" s="40">
        <f t="shared" si="104"/>
        <v>328633.32848291838</v>
      </c>
      <c r="AK158" s="108">
        <f t="shared" si="105"/>
        <v>-1199194.9727175185</v>
      </c>
    </row>
    <row r="159" spans="6:37">
      <c r="G159" s="1"/>
      <c r="I159">
        <v>11</v>
      </c>
      <c r="J159" s="26">
        <f t="shared" si="115"/>
        <v>2645.0610956881014</v>
      </c>
      <c r="K159" s="24">
        <f t="shared" si="116"/>
        <v>2722.897292085283</v>
      </c>
      <c r="L159" s="24">
        <f t="shared" si="99"/>
        <v>6365.9512550018198</v>
      </c>
      <c r="M159" s="24">
        <f t="shared" si="90"/>
        <v>2728.2648235722081</v>
      </c>
      <c r="N159" s="48"/>
      <c r="O159" s="32">
        <f t="shared" si="91"/>
        <v>10082.99055914864</v>
      </c>
      <c r="P159" s="32">
        <f t="shared" si="100"/>
        <v>3031.344816100489</v>
      </c>
      <c r="Q159" s="32">
        <f t="shared" si="101"/>
        <v>7051.6457430481514</v>
      </c>
      <c r="R159" s="45">
        <f t="shared" si="106"/>
        <v>720471.11012106924</v>
      </c>
      <c r="S159" s="31">
        <f t="shared" si="92"/>
        <v>-12203.397091071698</v>
      </c>
      <c r="T159" s="32">
        <f t="shared" si="102"/>
        <v>0</v>
      </c>
      <c r="U159" s="32">
        <f t="shared" si="93"/>
        <v>-19255.042834119849</v>
      </c>
      <c r="V159" s="32">
        <v>0</v>
      </c>
      <c r="W159" s="32">
        <f t="shared" si="94"/>
        <v>-10160.826755545822</v>
      </c>
      <c r="X159" s="32">
        <f t="shared" si="117"/>
        <v>-5388.503368673908</v>
      </c>
      <c r="Y159" s="102">
        <f t="shared" si="107"/>
        <v>-900052.04238510597</v>
      </c>
      <c r="Z159" s="32">
        <f t="shared" si="108"/>
        <v>-1234308.0443815184</v>
      </c>
      <c r="AA159" s="45">
        <f t="shared" si="109"/>
        <v>-1234308.0443815184</v>
      </c>
      <c r="AB159" s="1"/>
      <c r="AC159" s="40">
        <f t="shared" si="95"/>
        <v>-9172.052274971209</v>
      </c>
      <c r="AD159" s="40">
        <f t="shared" si="103"/>
        <v>0</v>
      </c>
      <c r="AE159" s="40">
        <f t="shared" si="96"/>
        <v>-9172.052274971209</v>
      </c>
      <c r="AF159" s="40">
        <f t="shared" si="97"/>
        <v>0</v>
      </c>
      <c r="AG159" s="40">
        <f t="shared" si="98"/>
        <v>-77.836196397181084</v>
      </c>
      <c r="AH159" s="40">
        <f t="shared" si="118"/>
        <v>-41.278196802445493</v>
      </c>
      <c r="AI159" s="106">
        <f t="shared" si="110"/>
        <v>-1296643.8758108905</v>
      </c>
      <c r="AJ159" s="40">
        <f t="shared" si="104"/>
        <v>328555.49228652118</v>
      </c>
      <c r="AK159" s="108">
        <f t="shared" si="105"/>
        <v>-1199272.8089139157</v>
      </c>
    </row>
    <row r="160" spans="6:37">
      <c r="G160" s="1"/>
      <c r="I160">
        <v>12</v>
      </c>
      <c r="J160" s="26">
        <f t="shared" si="115"/>
        <v>1997.291031437954</v>
      </c>
      <c r="K160" s="24">
        <f t="shared" si="116"/>
        <v>2722.897292085283</v>
      </c>
      <c r="L160" s="24">
        <f t="shared" si="99"/>
        <v>6365.9512550018198</v>
      </c>
      <c r="M160" s="24">
        <f t="shared" si="90"/>
        <v>2728.2648235722081</v>
      </c>
      <c r="N160" s="48"/>
      <c r="O160" s="32">
        <f t="shared" si="91"/>
        <v>10082.99055914864</v>
      </c>
      <c r="P160" s="32">
        <f t="shared" si="100"/>
        <v>3001.9629588377884</v>
      </c>
      <c r="Q160" s="32">
        <f t="shared" si="101"/>
        <v>7081.027600310852</v>
      </c>
      <c r="R160" s="45">
        <f t="shared" si="106"/>
        <v>713390.08252075838</v>
      </c>
      <c r="S160" s="31">
        <f t="shared" si="92"/>
        <v>-12821.785298059145</v>
      </c>
      <c r="T160" s="32">
        <f t="shared" si="102"/>
        <v>0</v>
      </c>
      <c r="U160" s="32">
        <f t="shared" si="93"/>
        <v>-19902.812898369997</v>
      </c>
      <c r="V160" s="32">
        <v>0</v>
      </c>
      <c r="W160" s="32">
        <f t="shared" si="94"/>
        <v>-10808.59681979597</v>
      </c>
      <c r="X160" s="32">
        <f t="shared" si="117"/>
        <v>-5732.0296640546358</v>
      </c>
      <c r="Y160" s="102">
        <f t="shared" si="107"/>
        <v>-905784.0720491606</v>
      </c>
      <c r="Z160" s="32">
        <f t="shared" si="108"/>
        <v>-1245116.6412013143</v>
      </c>
      <c r="AA160" s="45">
        <f t="shared" si="109"/>
        <v>-1245116.6412013143</v>
      </c>
      <c r="AB160" s="1"/>
      <c r="AC160" s="40">
        <f t="shared" si="95"/>
        <v>-9819.8223392213567</v>
      </c>
      <c r="AD160" s="40">
        <f t="shared" si="103"/>
        <v>0</v>
      </c>
      <c r="AE160" s="40">
        <f t="shared" si="96"/>
        <v>-9819.8223392213567</v>
      </c>
      <c r="AF160" s="40">
        <f t="shared" si="97"/>
        <v>0</v>
      </c>
      <c r="AG160" s="40">
        <f t="shared" si="98"/>
        <v>-725.60626064732878</v>
      </c>
      <c r="AH160" s="40">
        <f t="shared" si="118"/>
        <v>-384.80449218317312</v>
      </c>
      <c r="AI160" s="106">
        <f t="shared" si="110"/>
        <v>-1297028.6803030737</v>
      </c>
      <c r="AJ160" s="40">
        <f t="shared" si="104"/>
        <v>327829.88602587383</v>
      </c>
      <c r="AK160" s="108">
        <f t="shared" si="105"/>
        <v>-1199998.4151745629</v>
      </c>
    </row>
    <row r="161" spans="6:37">
      <c r="F161" s="132" t="s">
        <v>88</v>
      </c>
      <c r="G161" s="1">
        <f>SUM(S161:S172)</f>
        <v>-103884.10872143471</v>
      </c>
      <c r="H161">
        <v>2028</v>
      </c>
      <c r="I161">
        <v>1</v>
      </c>
      <c r="J161" s="26">
        <f t="shared" ref="J161:J172" si="119">C23*$C$51*$D$51</f>
        <v>2313.2331687275796</v>
      </c>
      <c r="K161" s="24">
        <f t="shared" ref="K161:K172" si="120">$K$160*$C$8</f>
        <v>2804.5842108478414</v>
      </c>
      <c r="L161" s="24">
        <f t="shared" si="99"/>
        <v>6365.9512550018198</v>
      </c>
      <c r="M161" s="24">
        <f t="shared" si="90"/>
        <v>2728.2648235722081</v>
      </c>
      <c r="N161" s="48"/>
      <c r="O161" s="32">
        <f t="shared" si="91"/>
        <v>10082.99055914864</v>
      </c>
      <c r="P161" s="32">
        <f t="shared" si="100"/>
        <v>2972.4586771698264</v>
      </c>
      <c r="Q161" s="32">
        <f t="shared" si="101"/>
        <v>7110.5318819788135</v>
      </c>
      <c r="R161" s="45">
        <f t="shared" si="106"/>
        <v>706279.55063877953</v>
      </c>
      <c r="S161" s="31">
        <f t="shared" si="92"/>
        <v>-12558.025797864117</v>
      </c>
      <c r="T161" s="32">
        <f t="shared" si="102"/>
        <v>0</v>
      </c>
      <c r="U161" s="32">
        <f t="shared" si="93"/>
        <v>-19668.557679842932</v>
      </c>
      <c r="V161" s="32">
        <v>0</v>
      </c>
      <c r="W161" s="32">
        <f t="shared" si="94"/>
        <v>-10574.341601268905</v>
      </c>
      <c r="X161" s="32">
        <f t="shared" ref="X161:X172" si="121">W161/(1+$C$18)^14</f>
        <v>-5340.7610668282432</v>
      </c>
      <c r="Y161" s="102">
        <f t="shared" si="107"/>
        <v>-911124.83311598888</v>
      </c>
      <c r="Z161" s="32">
        <f t="shared" si="108"/>
        <v>-1255690.9828025831</v>
      </c>
      <c r="AA161" s="45">
        <f t="shared" si="109"/>
        <v>-1255690.9828025831</v>
      </c>
      <c r="AB161" s="1"/>
      <c r="AC161" s="40">
        <f t="shared" si="95"/>
        <v>-9585.5671206942898</v>
      </c>
      <c r="AD161" s="40">
        <f t="shared" si="103"/>
        <v>0</v>
      </c>
      <c r="AE161" s="40">
        <f t="shared" si="96"/>
        <v>-9585.5671206942898</v>
      </c>
      <c r="AF161" s="40">
        <f t="shared" si="97"/>
        <v>0</v>
      </c>
      <c r="AG161" s="40">
        <f t="shared" si="98"/>
        <v>-491.35104212026181</v>
      </c>
      <c r="AH161" s="40">
        <f t="shared" ref="AH161:AH172" si="122">AG161/(1+$C$18)^14</f>
        <v>-248.16566504589559</v>
      </c>
      <c r="AI161" s="106">
        <f t="shared" si="110"/>
        <v>-1297276.8459681196</v>
      </c>
      <c r="AJ161" s="40">
        <f t="shared" si="104"/>
        <v>327338.53498375358</v>
      </c>
      <c r="AK161" s="108">
        <f t="shared" si="105"/>
        <v>-1200489.7662166832</v>
      </c>
    </row>
    <row r="162" spans="6:37">
      <c r="F162" s="17" t="s">
        <v>31</v>
      </c>
      <c r="G162">
        <v>14</v>
      </c>
      <c r="I162">
        <v>2</v>
      </c>
      <c r="J162" s="26">
        <f t="shared" si="119"/>
        <v>3595.817895942871</v>
      </c>
      <c r="K162" s="24">
        <f t="shared" si="120"/>
        <v>2804.5842108478414</v>
      </c>
      <c r="L162" s="24">
        <f t="shared" si="99"/>
        <v>6365.9512550018198</v>
      </c>
      <c r="M162" s="24">
        <f t="shared" si="90"/>
        <v>2728.2648235722081</v>
      </c>
      <c r="N162" s="48"/>
      <c r="O162" s="32">
        <f t="shared" si="91"/>
        <v>10082.99055914864</v>
      </c>
      <c r="P162" s="32">
        <f t="shared" si="100"/>
        <v>2942.8314609949148</v>
      </c>
      <c r="Q162" s="32">
        <f t="shared" si="101"/>
        <v>7140.1590981537256</v>
      </c>
      <c r="R162" s="45">
        <f t="shared" si="106"/>
        <v>699139.39154062583</v>
      </c>
      <c r="S162" s="31">
        <f t="shared" si="92"/>
        <v>-11245.813854473912</v>
      </c>
      <c r="T162" s="32">
        <f t="shared" si="102"/>
        <v>0</v>
      </c>
      <c r="U162" s="32">
        <f t="shared" si="93"/>
        <v>-18385.972952627639</v>
      </c>
      <c r="V162" s="32">
        <v>0</v>
      </c>
      <c r="W162" s="32">
        <f t="shared" si="94"/>
        <v>-9291.7568740536117</v>
      </c>
      <c r="X162" s="32">
        <f t="shared" si="121"/>
        <v>-4692.9686241102991</v>
      </c>
      <c r="Y162" s="102">
        <f t="shared" si="107"/>
        <v>-915817.80174009921</v>
      </c>
      <c r="Z162" s="32">
        <f t="shared" si="108"/>
        <v>-1264982.7396766366</v>
      </c>
      <c r="AA162" s="45">
        <f t="shared" si="109"/>
        <v>-1264982.7396766366</v>
      </c>
      <c r="AB162" s="1"/>
      <c r="AC162" s="40">
        <f t="shared" si="95"/>
        <v>-8302.9823934789983</v>
      </c>
      <c r="AD162" s="40">
        <f t="shared" si="103"/>
        <v>0</v>
      </c>
      <c r="AE162" s="40">
        <f t="shared" si="96"/>
        <v>-8302.9823934789983</v>
      </c>
      <c r="AF162" s="40">
        <f t="shared" si="97"/>
        <v>0</v>
      </c>
      <c r="AG162" s="40">
        <f t="shared" si="98"/>
        <v>791.23368509502961</v>
      </c>
      <c r="AH162" s="40">
        <f t="shared" si="122"/>
        <v>399.62677767204758</v>
      </c>
      <c r="AI162" s="106">
        <f t="shared" si="110"/>
        <v>-1296877.2191904476</v>
      </c>
      <c r="AJ162" s="40">
        <f t="shared" si="104"/>
        <v>328129.76866884861</v>
      </c>
      <c r="AK162" s="108">
        <f t="shared" si="105"/>
        <v>-1199698.5325315881</v>
      </c>
    </row>
    <row r="163" spans="6:37">
      <c r="F163" s="13" t="s">
        <v>30</v>
      </c>
      <c r="G163" s="1">
        <v>0</v>
      </c>
      <c r="I163">
        <v>3</v>
      </c>
      <c r="J163" s="26">
        <f t="shared" si="119"/>
        <v>6710.6665191800084</v>
      </c>
      <c r="K163" s="24">
        <f t="shared" si="120"/>
        <v>2804.5842108478414</v>
      </c>
      <c r="L163" s="24">
        <f t="shared" si="99"/>
        <v>6365.9512550018198</v>
      </c>
      <c r="M163" s="24">
        <f t="shared" si="90"/>
        <v>2728.2648235722081</v>
      </c>
      <c r="N163" s="48"/>
      <c r="O163" s="32">
        <f t="shared" si="91"/>
        <v>10082.99055914864</v>
      </c>
      <c r="P163" s="32">
        <f t="shared" si="100"/>
        <v>2913.0807980859408</v>
      </c>
      <c r="Q163" s="32">
        <f t="shared" si="101"/>
        <v>7169.9097610626995</v>
      </c>
      <c r="R163" s="45">
        <f t="shared" si="106"/>
        <v>691969.48177956312</v>
      </c>
      <c r="S163" s="31">
        <f t="shared" si="92"/>
        <v>-8101.2145683278013</v>
      </c>
      <c r="T163" s="32">
        <f t="shared" si="102"/>
        <v>0</v>
      </c>
      <c r="U163" s="32">
        <f t="shared" si="93"/>
        <v>-15271.124329390501</v>
      </c>
      <c r="V163" s="32">
        <v>0</v>
      </c>
      <c r="W163" s="32">
        <f t="shared" si="94"/>
        <v>-6176.908250816472</v>
      </c>
      <c r="X163" s="32">
        <f t="shared" si="121"/>
        <v>-3119.7584060810063</v>
      </c>
      <c r="Y163" s="102">
        <f t="shared" si="107"/>
        <v>-918937.56014618021</v>
      </c>
      <c r="Z163" s="32">
        <f t="shared" si="108"/>
        <v>-1271159.647927453</v>
      </c>
      <c r="AA163" s="45">
        <f t="shared" si="109"/>
        <v>-1271159.647927453</v>
      </c>
      <c r="AB163" s="1"/>
      <c r="AC163" s="40">
        <f t="shared" si="95"/>
        <v>-5188.1337702418605</v>
      </c>
      <c r="AD163" s="40">
        <f t="shared" si="103"/>
        <v>0</v>
      </c>
      <c r="AE163" s="40">
        <f t="shared" si="96"/>
        <v>-5188.1337702418605</v>
      </c>
      <c r="AF163" s="40">
        <f t="shared" si="97"/>
        <v>0</v>
      </c>
      <c r="AG163" s="40">
        <f t="shared" si="98"/>
        <v>3906.0823083321675</v>
      </c>
      <c r="AH163" s="40">
        <f t="shared" si="122"/>
        <v>1972.836995701339</v>
      </c>
      <c r="AI163" s="106">
        <f t="shared" si="110"/>
        <v>-1294904.3821947463</v>
      </c>
      <c r="AJ163" s="40">
        <f t="shared" si="104"/>
        <v>332035.85097718076</v>
      </c>
      <c r="AK163" s="108">
        <f t="shared" si="105"/>
        <v>-1195792.4502232559</v>
      </c>
    </row>
    <row r="164" spans="6:37">
      <c r="F164" s="18" t="s">
        <v>39</v>
      </c>
      <c r="G164" s="1">
        <f>G161+G152</f>
        <v>-1298476.6818432887</v>
      </c>
      <c r="I164">
        <v>4</v>
      </c>
      <c r="J164" s="26">
        <f t="shared" si="119"/>
        <v>8626.9091771028543</v>
      </c>
      <c r="K164" s="24">
        <f t="shared" si="120"/>
        <v>2804.5842108478414</v>
      </c>
      <c r="L164" s="24">
        <f t="shared" si="99"/>
        <v>6365.9512550018198</v>
      </c>
      <c r="M164" s="24">
        <f t="shared" si="90"/>
        <v>2728.2648235722081</v>
      </c>
      <c r="N164" s="48"/>
      <c r="O164" s="32">
        <f t="shared" si="91"/>
        <v>10082.99055914864</v>
      </c>
      <c r="P164" s="32">
        <f t="shared" si="100"/>
        <v>2883.2061740815129</v>
      </c>
      <c r="Q164" s="32">
        <f t="shared" si="101"/>
        <v>7199.784385067127</v>
      </c>
      <c r="R164" s="45">
        <f t="shared" si="106"/>
        <v>684769.69739449595</v>
      </c>
      <c r="S164" s="31">
        <f t="shared" si="92"/>
        <v>-6155.0972864005271</v>
      </c>
      <c r="T164" s="32">
        <f t="shared" si="102"/>
        <v>0</v>
      </c>
      <c r="U164" s="32">
        <f t="shared" si="93"/>
        <v>-13354.881671467654</v>
      </c>
      <c r="V164" s="32">
        <v>0</v>
      </c>
      <c r="W164" s="32">
        <f t="shared" si="94"/>
        <v>-4260.6655928936261</v>
      </c>
      <c r="X164" s="32">
        <f t="shared" si="121"/>
        <v>-2151.9256494012225</v>
      </c>
      <c r="Y164" s="102">
        <f t="shared" si="107"/>
        <v>-921089.48579558148</v>
      </c>
      <c r="Z164" s="32">
        <f t="shared" si="108"/>
        <v>-1275420.3135203468</v>
      </c>
      <c r="AA164" s="45">
        <f t="shared" si="109"/>
        <v>-1275420.3135203468</v>
      </c>
      <c r="AB164" s="1"/>
      <c r="AC164" s="40">
        <f t="shared" si="95"/>
        <v>-3271.8911123190146</v>
      </c>
      <c r="AD164" s="40">
        <f t="shared" si="103"/>
        <v>0</v>
      </c>
      <c r="AE164" s="40">
        <f t="shared" si="96"/>
        <v>-3271.8911123190146</v>
      </c>
      <c r="AF164" s="40">
        <f t="shared" si="97"/>
        <v>0</v>
      </c>
      <c r="AG164" s="40">
        <f t="shared" si="98"/>
        <v>5822.3249662550134</v>
      </c>
      <c r="AH164" s="40">
        <f t="shared" si="122"/>
        <v>2940.6697523811231</v>
      </c>
      <c r="AI164" s="106">
        <f t="shared" si="110"/>
        <v>-1291963.7124423652</v>
      </c>
      <c r="AJ164" s="40">
        <f t="shared" si="104"/>
        <v>337858.17594343575</v>
      </c>
      <c r="AK164" s="108">
        <f t="shared" si="105"/>
        <v>-1189970.1252570008</v>
      </c>
    </row>
    <row r="165" spans="6:37">
      <c r="F165" s="16" t="s">
        <v>90</v>
      </c>
      <c r="G165" s="129">
        <f>$C$60</f>
        <v>0</v>
      </c>
      <c r="I165">
        <v>5</v>
      </c>
      <c r="J165" s="26">
        <f t="shared" si="119"/>
        <v>8855.9421641055851</v>
      </c>
      <c r="K165" s="24">
        <f t="shared" si="120"/>
        <v>2804.5842108478414</v>
      </c>
      <c r="L165" s="24">
        <f t="shared" si="99"/>
        <v>6365.9512550018198</v>
      </c>
      <c r="M165" s="24">
        <f t="shared" si="90"/>
        <v>2728.2648235722081</v>
      </c>
      <c r="N165" s="48"/>
      <c r="O165" s="32">
        <f t="shared" si="91"/>
        <v>10082.99055914864</v>
      </c>
      <c r="P165" s="32">
        <f t="shared" si="100"/>
        <v>2853.2070724770665</v>
      </c>
      <c r="Q165" s="32">
        <f t="shared" si="101"/>
        <v>7229.7834866715739</v>
      </c>
      <c r="R165" s="45">
        <f t="shared" si="106"/>
        <v>677539.91390782432</v>
      </c>
      <c r="S165" s="31">
        <f t="shared" si="92"/>
        <v>-5896.0651977933503</v>
      </c>
      <c r="T165" s="32">
        <f t="shared" si="102"/>
        <v>0</v>
      </c>
      <c r="U165" s="32">
        <f t="shared" si="93"/>
        <v>-13125.848684464923</v>
      </c>
      <c r="V165" s="32">
        <v>0</v>
      </c>
      <c r="W165" s="32">
        <f t="shared" si="94"/>
        <v>-4031.6326058908953</v>
      </c>
      <c r="X165" s="32">
        <f t="shared" si="121"/>
        <v>-2036.2484274873038</v>
      </c>
      <c r="Y165" s="102">
        <f t="shared" si="107"/>
        <v>-923125.73422306881</v>
      </c>
      <c r="Z165" s="32">
        <f t="shared" si="108"/>
        <v>-1279451.9461262377</v>
      </c>
      <c r="AA165" s="45">
        <f t="shared" si="109"/>
        <v>-1279451.9461262377</v>
      </c>
      <c r="AB165" s="1"/>
      <c r="AC165" s="40">
        <f t="shared" si="95"/>
        <v>-3042.8581253162838</v>
      </c>
      <c r="AD165" s="40">
        <f t="shared" si="103"/>
        <v>0</v>
      </c>
      <c r="AE165" s="40">
        <f t="shared" si="96"/>
        <v>-3042.8581253162838</v>
      </c>
      <c r="AF165" s="40">
        <f t="shared" si="97"/>
        <v>0</v>
      </c>
      <c r="AG165" s="40">
        <f t="shared" si="98"/>
        <v>6051.3579532577442</v>
      </c>
      <c r="AH165" s="40">
        <f t="shared" si="122"/>
        <v>3056.3469742950415</v>
      </c>
      <c r="AI165" s="106">
        <f t="shared" si="110"/>
        <v>-1288907.3654680701</v>
      </c>
      <c r="AJ165" s="40">
        <f t="shared" si="104"/>
        <v>343909.53389669349</v>
      </c>
      <c r="AK165" s="108">
        <f t="shared" si="105"/>
        <v>-1183918.7673037429</v>
      </c>
    </row>
    <row r="166" spans="6:37">
      <c r="G166" s="1"/>
      <c r="I166">
        <v>6</v>
      </c>
      <c r="J166" s="26">
        <f t="shared" si="119"/>
        <v>8855.9421641055851</v>
      </c>
      <c r="K166" s="24">
        <f t="shared" si="120"/>
        <v>2804.5842108478414</v>
      </c>
      <c r="L166" s="24">
        <f t="shared" si="99"/>
        <v>6365.9512550018198</v>
      </c>
      <c r="M166" s="24">
        <f t="shared" si="90"/>
        <v>2728.2648235722081</v>
      </c>
      <c r="N166" s="48"/>
      <c r="O166" s="32">
        <f t="shared" si="91"/>
        <v>10082.99055914864</v>
      </c>
      <c r="P166" s="32">
        <f t="shared" si="100"/>
        <v>2823.0829746159347</v>
      </c>
      <c r="Q166" s="32">
        <f t="shared" si="101"/>
        <v>7259.9075845327061</v>
      </c>
      <c r="R166" s="45">
        <f t="shared" si="106"/>
        <v>670280.00632329157</v>
      </c>
      <c r="S166" s="31">
        <f t="shared" si="92"/>
        <v>-5865.941099932219</v>
      </c>
      <c r="T166" s="32">
        <f t="shared" si="102"/>
        <v>0</v>
      </c>
      <c r="U166" s="32">
        <f t="shared" si="93"/>
        <v>-13125.848684464923</v>
      </c>
      <c r="V166" s="32">
        <v>0</v>
      </c>
      <c r="W166" s="32">
        <f t="shared" si="94"/>
        <v>-4031.6326058908953</v>
      </c>
      <c r="X166" s="32">
        <f t="shared" si="121"/>
        <v>-2036.2484274873038</v>
      </c>
      <c r="Y166" s="102">
        <f t="shared" si="107"/>
        <v>-925161.98265055614</v>
      </c>
      <c r="Z166" s="32">
        <f t="shared" si="108"/>
        <v>-1283483.5787321287</v>
      </c>
      <c r="AA166" s="45">
        <f t="shared" si="109"/>
        <v>-1283483.5787321287</v>
      </c>
      <c r="AB166" s="1"/>
      <c r="AC166" s="40">
        <f t="shared" si="95"/>
        <v>-3042.8581253162838</v>
      </c>
      <c r="AD166" s="40">
        <f t="shared" si="103"/>
        <v>0</v>
      </c>
      <c r="AE166" s="40">
        <f t="shared" si="96"/>
        <v>-3042.8581253162838</v>
      </c>
      <c r="AF166" s="40">
        <f t="shared" si="97"/>
        <v>0</v>
      </c>
      <c r="AG166" s="40">
        <f t="shared" si="98"/>
        <v>6051.3579532577442</v>
      </c>
      <c r="AH166" s="40">
        <f t="shared" si="122"/>
        <v>3056.3469742950415</v>
      </c>
      <c r="AI166" s="106">
        <f t="shared" si="110"/>
        <v>-1285851.018493775</v>
      </c>
      <c r="AJ166" s="40">
        <f t="shared" si="104"/>
        <v>349960.89184995124</v>
      </c>
      <c r="AK166" s="108">
        <f t="shared" si="105"/>
        <v>-1177867.4093504851</v>
      </c>
    </row>
    <row r="167" spans="6:37">
      <c r="G167" s="1"/>
      <c r="I167">
        <v>7</v>
      </c>
      <c r="J167" s="26">
        <f t="shared" si="119"/>
        <v>8855.9421641055851</v>
      </c>
      <c r="K167" s="24">
        <f t="shared" si="120"/>
        <v>2804.5842108478414</v>
      </c>
      <c r="L167" s="24">
        <f t="shared" si="99"/>
        <v>6365.9512550018198</v>
      </c>
      <c r="M167" s="24">
        <f t="shared" si="90"/>
        <v>2728.2648235722081</v>
      </c>
      <c r="N167" s="48"/>
      <c r="O167" s="32">
        <f t="shared" si="91"/>
        <v>10082.99055914864</v>
      </c>
      <c r="P167" s="32">
        <f t="shared" si="100"/>
        <v>2792.8333596803814</v>
      </c>
      <c r="Q167" s="32">
        <f t="shared" si="101"/>
        <v>7290.157199468259</v>
      </c>
      <c r="R167" s="45">
        <f t="shared" si="106"/>
        <v>662989.84912382334</v>
      </c>
      <c r="S167" s="31">
        <f t="shared" si="92"/>
        <v>-5835.6914849966652</v>
      </c>
      <c r="T167" s="32">
        <f t="shared" si="102"/>
        <v>0</v>
      </c>
      <c r="U167" s="32">
        <f t="shared" si="93"/>
        <v>-13125.848684464923</v>
      </c>
      <c r="V167" s="32">
        <v>0</v>
      </c>
      <c r="W167" s="32">
        <f t="shared" si="94"/>
        <v>-4031.6326058908953</v>
      </c>
      <c r="X167" s="32">
        <f t="shared" si="121"/>
        <v>-2036.2484274873038</v>
      </c>
      <c r="Y167" s="102">
        <f t="shared" si="107"/>
        <v>-927198.23107804346</v>
      </c>
      <c r="Z167" s="32">
        <f t="shared" si="108"/>
        <v>-1287515.2113380197</v>
      </c>
      <c r="AA167" s="45">
        <f t="shared" si="109"/>
        <v>-1287515.2113380197</v>
      </c>
      <c r="AB167" s="1"/>
      <c r="AC167" s="40">
        <f t="shared" si="95"/>
        <v>-3042.8581253162838</v>
      </c>
      <c r="AD167" s="40">
        <f t="shared" si="103"/>
        <v>0</v>
      </c>
      <c r="AE167" s="40">
        <f t="shared" si="96"/>
        <v>-3042.8581253162838</v>
      </c>
      <c r="AF167" s="40">
        <f t="shared" si="97"/>
        <v>0</v>
      </c>
      <c r="AG167" s="40">
        <f t="shared" si="98"/>
        <v>6051.3579532577442</v>
      </c>
      <c r="AH167" s="40">
        <f t="shared" si="122"/>
        <v>3056.3469742950415</v>
      </c>
      <c r="AI167" s="106">
        <f t="shared" si="110"/>
        <v>-1282794.6715194799</v>
      </c>
      <c r="AJ167" s="40">
        <f t="shared" si="104"/>
        <v>356012.24980320898</v>
      </c>
      <c r="AK167" s="108">
        <f t="shared" si="105"/>
        <v>-1171816.0513972272</v>
      </c>
    </row>
    <row r="168" spans="6:37">
      <c r="G168" s="1"/>
      <c r="I168">
        <v>8</v>
      </c>
      <c r="J168" s="26">
        <f t="shared" si="119"/>
        <v>8321.5318610992126</v>
      </c>
      <c r="K168" s="24">
        <f t="shared" si="120"/>
        <v>2804.5842108478414</v>
      </c>
      <c r="L168" s="24">
        <f t="shared" si="99"/>
        <v>6365.9512550018198</v>
      </c>
      <c r="M168" s="24">
        <f t="shared" si="90"/>
        <v>2728.2648235722081</v>
      </c>
      <c r="N168" s="48"/>
      <c r="O168" s="32">
        <f t="shared" si="91"/>
        <v>10082.99055914864</v>
      </c>
      <c r="P168" s="32">
        <f t="shared" si="100"/>
        <v>2762.4577046825971</v>
      </c>
      <c r="Q168" s="32">
        <f t="shared" si="101"/>
        <v>7320.5328544660433</v>
      </c>
      <c r="R168" s="45">
        <f t="shared" si="106"/>
        <v>655669.31626935734</v>
      </c>
      <c r="S168" s="31">
        <f t="shared" si="92"/>
        <v>-6339.7261330052534</v>
      </c>
      <c r="T168" s="32">
        <f t="shared" si="102"/>
        <v>0</v>
      </c>
      <c r="U168" s="32">
        <f t="shared" si="93"/>
        <v>-13660.258987471298</v>
      </c>
      <c r="V168" s="32">
        <v>0</v>
      </c>
      <c r="W168" s="32">
        <f t="shared" si="94"/>
        <v>-4566.0429088972696</v>
      </c>
      <c r="X168" s="32">
        <f t="shared" si="121"/>
        <v>-2306.1619452864484</v>
      </c>
      <c r="Y168" s="102">
        <f t="shared" si="107"/>
        <v>-929504.3930233299</v>
      </c>
      <c r="Z168" s="32">
        <f t="shared" si="108"/>
        <v>-1292081.2542469169</v>
      </c>
      <c r="AA168" s="45">
        <f t="shared" si="109"/>
        <v>-1292081.2542469169</v>
      </c>
      <c r="AB168" s="1"/>
      <c r="AC168" s="40">
        <f t="shared" si="95"/>
        <v>-3577.2684283226563</v>
      </c>
      <c r="AD168" s="40">
        <f t="shared" si="103"/>
        <v>0</v>
      </c>
      <c r="AE168" s="40">
        <f t="shared" si="96"/>
        <v>-3577.2684283226563</v>
      </c>
      <c r="AF168" s="40">
        <f t="shared" si="97"/>
        <v>0</v>
      </c>
      <c r="AG168" s="40">
        <f t="shared" si="98"/>
        <v>5516.9476502513717</v>
      </c>
      <c r="AH168" s="40">
        <f t="shared" si="122"/>
        <v>2786.4334564958981</v>
      </c>
      <c r="AI168" s="106">
        <f t="shared" si="110"/>
        <v>-1280008.2380629841</v>
      </c>
      <c r="AJ168" s="40">
        <f t="shared" si="104"/>
        <v>361529.19745346037</v>
      </c>
      <c r="AK168" s="108">
        <f t="shared" si="105"/>
        <v>-1166299.1037469758</v>
      </c>
    </row>
    <row r="169" spans="6:37">
      <c r="G169" s="1"/>
      <c r="I169">
        <v>9</v>
      </c>
      <c r="J169" s="26">
        <f t="shared" si="119"/>
        <v>6863.3551771818284</v>
      </c>
      <c r="K169" s="24">
        <f t="shared" si="120"/>
        <v>2804.5842108478414</v>
      </c>
      <c r="L169" s="24">
        <f t="shared" si="99"/>
        <v>6365.9512550018198</v>
      </c>
      <c r="M169" s="24">
        <f t="shared" si="90"/>
        <v>2728.2648235722081</v>
      </c>
      <c r="N169" s="48"/>
      <c r="O169" s="32">
        <f t="shared" si="91"/>
        <v>10082.99055914864</v>
      </c>
      <c r="P169" s="32">
        <f t="shared" si="100"/>
        <v>2731.9554844556556</v>
      </c>
      <c r="Q169" s="32">
        <f t="shared" si="101"/>
        <v>7351.0350746929853</v>
      </c>
      <c r="R169" s="45">
        <f t="shared" si="106"/>
        <v>648318.28119466431</v>
      </c>
      <c r="S169" s="31">
        <f t="shared" si="92"/>
        <v>-7767.4005966956956</v>
      </c>
      <c r="T169" s="32">
        <f t="shared" si="102"/>
        <v>0</v>
      </c>
      <c r="U169" s="32">
        <f t="shared" si="93"/>
        <v>-15118.435671388681</v>
      </c>
      <c r="V169" s="32">
        <v>0</v>
      </c>
      <c r="W169" s="32">
        <f t="shared" si="94"/>
        <v>-6024.2195928146539</v>
      </c>
      <c r="X169" s="32">
        <f t="shared" si="121"/>
        <v>-3042.6402581383954</v>
      </c>
      <c r="Y169" s="102">
        <f t="shared" si="107"/>
        <v>-932547.03328146832</v>
      </c>
      <c r="Z169" s="32">
        <f t="shared" si="108"/>
        <v>-1298105.4738397314</v>
      </c>
      <c r="AA169" s="45">
        <f t="shared" si="109"/>
        <v>-1298105.4738397314</v>
      </c>
      <c r="AB169" s="1"/>
      <c r="AC169" s="40">
        <f t="shared" si="95"/>
        <v>-5035.4451122400405</v>
      </c>
      <c r="AD169" s="40">
        <f t="shared" si="103"/>
        <v>0</v>
      </c>
      <c r="AE169" s="40">
        <f t="shared" si="96"/>
        <v>-5035.4451122400405</v>
      </c>
      <c r="AF169" s="40">
        <f t="shared" si="97"/>
        <v>0</v>
      </c>
      <c r="AG169" s="40">
        <f t="shared" si="98"/>
        <v>4058.7709663339874</v>
      </c>
      <c r="AH169" s="40">
        <f t="shared" si="122"/>
        <v>2049.955143643951</v>
      </c>
      <c r="AI169" s="106">
        <f t="shared" si="110"/>
        <v>-1277958.2829193401</v>
      </c>
      <c r="AJ169" s="40">
        <f t="shared" si="104"/>
        <v>365587.96841979434</v>
      </c>
      <c r="AK169" s="108">
        <f t="shared" si="105"/>
        <v>-1162240.3327806417</v>
      </c>
    </row>
    <row r="170" spans="6:37">
      <c r="G170" s="1"/>
      <c r="I170">
        <v>10</v>
      </c>
      <c r="J170" s="26">
        <f t="shared" si="119"/>
        <v>4992.9191166595283</v>
      </c>
      <c r="K170" s="24">
        <f t="shared" si="120"/>
        <v>2804.5842108478414</v>
      </c>
      <c r="L170" s="24">
        <f t="shared" si="99"/>
        <v>6365.9512550018198</v>
      </c>
      <c r="M170" s="24">
        <f t="shared" si="90"/>
        <v>2728.2648235722081</v>
      </c>
      <c r="N170" s="48"/>
      <c r="O170" s="32">
        <f t="shared" si="91"/>
        <v>10082.99055914864</v>
      </c>
      <c r="P170" s="32">
        <f t="shared" si="100"/>
        <v>2701.3261716444345</v>
      </c>
      <c r="Q170" s="32">
        <f t="shared" si="101"/>
        <v>7381.6643875042064</v>
      </c>
      <c r="R170" s="45">
        <f t="shared" si="106"/>
        <v>640936.61680716008</v>
      </c>
      <c r="S170" s="31">
        <f t="shared" si="92"/>
        <v>-9607.2073444067755</v>
      </c>
      <c r="T170" s="32">
        <f t="shared" si="102"/>
        <v>0</v>
      </c>
      <c r="U170" s="32">
        <f t="shared" si="93"/>
        <v>-16988.871731910982</v>
      </c>
      <c r="V170" s="32">
        <v>0</v>
      </c>
      <c r="W170" s="32">
        <f t="shared" si="94"/>
        <v>-7894.6556533369549</v>
      </c>
      <c r="X170" s="32">
        <f t="shared" si="121"/>
        <v>-3987.3375704353962</v>
      </c>
      <c r="Y170" s="102">
        <f t="shared" si="107"/>
        <v>-936534.37085190369</v>
      </c>
      <c r="Z170" s="32">
        <f t="shared" si="108"/>
        <v>-1306000.1294930684</v>
      </c>
      <c r="AA170" s="45">
        <f t="shared" si="109"/>
        <v>-1306000.1294930684</v>
      </c>
      <c r="AB170" s="1"/>
      <c r="AC170" s="40">
        <f t="shared" si="95"/>
        <v>-6905.8811727623415</v>
      </c>
      <c r="AD170" s="40">
        <f t="shared" si="103"/>
        <v>0</v>
      </c>
      <c r="AE170" s="40">
        <f t="shared" si="96"/>
        <v>-6905.8811727623415</v>
      </c>
      <c r="AF170" s="40">
        <f t="shared" si="97"/>
        <v>0</v>
      </c>
      <c r="AG170" s="40">
        <f t="shared" si="98"/>
        <v>2188.3349058116864</v>
      </c>
      <c r="AH170" s="40">
        <f t="shared" si="122"/>
        <v>1105.2578313469501</v>
      </c>
      <c r="AI170" s="106">
        <f t="shared" si="110"/>
        <v>-1276853.0250879931</v>
      </c>
      <c r="AJ170" s="40">
        <f t="shared" si="104"/>
        <v>367776.30332560604</v>
      </c>
      <c r="AK170" s="108">
        <f t="shared" si="105"/>
        <v>-1160051.9978748302</v>
      </c>
    </row>
    <row r="171" spans="6:37">
      <c r="G171" s="1"/>
      <c r="I171">
        <v>11</v>
      </c>
      <c r="J171" s="26">
        <f t="shared" si="119"/>
        <v>2618.6104847312204</v>
      </c>
      <c r="K171" s="24">
        <f t="shared" si="120"/>
        <v>2804.5842108478414</v>
      </c>
      <c r="L171" s="24">
        <f t="shared" si="99"/>
        <v>6365.9512550018198</v>
      </c>
      <c r="M171" s="24">
        <f t="shared" si="90"/>
        <v>2728.2648235722081</v>
      </c>
      <c r="N171" s="48"/>
      <c r="O171" s="32">
        <f t="shared" si="91"/>
        <v>10082.99055914864</v>
      </c>
      <c r="P171" s="32">
        <f t="shared" si="100"/>
        <v>2670.5692366965004</v>
      </c>
      <c r="Q171" s="32">
        <f t="shared" si="101"/>
        <v>7412.42132245214</v>
      </c>
      <c r="R171" s="45">
        <f t="shared" si="106"/>
        <v>633524.19548470795</v>
      </c>
      <c r="S171" s="31">
        <f t="shared" si="92"/>
        <v>-11950.759041387151</v>
      </c>
      <c r="T171" s="32">
        <f t="shared" si="102"/>
        <v>0</v>
      </c>
      <c r="U171" s="32">
        <f t="shared" si="93"/>
        <v>-19363.180363839288</v>
      </c>
      <c r="V171" s="32">
        <v>0</v>
      </c>
      <c r="W171" s="32">
        <f t="shared" si="94"/>
        <v>-10268.964285265261</v>
      </c>
      <c r="X171" s="32">
        <f t="shared" si="121"/>
        <v>-5186.5247709430168</v>
      </c>
      <c r="Y171" s="102">
        <f t="shared" si="107"/>
        <v>-941720.89562284667</v>
      </c>
      <c r="Z171" s="32">
        <f t="shared" si="108"/>
        <v>-1316269.0937783336</v>
      </c>
      <c r="AA171" s="45">
        <f t="shared" si="109"/>
        <v>-1316269.0937783336</v>
      </c>
      <c r="AB171" s="1"/>
      <c r="AC171" s="40">
        <f t="shared" si="95"/>
        <v>-9280.1898046906499</v>
      </c>
      <c r="AD171" s="40">
        <f t="shared" si="103"/>
        <v>0</v>
      </c>
      <c r="AE171" s="40">
        <f t="shared" si="96"/>
        <v>-9280.1898046906499</v>
      </c>
      <c r="AF171" s="40">
        <f t="shared" si="97"/>
        <v>0</v>
      </c>
      <c r="AG171" s="40">
        <f t="shared" si="98"/>
        <v>-185.97372611662195</v>
      </c>
      <c r="AH171" s="40">
        <f t="shared" si="122"/>
        <v>-93.929369160671513</v>
      </c>
      <c r="AI171" s="106">
        <f t="shared" si="110"/>
        <v>-1276946.9544571538</v>
      </c>
      <c r="AJ171" s="40">
        <f t="shared" si="104"/>
        <v>367590.3295994894</v>
      </c>
      <c r="AK171" s="108">
        <f t="shared" si="105"/>
        <v>-1160237.9716009467</v>
      </c>
    </row>
    <row r="172" spans="6:37">
      <c r="G172" s="1"/>
      <c r="I172">
        <v>12</v>
      </c>
      <c r="J172" s="26">
        <f t="shared" si="119"/>
        <v>1977.3181211235744</v>
      </c>
      <c r="K172" s="24">
        <f t="shared" si="120"/>
        <v>2804.5842108478414</v>
      </c>
      <c r="L172" s="24">
        <f t="shared" si="99"/>
        <v>6365.9512550018198</v>
      </c>
      <c r="M172" s="24">
        <f t="shared" si="90"/>
        <v>2728.2648235722081</v>
      </c>
      <c r="N172" s="48"/>
      <c r="O172" s="32">
        <f t="shared" si="91"/>
        <v>10082.99055914864</v>
      </c>
      <c r="P172" s="32">
        <f t="shared" si="100"/>
        <v>2639.6841478529495</v>
      </c>
      <c r="Q172" s="32">
        <f t="shared" si="101"/>
        <v>7443.3064112956909</v>
      </c>
      <c r="R172" s="45">
        <f t="shared" si="106"/>
        <v>626080.88907341228</v>
      </c>
      <c r="S172" s="31">
        <f t="shared" si="92"/>
        <v>-12561.166316151244</v>
      </c>
      <c r="T172" s="32">
        <f t="shared" si="102"/>
        <v>0</v>
      </c>
      <c r="U172" s="32">
        <f t="shared" si="93"/>
        <v>-20004.472727446933</v>
      </c>
      <c r="V172" s="32">
        <v>0</v>
      </c>
      <c r="W172" s="32">
        <f t="shared" si="94"/>
        <v>-10910.256648872906</v>
      </c>
      <c r="X172" s="32">
        <f t="shared" si="121"/>
        <v>-5510.420992301988</v>
      </c>
      <c r="Y172" s="102">
        <f t="shared" si="107"/>
        <v>-947231.31661514868</v>
      </c>
      <c r="Z172" s="32">
        <f t="shared" si="108"/>
        <v>-1327179.3504272066</v>
      </c>
      <c r="AA172" s="45">
        <f t="shared" si="109"/>
        <v>-1327179.3504272066</v>
      </c>
      <c r="AB172" s="1"/>
      <c r="AC172" s="40">
        <f t="shared" si="95"/>
        <v>-9921.4821682982947</v>
      </c>
      <c r="AD172" s="40">
        <f t="shared" si="103"/>
        <v>0</v>
      </c>
      <c r="AE172" s="40">
        <f t="shared" si="96"/>
        <v>-9921.4821682982947</v>
      </c>
      <c r="AF172" s="40">
        <f t="shared" si="97"/>
        <v>0</v>
      </c>
      <c r="AG172" s="40">
        <f t="shared" si="98"/>
        <v>-827.26608972426675</v>
      </c>
      <c r="AH172" s="40">
        <f t="shared" si="122"/>
        <v>-417.82559051964262</v>
      </c>
      <c r="AI172" s="106">
        <f t="shared" si="110"/>
        <v>-1277364.7800476735</v>
      </c>
      <c r="AJ172" s="40">
        <f t="shared" si="104"/>
        <v>366763.06350976514</v>
      </c>
      <c r="AK172" s="108">
        <f t="shared" si="105"/>
        <v>-1161065.2376906711</v>
      </c>
    </row>
    <row r="173" spans="6:37">
      <c r="F173" s="132" t="s">
        <v>88</v>
      </c>
      <c r="G173" s="1">
        <f>SUM(S173:S184)</f>
        <v>-101152.736878191</v>
      </c>
      <c r="H173">
        <v>2029</v>
      </c>
      <c r="I173">
        <v>1</v>
      </c>
      <c r="J173" s="26">
        <f t="shared" ref="J173:J184" si="123">C23*$C$52*$D$52</f>
        <v>2290.1008370403033</v>
      </c>
      <c r="K173" s="24">
        <f t="shared" ref="K173:K184" si="124">$K$172*$C$8</f>
        <v>2888.7217371732768</v>
      </c>
      <c r="L173" s="24">
        <f t="shared" si="99"/>
        <v>6365.9512550018198</v>
      </c>
      <c r="M173" s="24">
        <f t="shared" si="90"/>
        <v>2728.2648235722081</v>
      </c>
      <c r="N173" s="48"/>
      <c r="O173" s="32">
        <f t="shared" si="91"/>
        <v>10082.99055914864</v>
      </c>
      <c r="P173" s="32">
        <f t="shared" si="100"/>
        <v>2608.6703711392179</v>
      </c>
      <c r="Q173" s="32">
        <f t="shared" si="101"/>
        <v>7474.3201880094221</v>
      </c>
      <c r="R173" s="45">
        <f t="shared" si="106"/>
        <v>618606.56888540287</v>
      </c>
      <c r="S173" s="31">
        <f t="shared" si="92"/>
        <v>-12301.507349846219</v>
      </c>
      <c r="T173" s="32">
        <f t="shared" si="102"/>
        <v>0</v>
      </c>
      <c r="U173" s="32">
        <f t="shared" si="93"/>
        <v>-19775.827537855643</v>
      </c>
      <c r="V173" s="32">
        <v>0</v>
      </c>
      <c r="W173" s="32">
        <f t="shared" si="94"/>
        <v>-10681.611459281616</v>
      </c>
      <c r="X173" s="32">
        <f t="shared" ref="X173:X184" si="125">W173/(1+$C$18)^15</f>
        <v>-5138.0377470788962</v>
      </c>
      <c r="Y173" s="102">
        <f t="shared" si="107"/>
        <v>-952369.3543622276</v>
      </c>
      <c r="Z173" s="32">
        <f t="shared" si="108"/>
        <v>-1337860.9618864881</v>
      </c>
      <c r="AA173" s="45">
        <f t="shared" si="109"/>
        <v>-1337860.9618864881</v>
      </c>
      <c r="AB173" s="1"/>
      <c r="AC173" s="40">
        <f t="shared" si="95"/>
        <v>-9692.8369787070005</v>
      </c>
      <c r="AD173" s="40">
        <f t="shared" si="103"/>
        <v>0</v>
      </c>
      <c r="AE173" s="40">
        <f t="shared" si="96"/>
        <v>-9692.8369787070005</v>
      </c>
      <c r="AF173" s="40">
        <f t="shared" si="97"/>
        <v>0</v>
      </c>
      <c r="AG173" s="40">
        <f t="shared" si="98"/>
        <v>-598.62090013297257</v>
      </c>
      <c r="AH173" s="40">
        <f t="shared" ref="AH173:AH184" si="126">AG173/(1+$C$18)^15</f>
        <v>-287.94688823856694</v>
      </c>
      <c r="AI173" s="106">
        <f t="shared" si="110"/>
        <v>-1277652.7269359122</v>
      </c>
      <c r="AJ173" s="40">
        <f t="shared" si="104"/>
        <v>366164.44260963215</v>
      </c>
      <c r="AK173" s="108">
        <f t="shared" si="105"/>
        <v>-1161663.858590804</v>
      </c>
    </row>
    <row r="174" spans="6:37">
      <c r="F174" s="17" t="s">
        <v>31</v>
      </c>
      <c r="G174">
        <v>15</v>
      </c>
      <c r="I174">
        <v>2</v>
      </c>
      <c r="J174" s="26">
        <f t="shared" si="123"/>
        <v>3559.8597169834425</v>
      </c>
      <c r="K174" s="24">
        <f t="shared" si="124"/>
        <v>2888.7217371732768</v>
      </c>
      <c r="L174" s="24">
        <f t="shared" si="99"/>
        <v>6365.9512550018198</v>
      </c>
      <c r="M174" s="24">
        <f t="shared" si="90"/>
        <v>2728.2648235722081</v>
      </c>
      <c r="N174" s="48"/>
      <c r="O174" s="32">
        <f t="shared" si="91"/>
        <v>10082.99055914864</v>
      </c>
      <c r="P174" s="32">
        <f t="shared" si="100"/>
        <v>2577.5273703558451</v>
      </c>
      <c r="Q174" s="32">
        <f t="shared" si="101"/>
        <v>7505.4631887927953</v>
      </c>
      <c r="R174" s="45">
        <f t="shared" si="106"/>
        <v>611101.10569661006</v>
      </c>
      <c r="S174" s="31">
        <f t="shared" si="92"/>
        <v>-11000.605469119708</v>
      </c>
      <c r="T174" s="32">
        <f t="shared" si="102"/>
        <v>0</v>
      </c>
      <c r="U174" s="32">
        <f t="shared" si="93"/>
        <v>-18506.068657912503</v>
      </c>
      <c r="V174" s="32">
        <v>0</v>
      </c>
      <c r="W174" s="32">
        <f t="shared" si="94"/>
        <v>-9411.8525793384761</v>
      </c>
      <c r="X174" s="32">
        <f t="shared" si="125"/>
        <v>-4527.262015373406</v>
      </c>
      <c r="Y174" s="102">
        <f t="shared" si="107"/>
        <v>-956896.61637760105</v>
      </c>
      <c r="Z174" s="32">
        <f t="shared" si="108"/>
        <v>-1347272.8144658266</v>
      </c>
      <c r="AA174" s="45">
        <f t="shared" si="109"/>
        <v>-1347272.8144658266</v>
      </c>
      <c r="AB174" s="1"/>
      <c r="AC174" s="40">
        <f t="shared" si="95"/>
        <v>-8423.0780987638627</v>
      </c>
      <c r="AD174" s="40">
        <f t="shared" si="103"/>
        <v>0</v>
      </c>
      <c r="AE174" s="40">
        <f t="shared" si="96"/>
        <v>-8423.0780987638627</v>
      </c>
      <c r="AF174" s="40">
        <f t="shared" si="97"/>
        <v>0</v>
      </c>
      <c r="AG174" s="40">
        <f t="shared" si="98"/>
        <v>671.13797981016523</v>
      </c>
      <c r="AH174" s="40">
        <f t="shared" si="126"/>
        <v>322.8288434669218</v>
      </c>
      <c r="AI174" s="106">
        <f t="shared" si="110"/>
        <v>-1277329.8980924452</v>
      </c>
      <c r="AJ174" s="40">
        <f t="shared" si="104"/>
        <v>366835.58058944234</v>
      </c>
      <c r="AK174" s="108">
        <f t="shared" si="105"/>
        <v>-1160992.7206109939</v>
      </c>
    </row>
    <row r="175" spans="6:37">
      <c r="F175" s="13" t="s">
        <v>30</v>
      </c>
      <c r="G175" s="1">
        <v>0</v>
      </c>
      <c r="I175">
        <v>3</v>
      </c>
      <c r="J175" s="26">
        <f t="shared" si="123"/>
        <v>6643.5598539882076</v>
      </c>
      <c r="K175" s="24">
        <f t="shared" si="124"/>
        <v>2888.7217371732768</v>
      </c>
      <c r="L175" s="24">
        <f t="shared" si="99"/>
        <v>6365.9512550018198</v>
      </c>
      <c r="M175" s="24">
        <f t="shared" si="90"/>
        <v>2728.2648235722081</v>
      </c>
      <c r="N175" s="48"/>
      <c r="O175" s="32">
        <f t="shared" si="91"/>
        <v>10082.99055914864</v>
      </c>
      <c r="P175" s="32">
        <f t="shared" si="100"/>
        <v>2546.2546070692088</v>
      </c>
      <c r="Q175" s="32">
        <f t="shared" si="101"/>
        <v>7536.7359520794316</v>
      </c>
      <c r="R175" s="45">
        <f t="shared" si="106"/>
        <v>603564.36974453065</v>
      </c>
      <c r="S175" s="31">
        <f t="shared" si="92"/>
        <v>-7885.6325688283059</v>
      </c>
      <c r="T175" s="32">
        <f t="shared" si="102"/>
        <v>0</v>
      </c>
      <c r="U175" s="32">
        <f t="shared" si="93"/>
        <v>-15422.368520907738</v>
      </c>
      <c r="V175" s="32">
        <v>0</v>
      </c>
      <c r="W175" s="32">
        <f t="shared" si="94"/>
        <v>-6328.1524423337105</v>
      </c>
      <c r="X175" s="32">
        <f t="shared" si="125"/>
        <v>-3043.9495240886467</v>
      </c>
      <c r="Y175" s="102">
        <f t="shared" si="107"/>
        <v>-959940.5659016897</v>
      </c>
      <c r="Z175" s="32">
        <f t="shared" si="108"/>
        <v>-1353600.9669081604</v>
      </c>
      <c r="AA175" s="45">
        <f t="shared" si="109"/>
        <v>-1353600.9669081604</v>
      </c>
      <c r="AB175" s="1"/>
      <c r="AC175" s="40">
        <f t="shared" si="95"/>
        <v>-5339.3779617590972</v>
      </c>
      <c r="AD175" s="40">
        <f t="shared" si="103"/>
        <v>0</v>
      </c>
      <c r="AE175" s="40">
        <f t="shared" si="96"/>
        <v>-5339.3779617590972</v>
      </c>
      <c r="AF175" s="40">
        <f t="shared" si="97"/>
        <v>0</v>
      </c>
      <c r="AG175" s="40">
        <f t="shared" si="98"/>
        <v>3754.8381168149308</v>
      </c>
      <c r="AH175" s="40">
        <f t="shared" si="126"/>
        <v>1806.1413347516814</v>
      </c>
      <c r="AI175" s="106">
        <f t="shared" si="110"/>
        <v>-1275523.7567576936</v>
      </c>
      <c r="AJ175" s="40">
        <f t="shared" si="104"/>
        <v>370590.41870625725</v>
      </c>
      <c r="AK175" s="108">
        <f t="shared" si="105"/>
        <v>-1157237.8824941791</v>
      </c>
    </row>
    <row r="176" spans="6:37">
      <c r="F176" s="18" t="s">
        <v>39</v>
      </c>
      <c r="G176" s="1">
        <f>G173+G164</f>
        <v>-1399629.4187214798</v>
      </c>
      <c r="I176">
        <v>4</v>
      </c>
      <c r="J176" s="26">
        <f t="shared" si="123"/>
        <v>8540.6400853318264</v>
      </c>
      <c r="K176" s="24">
        <f t="shared" si="124"/>
        <v>2888.7217371732768</v>
      </c>
      <c r="L176" s="24">
        <f t="shared" si="99"/>
        <v>6365.9512550018198</v>
      </c>
      <c r="M176" s="24">
        <f t="shared" si="90"/>
        <v>2728.2648235722081</v>
      </c>
      <c r="N176" s="48"/>
      <c r="O176" s="32">
        <f t="shared" si="91"/>
        <v>10082.99055914864</v>
      </c>
      <c r="P176" s="32">
        <f t="shared" si="100"/>
        <v>2514.8515406022111</v>
      </c>
      <c r="Q176" s="32">
        <f t="shared" si="101"/>
        <v>7568.1390185464297</v>
      </c>
      <c r="R176" s="45">
        <f t="shared" si="106"/>
        <v>595996.23072598421</v>
      </c>
      <c r="S176" s="31">
        <f t="shared" si="92"/>
        <v>-5957.1492710176899</v>
      </c>
      <c r="T176" s="32">
        <f t="shared" si="102"/>
        <v>0</v>
      </c>
      <c r="U176" s="32">
        <f t="shared" si="93"/>
        <v>-13525.28828956412</v>
      </c>
      <c r="V176" s="32">
        <v>0</v>
      </c>
      <c r="W176" s="32">
        <f t="shared" si="94"/>
        <v>-4431.0722109900917</v>
      </c>
      <c r="X176" s="32">
        <f t="shared" si="125"/>
        <v>-2131.4214963619929</v>
      </c>
      <c r="Y176" s="102">
        <f t="shared" si="107"/>
        <v>-962071.98739805166</v>
      </c>
      <c r="Z176" s="32">
        <f t="shared" si="108"/>
        <v>-1358032.0391191505</v>
      </c>
      <c r="AA176" s="45">
        <f t="shared" si="109"/>
        <v>-1358032.0391191505</v>
      </c>
      <c r="AB176" s="1"/>
      <c r="AC176" s="40">
        <f t="shared" si="95"/>
        <v>-3442.2977304154783</v>
      </c>
      <c r="AD176" s="40">
        <f t="shared" si="103"/>
        <v>0</v>
      </c>
      <c r="AE176" s="40">
        <f t="shared" si="96"/>
        <v>-3442.2977304154783</v>
      </c>
      <c r="AF176" s="40">
        <f t="shared" si="97"/>
        <v>0</v>
      </c>
      <c r="AG176" s="40">
        <f t="shared" si="98"/>
        <v>5651.9183481585496</v>
      </c>
      <c r="AH176" s="40">
        <f t="shared" si="126"/>
        <v>2718.6693624783352</v>
      </c>
      <c r="AI176" s="106">
        <f t="shared" si="110"/>
        <v>-1272805.0873952152</v>
      </c>
      <c r="AJ176" s="40">
        <f t="shared" si="104"/>
        <v>376242.33705441578</v>
      </c>
      <c r="AK176" s="108">
        <f t="shared" si="105"/>
        <v>-1151585.9641460206</v>
      </c>
    </row>
    <row r="177" spans="6:37">
      <c r="F177" s="16" t="s">
        <v>90</v>
      </c>
      <c r="G177" s="129">
        <f>$C$60</f>
        <v>0</v>
      </c>
      <c r="I177">
        <v>5</v>
      </c>
      <c r="J177" s="26">
        <f t="shared" si="123"/>
        <v>8767.3827424645278</v>
      </c>
      <c r="K177" s="24">
        <f t="shared" si="124"/>
        <v>2888.7217371732768</v>
      </c>
      <c r="L177" s="24">
        <f t="shared" si="99"/>
        <v>6365.9512550018198</v>
      </c>
      <c r="M177" s="24">
        <f t="shared" si="90"/>
        <v>2728.2648235722081</v>
      </c>
      <c r="N177" s="48"/>
      <c r="O177" s="32">
        <f t="shared" si="91"/>
        <v>10082.99055914864</v>
      </c>
      <c r="P177" s="32">
        <f t="shared" si="100"/>
        <v>2483.317628024934</v>
      </c>
      <c r="Q177" s="32">
        <f t="shared" si="101"/>
        <v>7599.6729311237068</v>
      </c>
      <c r="R177" s="45">
        <f t="shared" si="106"/>
        <v>588396.55779486045</v>
      </c>
      <c r="S177" s="31">
        <f t="shared" si="92"/>
        <v>-5698.8727013077114</v>
      </c>
      <c r="T177" s="32">
        <f t="shared" si="102"/>
        <v>0</v>
      </c>
      <c r="U177" s="32">
        <f t="shared" si="93"/>
        <v>-13298.545632431418</v>
      </c>
      <c r="V177" s="32">
        <v>0</v>
      </c>
      <c r="W177" s="32">
        <f t="shared" si="94"/>
        <v>-4204.3295538573902</v>
      </c>
      <c r="X177" s="32">
        <f t="shared" si="125"/>
        <v>-2022.3544014145853</v>
      </c>
      <c r="Y177" s="102">
        <f t="shared" si="107"/>
        <v>-964094.34179946629</v>
      </c>
      <c r="Z177" s="32">
        <f t="shared" si="108"/>
        <v>-1362236.3686730079</v>
      </c>
      <c r="AA177" s="45">
        <f t="shared" si="109"/>
        <v>-1362236.3686730079</v>
      </c>
      <c r="AB177" s="1"/>
      <c r="AC177" s="40">
        <f t="shared" si="95"/>
        <v>-3215.5550732827769</v>
      </c>
      <c r="AD177" s="40">
        <f t="shared" si="103"/>
        <v>0</v>
      </c>
      <c r="AE177" s="40">
        <f t="shared" si="96"/>
        <v>-3215.5550732827769</v>
      </c>
      <c r="AF177" s="40">
        <f t="shared" si="97"/>
        <v>0</v>
      </c>
      <c r="AG177" s="40">
        <f t="shared" si="98"/>
        <v>5878.6610052912511</v>
      </c>
      <c r="AH177" s="40">
        <f t="shared" si="126"/>
        <v>2827.7364574257431</v>
      </c>
      <c r="AI177" s="106">
        <f t="shared" si="110"/>
        <v>-1269977.3509377895</v>
      </c>
      <c r="AJ177" s="40">
        <f t="shared" si="104"/>
        <v>382120.99805970705</v>
      </c>
      <c r="AK177" s="108">
        <f t="shared" si="105"/>
        <v>-1145707.3031407294</v>
      </c>
    </row>
    <row r="178" spans="6:37">
      <c r="G178" s="1"/>
      <c r="I178">
        <v>6</v>
      </c>
      <c r="J178" s="26">
        <f t="shared" si="123"/>
        <v>8767.3827424645278</v>
      </c>
      <c r="K178" s="24">
        <f t="shared" si="124"/>
        <v>2888.7217371732768</v>
      </c>
      <c r="L178" s="24">
        <f t="shared" si="99"/>
        <v>6365.9512550018198</v>
      </c>
      <c r="M178" s="24">
        <f t="shared" si="90"/>
        <v>2728.2648235722081</v>
      </c>
      <c r="N178" s="48"/>
      <c r="O178" s="32">
        <f t="shared" si="91"/>
        <v>10082.99055914864</v>
      </c>
      <c r="P178" s="32">
        <f t="shared" si="100"/>
        <v>2451.6523241452519</v>
      </c>
      <c r="Q178" s="32">
        <f t="shared" si="101"/>
        <v>7631.338235003388</v>
      </c>
      <c r="R178" s="45">
        <f t="shared" si="106"/>
        <v>580765.21955985704</v>
      </c>
      <c r="S178" s="31">
        <f t="shared" si="92"/>
        <v>-5667.2073974280283</v>
      </c>
      <c r="T178" s="32">
        <f t="shared" si="102"/>
        <v>0</v>
      </c>
      <c r="U178" s="32">
        <f t="shared" si="93"/>
        <v>-13298.545632431418</v>
      </c>
      <c r="V178" s="32">
        <v>0</v>
      </c>
      <c r="W178" s="32">
        <f t="shared" si="94"/>
        <v>-4204.3295538573902</v>
      </c>
      <c r="X178" s="32">
        <f t="shared" si="125"/>
        <v>-2022.3544014145853</v>
      </c>
      <c r="Y178" s="102">
        <f t="shared" si="107"/>
        <v>-966116.69620088092</v>
      </c>
      <c r="Z178" s="32">
        <f t="shared" si="108"/>
        <v>-1366440.6982268654</v>
      </c>
      <c r="AA178" s="45">
        <f t="shared" si="109"/>
        <v>-1366440.6982268654</v>
      </c>
      <c r="AB178" s="1"/>
      <c r="AC178" s="40">
        <f t="shared" si="95"/>
        <v>-3215.5550732827769</v>
      </c>
      <c r="AD178" s="40">
        <f t="shared" si="103"/>
        <v>0</v>
      </c>
      <c r="AE178" s="40">
        <f t="shared" si="96"/>
        <v>-3215.5550732827769</v>
      </c>
      <c r="AF178" s="40">
        <f t="shared" si="97"/>
        <v>0</v>
      </c>
      <c r="AG178" s="40">
        <f t="shared" si="98"/>
        <v>5878.6610052912511</v>
      </c>
      <c r="AH178" s="40">
        <f t="shared" si="126"/>
        <v>2827.7364574257431</v>
      </c>
      <c r="AI178" s="106">
        <f t="shared" si="110"/>
        <v>-1267149.6144803639</v>
      </c>
      <c r="AJ178" s="40">
        <f t="shared" si="104"/>
        <v>387999.65906499833</v>
      </c>
      <c r="AK178" s="108">
        <f t="shared" si="105"/>
        <v>-1139828.6421354383</v>
      </c>
    </row>
    <row r="179" spans="6:37">
      <c r="G179" s="1"/>
      <c r="I179">
        <v>7</v>
      </c>
      <c r="J179" s="26">
        <f t="shared" si="123"/>
        <v>8767.3827424645278</v>
      </c>
      <c r="K179" s="24">
        <f t="shared" si="124"/>
        <v>2888.7217371732768</v>
      </c>
      <c r="L179" s="24">
        <f t="shared" si="99"/>
        <v>6365.9512550018198</v>
      </c>
      <c r="M179" s="24">
        <f t="shared" si="90"/>
        <v>2728.2648235722081</v>
      </c>
      <c r="N179" s="48"/>
      <c r="O179" s="32">
        <f t="shared" si="91"/>
        <v>10082.99055914864</v>
      </c>
      <c r="P179" s="32">
        <f t="shared" si="100"/>
        <v>2419.8550814994042</v>
      </c>
      <c r="Q179" s="32">
        <f t="shared" si="101"/>
        <v>7663.1354776492362</v>
      </c>
      <c r="R179" s="45">
        <f t="shared" si="106"/>
        <v>573102.08408220776</v>
      </c>
      <c r="S179" s="31">
        <f t="shared" si="92"/>
        <v>-5635.4101547821811</v>
      </c>
      <c r="T179" s="32">
        <f t="shared" si="102"/>
        <v>0</v>
      </c>
      <c r="U179" s="32">
        <f t="shared" si="93"/>
        <v>-13298.545632431418</v>
      </c>
      <c r="V179" s="32">
        <v>0</v>
      </c>
      <c r="W179" s="32">
        <f t="shared" si="94"/>
        <v>-4204.3295538573902</v>
      </c>
      <c r="X179" s="32">
        <f t="shared" si="125"/>
        <v>-2022.3544014145853</v>
      </c>
      <c r="Y179" s="102">
        <f t="shared" si="107"/>
        <v>-968139.05060229555</v>
      </c>
      <c r="Z179" s="32">
        <f t="shared" si="108"/>
        <v>-1370645.0277807228</v>
      </c>
      <c r="AA179" s="45">
        <f t="shared" si="109"/>
        <v>-1370645.0277807228</v>
      </c>
      <c r="AB179" s="1"/>
      <c r="AC179" s="40">
        <f t="shared" si="95"/>
        <v>-3215.5550732827769</v>
      </c>
      <c r="AD179" s="40">
        <f t="shared" si="103"/>
        <v>0</v>
      </c>
      <c r="AE179" s="40">
        <f t="shared" si="96"/>
        <v>-3215.5550732827769</v>
      </c>
      <c r="AF179" s="40">
        <f t="shared" si="97"/>
        <v>0</v>
      </c>
      <c r="AG179" s="40">
        <f t="shared" si="98"/>
        <v>5878.6610052912511</v>
      </c>
      <c r="AH179" s="40">
        <f t="shared" si="126"/>
        <v>2827.7364574257431</v>
      </c>
      <c r="AI179" s="106">
        <f t="shared" si="110"/>
        <v>-1264321.8780229383</v>
      </c>
      <c r="AJ179" s="40">
        <f t="shared" si="104"/>
        <v>393878.3200702896</v>
      </c>
      <c r="AK179" s="108">
        <f t="shared" si="105"/>
        <v>-1133949.9811301471</v>
      </c>
    </row>
    <row r="180" spans="6:37">
      <c r="G180" s="1"/>
      <c r="I180">
        <v>8</v>
      </c>
      <c r="J180" s="26">
        <f t="shared" si="123"/>
        <v>8238.3165424882209</v>
      </c>
      <c r="K180" s="24">
        <f t="shared" si="124"/>
        <v>2888.7217371732768</v>
      </c>
      <c r="L180" s="24">
        <f t="shared" si="99"/>
        <v>6365.9512550018198</v>
      </c>
      <c r="M180" s="24">
        <f t="shared" si="90"/>
        <v>2728.2648235722081</v>
      </c>
      <c r="N180" s="48"/>
      <c r="O180" s="32">
        <f t="shared" si="91"/>
        <v>10082.99055914864</v>
      </c>
      <c r="P180" s="32">
        <f t="shared" si="100"/>
        <v>2387.9253503425325</v>
      </c>
      <c r="Q180" s="32">
        <f t="shared" si="101"/>
        <v>7695.0652088061079</v>
      </c>
      <c r="R180" s="45">
        <f t="shared" si="106"/>
        <v>565407.01887340168</v>
      </c>
      <c r="S180" s="31">
        <f t="shared" si="92"/>
        <v>-6132.5466236016164</v>
      </c>
      <c r="T180" s="32">
        <f t="shared" si="102"/>
        <v>0</v>
      </c>
      <c r="U180" s="32">
        <f t="shared" si="93"/>
        <v>-13827.611832407725</v>
      </c>
      <c r="V180" s="32">
        <v>0</v>
      </c>
      <c r="W180" s="32">
        <f t="shared" si="94"/>
        <v>-4733.3957538336972</v>
      </c>
      <c r="X180" s="32">
        <f t="shared" si="125"/>
        <v>-2276.8442896252054</v>
      </c>
      <c r="Y180" s="102">
        <f t="shared" si="107"/>
        <v>-970415.89489192073</v>
      </c>
      <c r="Z180" s="32">
        <f t="shared" si="108"/>
        <v>-1375378.4235345565</v>
      </c>
      <c r="AA180" s="45">
        <f t="shared" si="109"/>
        <v>-1375378.4235345565</v>
      </c>
      <c r="AB180" s="1"/>
      <c r="AC180" s="40">
        <f t="shared" si="95"/>
        <v>-3744.6212732590839</v>
      </c>
      <c r="AD180" s="40">
        <f t="shared" si="103"/>
        <v>0</v>
      </c>
      <c r="AE180" s="40">
        <f t="shared" si="96"/>
        <v>-3744.6212732590839</v>
      </c>
      <c r="AF180" s="40">
        <f t="shared" si="97"/>
        <v>0</v>
      </c>
      <c r="AG180" s="40">
        <f t="shared" si="98"/>
        <v>5349.5948053149441</v>
      </c>
      <c r="AH180" s="40">
        <f t="shared" si="126"/>
        <v>2573.2465692151231</v>
      </c>
      <c r="AI180" s="106">
        <f t="shared" si="110"/>
        <v>-1261748.6314537232</v>
      </c>
      <c r="AJ180" s="40">
        <f t="shared" si="104"/>
        <v>399227.91487560456</v>
      </c>
      <c r="AK180" s="108">
        <f t="shared" si="105"/>
        <v>-1128600.3863248322</v>
      </c>
    </row>
    <row r="181" spans="6:37">
      <c r="G181" s="1"/>
      <c r="I181">
        <v>9</v>
      </c>
      <c r="J181" s="26">
        <f t="shared" si="123"/>
        <v>6794.7216254100094</v>
      </c>
      <c r="K181" s="24">
        <f t="shared" si="124"/>
        <v>2888.7217371732768</v>
      </c>
      <c r="L181" s="24">
        <f t="shared" si="99"/>
        <v>6365.9512550018198</v>
      </c>
      <c r="M181" s="24">
        <f t="shared" si="90"/>
        <v>2728.2648235722081</v>
      </c>
      <c r="N181" s="48"/>
      <c r="O181" s="32">
        <f t="shared" si="91"/>
        <v>10082.99055914864</v>
      </c>
      <c r="P181" s="32">
        <f t="shared" si="100"/>
        <v>2355.8625786391735</v>
      </c>
      <c r="Q181" s="32">
        <f t="shared" si="101"/>
        <v>7727.1279805094673</v>
      </c>
      <c r="R181" s="45">
        <f t="shared" si="106"/>
        <v>557679.89089289226</v>
      </c>
      <c r="S181" s="31">
        <f t="shared" si="92"/>
        <v>-7544.0787689764693</v>
      </c>
      <c r="T181" s="32">
        <f t="shared" si="102"/>
        <v>0</v>
      </c>
      <c r="U181" s="32">
        <f t="shared" si="93"/>
        <v>-15271.206749485937</v>
      </c>
      <c r="V181" s="32">
        <v>0</v>
      </c>
      <c r="W181" s="32">
        <f t="shared" si="94"/>
        <v>-6176.9906709119095</v>
      </c>
      <c r="X181" s="32">
        <f t="shared" si="125"/>
        <v>-2971.2381274570416</v>
      </c>
      <c r="Y181" s="102">
        <f t="shared" si="107"/>
        <v>-973387.13301937783</v>
      </c>
      <c r="Z181" s="32">
        <f t="shared" si="108"/>
        <v>-1381555.4142054685</v>
      </c>
      <c r="AA181" s="45">
        <f t="shared" si="109"/>
        <v>-1381555.4142054685</v>
      </c>
      <c r="AB181" s="1"/>
      <c r="AC181" s="40">
        <f t="shared" si="95"/>
        <v>-5188.2161903372953</v>
      </c>
      <c r="AD181" s="40">
        <f t="shared" si="103"/>
        <v>0</v>
      </c>
      <c r="AE181" s="40">
        <f t="shared" si="96"/>
        <v>-5188.2161903372953</v>
      </c>
      <c r="AF181" s="40">
        <f t="shared" si="97"/>
        <v>0</v>
      </c>
      <c r="AG181" s="40">
        <f t="shared" si="98"/>
        <v>3905.9998882367327</v>
      </c>
      <c r="AH181" s="40">
        <f t="shared" si="126"/>
        <v>1878.8527313832869</v>
      </c>
      <c r="AI181" s="106">
        <f t="shared" si="110"/>
        <v>-1259869.77872234</v>
      </c>
      <c r="AJ181" s="40">
        <f t="shared" si="104"/>
        <v>403133.91476384131</v>
      </c>
      <c r="AK181" s="108">
        <f t="shared" si="105"/>
        <v>-1124694.3864365956</v>
      </c>
    </row>
    <row r="182" spans="6:37">
      <c r="G182" s="1"/>
      <c r="I182">
        <v>10</v>
      </c>
      <c r="J182" s="26">
        <f t="shared" si="123"/>
        <v>4942.9899254929333</v>
      </c>
      <c r="K182" s="24">
        <f t="shared" si="124"/>
        <v>2888.7217371732768</v>
      </c>
      <c r="L182" s="24">
        <f t="shared" si="99"/>
        <v>6365.9512550018198</v>
      </c>
      <c r="M182" s="24">
        <f t="shared" si="90"/>
        <v>2728.2648235722081</v>
      </c>
      <c r="N182" s="48"/>
      <c r="O182" s="32">
        <f t="shared" si="91"/>
        <v>10082.99055914864</v>
      </c>
      <c r="P182" s="32">
        <f t="shared" si="100"/>
        <v>2323.6662120537176</v>
      </c>
      <c r="Q182" s="32">
        <f t="shared" si="101"/>
        <v>7759.3243470949228</v>
      </c>
      <c r="R182" s="45">
        <f t="shared" si="106"/>
        <v>549920.5665457974</v>
      </c>
      <c r="S182" s="31">
        <f t="shared" si="92"/>
        <v>-9363.6141023080891</v>
      </c>
      <c r="T182" s="32">
        <f t="shared" si="102"/>
        <v>0</v>
      </c>
      <c r="U182" s="32">
        <f t="shared" si="93"/>
        <v>-17122.938449403013</v>
      </c>
      <c r="V182" s="32">
        <v>0</v>
      </c>
      <c r="W182" s="32">
        <f t="shared" si="94"/>
        <v>-8028.7223708289857</v>
      </c>
      <c r="X182" s="32">
        <f t="shared" si="125"/>
        <v>-3861.9527361942128</v>
      </c>
      <c r="Y182" s="102">
        <f t="shared" si="107"/>
        <v>-977249.08575557207</v>
      </c>
      <c r="Z182" s="32">
        <f t="shared" si="108"/>
        <v>-1389584.1365762975</v>
      </c>
      <c r="AA182" s="45">
        <f t="shared" si="109"/>
        <v>-1389584.1365762975</v>
      </c>
      <c r="AB182" s="1"/>
      <c r="AC182" s="40">
        <f t="shared" si="95"/>
        <v>-7039.9478902543715</v>
      </c>
      <c r="AD182" s="40">
        <f t="shared" si="103"/>
        <v>0</v>
      </c>
      <c r="AE182" s="40">
        <f t="shared" si="96"/>
        <v>-7039.9478902543715</v>
      </c>
      <c r="AF182" s="40">
        <f t="shared" si="97"/>
        <v>0</v>
      </c>
      <c r="AG182" s="40">
        <f t="shared" si="98"/>
        <v>2054.2681883196565</v>
      </c>
      <c r="AH182" s="40">
        <f t="shared" si="126"/>
        <v>988.13812264611579</v>
      </c>
      <c r="AI182" s="106">
        <f t="shared" si="110"/>
        <v>-1258881.6405996939</v>
      </c>
      <c r="AJ182" s="40">
        <f t="shared" si="104"/>
        <v>405188.18295216095</v>
      </c>
      <c r="AK182" s="108">
        <f t="shared" si="105"/>
        <v>-1122640.1182482759</v>
      </c>
    </row>
    <row r="183" spans="6:37">
      <c r="G183" s="1"/>
      <c r="I183">
        <v>11</v>
      </c>
      <c r="J183" s="26">
        <f t="shared" si="123"/>
        <v>2592.4243798839079</v>
      </c>
      <c r="K183" s="24">
        <f t="shared" si="124"/>
        <v>2888.7217371732768</v>
      </c>
      <c r="L183" s="24">
        <f t="shared" si="99"/>
        <v>6365.9512550018198</v>
      </c>
      <c r="M183" s="24">
        <f t="shared" si="90"/>
        <v>2728.2648235722081</v>
      </c>
      <c r="N183" s="48"/>
      <c r="O183" s="32">
        <f t="shared" si="91"/>
        <v>10082.99055914864</v>
      </c>
      <c r="P183" s="32">
        <f t="shared" si="100"/>
        <v>2291.3356939408222</v>
      </c>
      <c r="Q183" s="32">
        <f t="shared" si="101"/>
        <v>7791.6548652078181</v>
      </c>
      <c r="R183" s="45">
        <f t="shared" si="106"/>
        <v>542128.91168058955</v>
      </c>
      <c r="S183" s="31">
        <f t="shared" si="92"/>
        <v>-11681.849129804219</v>
      </c>
      <c r="T183" s="32">
        <f t="shared" si="102"/>
        <v>0</v>
      </c>
      <c r="U183" s="32">
        <f t="shared" si="93"/>
        <v>-19473.503995012037</v>
      </c>
      <c r="V183" s="32">
        <v>0</v>
      </c>
      <c r="W183" s="32">
        <f t="shared" si="94"/>
        <v>-10379.28791643801</v>
      </c>
      <c r="X183" s="32">
        <f t="shared" si="125"/>
        <v>-4992.6149538156842</v>
      </c>
      <c r="Y183" s="102">
        <f t="shared" si="107"/>
        <v>-982241.70070938778</v>
      </c>
      <c r="Z183" s="32">
        <f t="shared" si="108"/>
        <v>-1399963.4244927354</v>
      </c>
      <c r="AA183" s="45">
        <f t="shared" si="109"/>
        <v>-1399963.4244927354</v>
      </c>
      <c r="AB183" s="1"/>
      <c r="AC183" s="40">
        <f t="shared" si="95"/>
        <v>-9390.5134358633968</v>
      </c>
      <c r="AD183" s="40">
        <f t="shared" si="103"/>
        <v>0</v>
      </c>
      <c r="AE183" s="40">
        <f t="shared" si="96"/>
        <v>-9390.5134358633968</v>
      </c>
      <c r="AF183" s="40">
        <f t="shared" si="97"/>
        <v>0</v>
      </c>
      <c r="AG183" s="40">
        <f t="shared" si="98"/>
        <v>-296.29735728936885</v>
      </c>
      <c r="AH183" s="40">
        <f t="shared" si="126"/>
        <v>-142.52409497535558</v>
      </c>
      <c r="AI183" s="106">
        <f t="shared" si="110"/>
        <v>-1259024.1646946692</v>
      </c>
      <c r="AJ183" s="40">
        <f t="shared" si="104"/>
        <v>404891.88559487159</v>
      </c>
      <c r="AK183" s="108">
        <f t="shared" si="105"/>
        <v>-1122936.4156055653</v>
      </c>
    </row>
    <row r="184" spans="6:37">
      <c r="G184" s="1"/>
      <c r="I184">
        <v>12</v>
      </c>
      <c r="J184" s="26">
        <f t="shared" si="123"/>
        <v>1957.5449399123388</v>
      </c>
      <c r="K184" s="24">
        <f t="shared" si="124"/>
        <v>2888.7217371732768</v>
      </c>
      <c r="L184" s="24">
        <f t="shared" si="99"/>
        <v>6365.9512550018198</v>
      </c>
      <c r="M184" s="24">
        <f t="shared" si="90"/>
        <v>2728.2648235722081</v>
      </c>
      <c r="N184" s="48"/>
      <c r="O184" s="32">
        <f t="shared" si="91"/>
        <v>10082.99055914864</v>
      </c>
      <c r="P184" s="32">
        <f t="shared" si="100"/>
        <v>2258.87046533579</v>
      </c>
      <c r="Q184" s="32">
        <f t="shared" si="101"/>
        <v>7824.1200938128504</v>
      </c>
      <c r="R184" s="45">
        <f t="shared" si="106"/>
        <v>534304.79158677673</v>
      </c>
      <c r="S184" s="31">
        <f t="shared" si="92"/>
        <v>-12284.263341170754</v>
      </c>
      <c r="T184" s="32">
        <f t="shared" si="102"/>
        <v>0</v>
      </c>
      <c r="U184" s="32">
        <f t="shared" si="93"/>
        <v>-20108.383434983603</v>
      </c>
      <c r="V184" s="32">
        <v>0</v>
      </c>
      <c r="W184" s="32">
        <f t="shared" si="94"/>
        <v>-11014.167356409576</v>
      </c>
      <c r="X184" s="32">
        <f t="shared" si="125"/>
        <v>-5298.002819668427</v>
      </c>
      <c r="Y184" s="102">
        <f t="shared" si="107"/>
        <v>-987539.70352905616</v>
      </c>
      <c r="Z184" s="32">
        <f t="shared" si="108"/>
        <v>-1410977.591849145</v>
      </c>
      <c r="AA184" s="45">
        <f t="shared" si="109"/>
        <v>-1410977.591849145</v>
      </c>
      <c r="AB184" s="1"/>
      <c r="AC184" s="40">
        <f t="shared" si="95"/>
        <v>-10025.392875834965</v>
      </c>
      <c r="AD184" s="40">
        <f t="shared" si="103"/>
        <v>0</v>
      </c>
      <c r="AE184" s="40">
        <f t="shared" si="96"/>
        <v>-10025.392875834965</v>
      </c>
      <c r="AF184" s="40">
        <f t="shared" si="97"/>
        <v>0</v>
      </c>
      <c r="AG184" s="40">
        <f t="shared" si="98"/>
        <v>-931.17679726093684</v>
      </c>
      <c r="AH184" s="40">
        <f t="shared" si="126"/>
        <v>-447.9119608280995</v>
      </c>
      <c r="AI184" s="106">
        <f t="shared" si="110"/>
        <v>-1259472.0766554973</v>
      </c>
      <c r="AJ184" s="40">
        <f t="shared" si="104"/>
        <v>403960.70879761066</v>
      </c>
      <c r="AK184" s="108">
        <f t="shared" si="105"/>
        <v>-1123867.5924028263</v>
      </c>
    </row>
    <row r="185" spans="6:37">
      <c r="F185" s="132" t="s">
        <v>88</v>
      </c>
      <c r="G185" s="1">
        <f>SUM(S185:S196)</f>
        <v>-98215.860437317373</v>
      </c>
      <c r="H185">
        <v>2030</v>
      </c>
      <c r="I185">
        <v>1</v>
      </c>
      <c r="J185" s="26">
        <f t="shared" ref="J185:J196" si="127">C23*$C$53*$D$53</f>
        <v>2267.1998286699004</v>
      </c>
      <c r="K185" s="24">
        <f t="shared" ref="K185:K196" si="128">$K$184*$C$8</f>
        <v>2975.383389288475</v>
      </c>
      <c r="L185" s="24">
        <f t="shared" si="99"/>
        <v>6365.9512550018198</v>
      </c>
      <c r="M185" s="24">
        <f t="shared" si="90"/>
        <v>2728.2648235722081</v>
      </c>
      <c r="N185" s="48"/>
      <c r="O185" s="32">
        <f t="shared" si="91"/>
        <v>10082.99055914864</v>
      </c>
      <c r="P185" s="32">
        <f t="shared" si="100"/>
        <v>2226.2699649449032</v>
      </c>
      <c r="Q185" s="32">
        <f t="shared" si="101"/>
        <v>7856.7205942037372</v>
      </c>
      <c r="R185" s="45">
        <f t="shared" si="106"/>
        <v>526448.07099257305</v>
      </c>
      <c r="S185" s="31">
        <f t="shared" si="92"/>
        <v>-12028.669604137507</v>
      </c>
      <c r="T185" s="32">
        <f t="shared" si="102"/>
        <v>0</v>
      </c>
      <c r="U185" s="32">
        <f t="shared" si="93"/>
        <v>-19885.390198341243</v>
      </c>
      <c r="V185" s="32">
        <v>0</v>
      </c>
      <c r="W185" s="32">
        <f t="shared" si="94"/>
        <v>-10791.174119767216</v>
      </c>
      <c r="X185" s="32">
        <f t="shared" ref="X185:X196" si="129">W185/(1+$C$18)^16</f>
        <v>-4943.5612000807678</v>
      </c>
      <c r="Y185" s="102">
        <f t="shared" si="107"/>
        <v>-992483.26472913695</v>
      </c>
      <c r="Z185" s="32">
        <f t="shared" si="108"/>
        <v>-1421768.7659689123</v>
      </c>
      <c r="AA185" s="45">
        <f t="shared" si="109"/>
        <v>-1421768.7659689123</v>
      </c>
      <c r="AB185" s="1"/>
      <c r="AC185" s="40">
        <f t="shared" si="95"/>
        <v>-9802.399639192603</v>
      </c>
      <c r="AD185" s="40">
        <f t="shared" si="103"/>
        <v>0</v>
      </c>
      <c r="AE185" s="40">
        <f t="shared" si="96"/>
        <v>-9802.399639192603</v>
      </c>
      <c r="AF185" s="40">
        <f t="shared" si="97"/>
        <v>0</v>
      </c>
      <c r="AG185" s="40">
        <f t="shared" si="98"/>
        <v>-708.18356061857503</v>
      </c>
      <c r="AH185" s="40">
        <f t="shared" ref="AH185:AH196" si="130">AG185/(1+$C$18)^16</f>
        <v>-324.42704880426447</v>
      </c>
      <c r="AI185" s="106">
        <f t="shared" si="110"/>
        <v>-1259796.5037043015</v>
      </c>
      <c r="AJ185" s="40">
        <f t="shared" si="104"/>
        <v>403252.52523699211</v>
      </c>
      <c r="AK185" s="108">
        <f t="shared" si="105"/>
        <v>-1124575.775963445</v>
      </c>
    </row>
    <row r="186" spans="6:37">
      <c r="F186" s="17" t="s">
        <v>31</v>
      </c>
      <c r="G186">
        <v>16</v>
      </c>
      <c r="I186">
        <v>2</v>
      </c>
      <c r="J186" s="26">
        <f t="shared" si="127"/>
        <v>3524.2611198136078</v>
      </c>
      <c r="K186" s="24">
        <f t="shared" si="128"/>
        <v>2975.383389288475</v>
      </c>
      <c r="L186" s="24">
        <f t="shared" si="99"/>
        <v>6365.9512550018198</v>
      </c>
      <c r="M186" s="24">
        <f t="shared" si="90"/>
        <v>2728.2648235722081</v>
      </c>
      <c r="N186" s="48"/>
      <c r="O186" s="32">
        <f t="shared" si="91"/>
        <v>10082.99055914864</v>
      </c>
      <c r="P186" s="32">
        <f t="shared" si="100"/>
        <v>2193.5336291357212</v>
      </c>
      <c r="Q186" s="32">
        <f t="shared" si="101"/>
        <v>7889.4569300129187</v>
      </c>
      <c r="R186" s="45">
        <f t="shared" si="106"/>
        <v>518558.61406256014</v>
      </c>
      <c r="S186" s="31">
        <f t="shared" si="92"/>
        <v>-10738.871977184617</v>
      </c>
      <c r="T186" s="32">
        <f t="shared" si="102"/>
        <v>0</v>
      </c>
      <c r="U186" s="32">
        <f t="shared" si="93"/>
        <v>-18628.328907197538</v>
      </c>
      <c r="V186" s="32">
        <v>0</v>
      </c>
      <c r="W186" s="32">
        <f t="shared" si="94"/>
        <v>-9534.1128286235107</v>
      </c>
      <c r="X186" s="32">
        <f t="shared" si="129"/>
        <v>-4367.6869387584502</v>
      </c>
      <c r="Y186" s="102">
        <f t="shared" si="107"/>
        <v>-996850.95166789542</v>
      </c>
      <c r="Z186" s="32">
        <f t="shared" si="108"/>
        <v>-1431302.8787975358</v>
      </c>
      <c r="AA186" s="45">
        <f t="shared" si="109"/>
        <v>-1431302.8787975358</v>
      </c>
      <c r="AB186" s="1"/>
      <c r="AC186" s="40">
        <f t="shared" si="95"/>
        <v>-8545.3383480488956</v>
      </c>
      <c r="AD186" s="40">
        <f t="shared" si="103"/>
        <v>0</v>
      </c>
      <c r="AE186" s="40">
        <f t="shared" si="96"/>
        <v>-8545.3383480488956</v>
      </c>
      <c r="AF186" s="40">
        <f t="shared" si="97"/>
        <v>0</v>
      </c>
      <c r="AG186" s="40">
        <f t="shared" si="98"/>
        <v>548.87773052513239</v>
      </c>
      <c r="AH186" s="40">
        <f t="shared" si="130"/>
        <v>251.44721251805404</v>
      </c>
      <c r="AI186" s="106">
        <f t="shared" si="110"/>
        <v>-1259545.0564917836</v>
      </c>
      <c r="AJ186" s="40">
        <f t="shared" si="104"/>
        <v>403801.40296751726</v>
      </c>
      <c r="AK186" s="108">
        <f t="shared" si="105"/>
        <v>-1124026.8982329199</v>
      </c>
    </row>
    <row r="187" spans="6:37">
      <c r="F187" s="13" t="s">
        <v>30</v>
      </c>
      <c r="G187" s="1">
        <v>0</v>
      </c>
      <c r="I187">
        <v>3</v>
      </c>
      <c r="J187" s="26">
        <f t="shared" si="127"/>
        <v>6577.124255448326</v>
      </c>
      <c r="K187" s="24">
        <f t="shared" si="128"/>
        <v>2975.383389288475</v>
      </c>
      <c r="L187" s="24">
        <f t="shared" si="99"/>
        <v>6365.9512550018198</v>
      </c>
      <c r="M187" s="24">
        <f t="shared" si="90"/>
        <v>2728.2648235722081</v>
      </c>
      <c r="N187" s="48"/>
      <c r="O187" s="32">
        <f t="shared" si="91"/>
        <v>10082.99055914864</v>
      </c>
      <c r="P187" s="32">
        <f t="shared" si="100"/>
        <v>2160.660891927334</v>
      </c>
      <c r="Q187" s="32">
        <f t="shared" si="101"/>
        <v>7922.3296672213064</v>
      </c>
      <c r="R187" s="45">
        <f t="shared" si="106"/>
        <v>510636.28439533885</v>
      </c>
      <c r="S187" s="31">
        <f t="shared" si="92"/>
        <v>-7653.1361043415109</v>
      </c>
      <c r="T187" s="32">
        <f t="shared" si="102"/>
        <v>0</v>
      </c>
      <c r="U187" s="32">
        <f t="shared" si="93"/>
        <v>-15575.465771562816</v>
      </c>
      <c r="V187" s="32">
        <v>0</v>
      </c>
      <c r="W187" s="32">
        <f t="shared" si="94"/>
        <v>-6481.2496929887893</v>
      </c>
      <c r="X187" s="32">
        <f t="shared" si="129"/>
        <v>-2969.1351612613898</v>
      </c>
      <c r="Y187" s="102">
        <f t="shared" si="107"/>
        <v>-999820.08682915685</v>
      </c>
      <c r="Z187" s="32">
        <f t="shared" si="108"/>
        <v>-1437784.1284905246</v>
      </c>
      <c r="AA187" s="45">
        <f t="shared" si="109"/>
        <v>-1437784.1284905246</v>
      </c>
      <c r="AB187" s="1"/>
      <c r="AC187" s="40">
        <f t="shared" si="95"/>
        <v>-5492.4752124141769</v>
      </c>
      <c r="AD187" s="40">
        <f t="shared" si="103"/>
        <v>0</v>
      </c>
      <c r="AE187" s="40">
        <f t="shared" si="96"/>
        <v>-5492.4752124141769</v>
      </c>
      <c r="AF187" s="40">
        <f t="shared" si="97"/>
        <v>0</v>
      </c>
      <c r="AG187" s="40">
        <f t="shared" si="98"/>
        <v>3601.7408661598511</v>
      </c>
      <c r="AH187" s="40">
        <f t="shared" si="130"/>
        <v>1649.9989900151136</v>
      </c>
      <c r="AI187" s="106">
        <f t="shared" si="110"/>
        <v>-1257895.0575017685</v>
      </c>
      <c r="AJ187" s="40">
        <f t="shared" si="104"/>
        <v>407403.14383367711</v>
      </c>
      <c r="AK187" s="108">
        <f t="shared" si="105"/>
        <v>-1120425.1573667601</v>
      </c>
    </row>
    <row r="188" spans="6:37">
      <c r="F188" s="18" t="s">
        <v>39</v>
      </c>
      <c r="G188" s="1">
        <f>G185+G176</f>
        <v>-1497845.2791587971</v>
      </c>
      <c r="I188">
        <v>4</v>
      </c>
      <c r="J188" s="26">
        <f t="shared" si="127"/>
        <v>8455.2336844785077</v>
      </c>
      <c r="K188" s="24">
        <f t="shared" si="128"/>
        <v>2975.383389288475</v>
      </c>
      <c r="L188" s="24">
        <f t="shared" si="99"/>
        <v>6365.9512550018198</v>
      </c>
      <c r="M188" s="24">
        <f t="shared" si="90"/>
        <v>2728.2648235722081</v>
      </c>
      <c r="N188" s="48"/>
      <c r="O188" s="32">
        <f t="shared" si="91"/>
        <v>10082.99055914864</v>
      </c>
      <c r="P188" s="32">
        <f t="shared" si="100"/>
        <v>2127.6511849805784</v>
      </c>
      <c r="Q188" s="32">
        <f t="shared" si="101"/>
        <v>7955.339374168062</v>
      </c>
      <c r="R188" s="45">
        <f t="shared" si="106"/>
        <v>502680.94502117077</v>
      </c>
      <c r="S188" s="31">
        <f t="shared" si="92"/>
        <v>-5742.0169683645736</v>
      </c>
      <c r="T188" s="32">
        <f t="shared" si="102"/>
        <v>0</v>
      </c>
      <c r="U188" s="32">
        <f t="shared" si="93"/>
        <v>-13697.356342532636</v>
      </c>
      <c r="V188" s="32">
        <v>0</v>
      </c>
      <c r="W188" s="32">
        <f t="shared" si="94"/>
        <v>-4603.1402639586076</v>
      </c>
      <c r="X188" s="32">
        <f t="shared" si="129"/>
        <v>-2108.7515922619737</v>
      </c>
      <c r="Y188" s="102">
        <f t="shared" si="107"/>
        <v>-1001928.8384214188</v>
      </c>
      <c r="Z188" s="32">
        <f t="shared" si="108"/>
        <v>-1442387.2687544832</v>
      </c>
      <c r="AA188" s="45">
        <f t="shared" si="109"/>
        <v>-1442387.2687544832</v>
      </c>
      <c r="AB188" s="1"/>
      <c r="AC188" s="40">
        <f t="shared" si="95"/>
        <v>-3614.3657833839952</v>
      </c>
      <c r="AD188" s="40">
        <f t="shared" si="103"/>
        <v>0</v>
      </c>
      <c r="AE188" s="40">
        <f t="shared" si="96"/>
        <v>-3614.3657833839952</v>
      </c>
      <c r="AF188" s="40">
        <f t="shared" si="97"/>
        <v>0</v>
      </c>
      <c r="AG188" s="40">
        <f t="shared" si="98"/>
        <v>5479.8502951900327</v>
      </c>
      <c r="AH188" s="40">
        <f t="shared" si="130"/>
        <v>2510.3825590145298</v>
      </c>
      <c r="AI188" s="106">
        <f t="shared" si="110"/>
        <v>-1255384.674942754</v>
      </c>
      <c r="AJ188" s="40">
        <f t="shared" si="104"/>
        <v>412882.99412886717</v>
      </c>
      <c r="AK188" s="108">
        <f t="shared" si="105"/>
        <v>-1114945.3070715701</v>
      </c>
    </row>
    <row r="189" spans="6:37">
      <c r="F189" s="16" t="s">
        <v>90</v>
      </c>
      <c r="G189" s="129">
        <f>$C$60</f>
        <v>0</v>
      </c>
      <c r="I189">
        <v>5</v>
      </c>
      <c r="J189" s="26">
        <f t="shared" si="127"/>
        <v>8679.7089150398842</v>
      </c>
      <c r="K189" s="24">
        <f t="shared" si="128"/>
        <v>2975.383389288475</v>
      </c>
      <c r="L189" s="24">
        <f t="shared" si="99"/>
        <v>6365.9512550018198</v>
      </c>
      <c r="M189" s="24">
        <f t="shared" si="90"/>
        <v>2728.2648235722081</v>
      </c>
      <c r="N189" s="48"/>
      <c r="O189" s="32">
        <f t="shared" si="91"/>
        <v>10082.99055914864</v>
      </c>
      <c r="P189" s="32">
        <f t="shared" si="100"/>
        <v>2094.5039375882116</v>
      </c>
      <c r="Q189" s="32">
        <f t="shared" si="101"/>
        <v>7988.4866215604288</v>
      </c>
      <c r="R189" s="45">
        <f t="shared" si="106"/>
        <v>494692.45839961036</v>
      </c>
      <c r="S189" s="31">
        <f t="shared" si="92"/>
        <v>-5484.3944904108303</v>
      </c>
      <c r="T189" s="32">
        <f t="shared" si="102"/>
        <v>0</v>
      </c>
      <c r="U189" s="32">
        <f t="shared" si="93"/>
        <v>-13472.881111971259</v>
      </c>
      <c r="V189" s="32">
        <v>0</v>
      </c>
      <c r="W189" s="32">
        <f t="shared" si="94"/>
        <v>-4378.6650333972311</v>
      </c>
      <c r="X189" s="32">
        <f t="shared" si="129"/>
        <v>-2005.9169027401308</v>
      </c>
      <c r="Y189" s="102">
        <f t="shared" si="107"/>
        <v>-1003934.7553241589</v>
      </c>
      <c r="Z189" s="32">
        <f t="shared" si="108"/>
        <v>-1446765.9337878805</v>
      </c>
      <c r="AA189" s="45">
        <f t="shared" si="109"/>
        <v>-1446765.9337878805</v>
      </c>
      <c r="AB189" s="1"/>
      <c r="AC189" s="40">
        <f t="shared" si="95"/>
        <v>-3389.8905528226187</v>
      </c>
      <c r="AD189" s="40">
        <f t="shared" si="103"/>
        <v>0</v>
      </c>
      <c r="AE189" s="40">
        <f t="shared" si="96"/>
        <v>-3389.8905528226187</v>
      </c>
      <c r="AF189" s="40">
        <f t="shared" si="97"/>
        <v>0</v>
      </c>
      <c r="AG189" s="40">
        <f t="shared" si="98"/>
        <v>5704.3255257514093</v>
      </c>
      <c r="AH189" s="40">
        <f t="shared" si="130"/>
        <v>2613.2172485363722</v>
      </c>
      <c r="AI189" s="106">
        <f t="shared" si="110"/>
        <v>-1252771.4576942176</v>
      </c>
      <c r="AJ189" s="40">
        <f t="shared" si="104"/>
        <v>418587.31965461856</v>
      </c>
      <c r="AK189" s="108">
        <f t="shared" si="105"/>
        <v>-1109240.9815458187</v>
      </c>
    </row>
    <row r="190" spans="6:37">
      <c r="G190" s="1"/>
      <c r="I190">
        <v>6</v>
      </c>
      <c r="J190" s="26">
        <f t="shared" si="127"/>
        <v>8679.7089150398842</v>
      </c>
      <c r="K190" s="24">
        <f t="shared" si="128"/>
        <v>2975.383389288475</v>
      </c>
      <c r="L190" s="24">
        <f t="shared" si="99"/>
        <v>6365.9512550018198</v>
      </c>
      <c r="M190" s="24">
        <f t="shared" ref="M190:M244" si="131">$C$9/($C$6/2)</f>
        <v>2728.2648235722081</v>
      </c>
      <c r="N190" s="48"/>
      <c r="O190" s="32">
        <f t="shared" si="91"/>
        <v>10082.99055914864</v>
      </c>
      <c r="P190" s="32">
        <f t="shared" si="100"/>
        <v>2061.2185766650432</v>
      </c>
      <c r="Q190" s="32">
        <f t="shared" si="101"/>
        <v>8021.7719824835967</v>
      </c>
      <c r="R190" s="45">
        <f t="shared" si="106"/>
        <v>486670.68641712674</v>
      </c>
      <c r="S190" s="31">
        <f t="shared" si="92"/>
        <v>-5451.1091294876624</v>
      </c>
      <c r="T190" s="32">
        <f t="shared" si="102"/>
        <v>0</v>
      </c>
      <c r="U190" s="32">
        <f t="shared" si="93"/>
        <v>-13472.881111971259</v>
      </c>
      <c r="V190" s="32">
        <v>0</v>
      </c>
      <c r="W190" s="32">
        <f t="shared" si="94"/>
        <v>-4378.6650333972311</v>
      </c>
      <c r="X190" s="32">
        <f t="shared" si="129"/>
        <v>-2005.9169027401308</v>
      </c>
      <c r="Y190" s="102">
        <f t="shared" si="107"/>
        <v>-1005940.6722268991</v>
      </c>
      <c r="Z190" s="32">
        <f t="shared" si="108"/>
        <v>-1451144.5988212777</v>
      </c>
      <c r="AA190" s="45">
        <f t="shared" si="109"/>
        <v>-1451144.5988212777</v>
      </c>
      <c r="AB190" s="1"/>
      <c r="AC190" s="40">
        <f t="shared" si="95"/>
        <v>-3389.8905528226187</v>
      </c>
      <c r="AD190" s="40">
        <f t="shared" si="103"/>
        <v>0</v>
      </c>
      <c r="AE190" s="40">
        <f t="shared" si="96"/>
        <v>-3389.8905528226187</v>
      </c>
      <c r="AF190" s="40">
        <f t="shared" si="97"/>
        <v>0</v>
      </c>
      <c r="AG190" s="40">
        <f t="shared" si="98"/>
        <v>5704.3255257514093</v>
      </c>
      <c r="AH190" s="40">
        <f t="shared" si="130"/>
        <v>2613.2172485363722</v>
      </c>
      <c r="AI190" s="106">
        <f t="shared" si="110"/>
        <v>-1250158.2404456811</v>
      </c>
      <c r="AJ190" s="40">
        <f t="shared" si="104"/>
        <v>424291.64518036996</v>
      </c>
      <c r="AK190" s="108">
        <f t="shared" si="105"/>
        <v>-1103536.6560200674</v>
      </c>
    </row>
    <row r="191" spans="6:37">
      <c r="G191" s="1"/>
      <c r="I191">
        <v>7</v>
      </c>
      <c r="J191" s="26">
        <f t="shared" si="127"/>
        <v>8679.7089150398842</v>
      </c>
      <c r="K191" s="24">
        <f t="shared" si="128"/>
        <v>2975.383389288475</v>
      </c>
      <c r="L191" s="24">
        <f t="shared" si="99"/>
        <v>6365.9512550018198</v>
      </c>
      <c r="M191" s="24">
        <f t="shared" si="131"/>
        <v>2728.2648235722081</v>
      </c>
      <c r="N191" s="48"/>
      <c r="O191" s="32">
        <f t="shared" si="91"/>
        <v>10082.99055914864</v>
      </c>
      <c r="P191" s="32">
        <f t="shared" si="100"/>
        <v>2027.794526738028</v>
      </c>
      <c r="Q191" s="32">
        <f t="shared" si="101"/>
        <v>8055.1960324106121</v>
      </c>
      <c r="R191" s="45">
        <f t="shared" si="106"/>
        <v>478615.49038471613</v>
      </c>
      <c r="S191" s="31">
        <f t="shared" si="92"/>
        <v>-5417.685079560647</v>
      </c>
      <c r="T191" s="32">
        <f t="shared" si="102"/>
        <v>0</v>
      </c>
      <c r="U191" s="32">
        <f t="shared" si="93"/>
        <v>-13472.881111971259</v>
      </c>
      <c r="V191" s="32">
        <v>0</v>
      </c>
      <c r="W191" s="32">
        <f t="shared" si="94"/>
        <v>-4378.6650333972311</v>
      </c>
      <c r="X191" s="32">
        <f t="shared" si="129"/>
        <v>-2005.9169027401308</v>
      </c>
      <c r="Y191" s="102">
        <f t="shared" si="107"/>
        <v>-1007946.5891296392</v>
      </c>
      <c r="Z191" s="32">
        <f t="shared" si="108"/>
        <v>-1455523.263854675</v>
      </c>
      <c r="AA191" s="45">
        <f t="shared" si="109"/>
        <v>-1455523.263854675</v>
      </c>
      <c r="AB191" s="1"/>
      <c r="AC191" s="40">
        <f t="shared" si="95"/>
        <v>-3389.8905528226187</v>
      </c>
      <c r="AD191" s="40">
        <f t="shared" si="103"/>
        <v>0</v>
      </c>
      <c r="AE191" s="40">
        <f t="shared" si="96"/>
        <v>-3389.8905528226187</v>
      </c>
      <c r="AF191" s="40">
        <f t="shared" si="97"/>
        <v>0</v>
      </c>
      <c r="AG191" s="40">
        <f t="shared" si="98"/>
        <v>5704.3255257514093</v>
      </c>
      <c r="AH191" s="40">
        <f t="shared" si="130"/>
        <v>2613.2172485363722</v>
      </c>
      <c r="AI191" s="106">
        <f t="shared" si="110"/>
        <v>-1247545.0231971447</v>
      </c>
      <c r="AJ191" s="40">
        <f t="shared" si="104"/>
        <v>429995.97070612136</v>
      </c>
      <c r="AK191" s="108">
        <f t="shared" si="105"/>
        <v>-1097832.3304943161</v>
      </c>
    </row>
    <row r="192" spans="6:37">
      <c r="G192" s="1"/>
      <c r="I192">
        <v>8</v>
      </c>
      <c r="J192" s="26">
        <f t="shared" si="127"/>
        <v>8155.9333770633393</v>
      </c>
      <c r="K192" s="24">
        <f t="shared" si="128"/>
        <v>2975.383389288475</v>
      </c>
      <c r="L192" s="24">
        <f t="shared" si="99"/>
        <v>6365.9512550018198</v>
      </c>
      <c r="M192" s="24">
        <f t="shared" si="131"/>
        <v>2728.2648235722081</v>
      </c>
      <c r="N192" s="48"/>
      <c r="O192" s="32">
        <f t="shared" si="91"/>
        <v>10082.99055914864</v>
      </c>
      <c r="P192" s="32">
        <f t="shared" si="100"/>
        <v>1994.2312099363171</v>
      </c>
      <c r="Q192" s="32">
        <f t="shared" si="101"/>
        <v>8088.7593492123233</v>
      </c>
      <c r="R192" s="45">
        <f t="shared" si="106"/>
        <v>470526.73103550379</v>
      </c>
      <c r="S192" s="31">
        <f t="shared" si="92"/>
        <v>-5907.8973007354807</v>
      </c>
      <c r="T192" s="32">
        <f t="shared" si="102"/>
        <v>0</v>
      </c>
      <c r="U192" s="32">
        <f t="shared" si="93"/>
        <v>-13996.656649947803</v>
      </c>
      <c r="V192" s="32">
        <v>0</v>
      </c>
      <c r="W192" s="32">
        <f t="shared" si="94"/>
        <v>-4902.4405713737751</v>
      </c>
      <c r="X192" s="32">
        <f t="shared" si="129"/>
        <v>-2245.8645116244297</v>
      </c>
      <c r="Y192" s="102">
        <f t="shared" si="107"/>
        <v>-1010192.4536412637</v>
      </c>
      <c r="Z192" s="32">
        <f t="shared" si="108"/>
        <v>-1460425.7044260488</v>
      </c>
      <c r="AA192" s="45">
        <f t="shared" si="109"/>
        <v>-1460425.7044260488</v>
      </c>
      <c r="AB192" s="1"/>
      <c r="AC192" s="40">
        <f t="shared" si="95"/>
        <v>-3913.6660907991636</v>
      </c>
      <c r="AD192" s="40">
        <f t="shared" si="103"/>
        <v>0</v>
      </c>
      <c r="AE192" s="40">
        <f t="shared" si="96"/>
        <v>-3913.6660907991636</v>
      </c>
      <c r="AF192" s="40">
        <f t="shared" si="97"/>
        <v>0</v>
      </c>
      <c r="AG192" s="40">
        <f t="shared" si="98"/>
        <v>5180.5499877748643</v>
      </c>
      <c r="AH192" s="40">
        <f t="shared" si="130"/>
        <v>2373.2696396520728</v>
      </c>
      <c r="AI192" s="106">
        <f t="shared" si="110"/>
        <v>-1245171.7535574927</v>
      </c>
      <c r="AJ192" s="40">
        <f t="shared" si="104"/>
        <v>435176.52069389622</v>
      </c>
      <c r="AK192" s="108">
        <f t="shared" si="105"/>
        <v>-1092651.7805065413</v>
      </c>
    </row>
    <row r="193" spans="6:37">
      <c r="G193" s="1"/>
      <c r="I193">
        <v>9</v>
      </c>
      <c r="J193" s="26">
        <f t="shared" si="127"/>
        <v>6726.7744091559089</v>
      </c>
      <c r="K193" s="24">
        <f t="shared" si="128"/>
        <v>2975.383389288475</v>
      </c>
      <c r="L193" s="24">
        <f t="shared" si="99"/>
        <v>6365.9512550018198</v>
      </c>
      <c r="M193" s="24">
        <f t="shared" si="131"/>
        <v>2728.2648235722081</v>
      </c>
      <c r="N193" s="48"/>
      <c r="O193" s="32">
        <f t="shared" si="91"/>
        <v>10082.99055914864</v>
      </c>
      <c r="P193" s="32">
        <f t="shared" si="100"/>
        <v>1960.5280459812657</v>
      </c>
      <c r="Q193" s="32">
        <f t="shared" si="101"/>
        <v>8122.4625131673747</v>
      </c>
      <c r="R193" s="45">
        <f t="shared" si="106"/>
        <v>462404.26852233644</v>
      </c>
      <c r="S193" s="31">
        <f t="shared" si="92"/>
        <v>-7303.3531046878597</v>
      </c>
      <c r="T193" s="32">
        <f t="shared" si="102"/>
        <v>0</v>
      </c>
      <c r="U193" s="32">
        <f t="shared" si="93"/>
        <v>-15425.815617855234</v>
      </c>
      <c r="V193" s="32">
        <v>0</v>
      </c>
      <c r="W193" s="32">
        <f t="shared" si="94"/>
        <v>-6331.5995392812074</v>
      </c>
      <c r="X193" s="32">
        <f t="shared" si="129"/>
        <v>-2900.5787015801625</v>
      </c>
      <c r="Y193" s="102">
        <f t="shared" si="107"/>
        <v>-1013093.0323428438</v>
      </c>
      <c r="Z193" s="32">
        <f t="shared" si="108"/>
        <v>-1466757.3039653299</v>
      </c>
      <c r="AA193" s="45">
        <f t="shared" si="109"/>
        <v>-1466757.3039653299</v>
      </c>
      <c r="AB193" s="1"/>
      <c r="AC193" s="40">
        <f t="shared" si="95"/>
        <v>-5342.8250587065941</v>
      </c>
      <c r="AD193" s="40">
        <f t="shared" si="103"/>
        <v>0</v>
      </c>
      <c r="AE193" s="40">
        <f t="shared" si="96"/>
        <v>-5342.8250587065941</v>
      </c>
      <c r="AF193" s="40">
        <f t="shared" si="97"/>
        <v>0</v>
      </c>
      <c r="AG193" s="40">
        <f t="shared" si="98"/>
        <v>3751.3910198674339</v>
      </c>
      <c r="AH193" s="40">
        <f t="shared" si="130"/>
        <v>1718.5554496963412</v>
      </c>
      <c r="AI193" s="106">
        <f t="shared" si="110"/>
        <v>-1243453.1981077965</v>
      </c>
      <c r="AJ193" s="40">
        <f t="shared" si="104"/>
        <v>438927.91171376366</v>
      </c>
      <c r="AK193" s="108">
        <f t="shared" si="105"/>
        <v>-1088900.3894866738</v>
      </c>
    </row>
    <row r="194" spans="6:37">
      <c r="G194" s="1"/>
      <c r="I194">
        <v>10</v>
      </c>
      <c r="J194" s="26">
        <f t="shared" si="127"/>
        <v>4893.560026238003</v>
      </c>
      <c r="K194" s="24">
        <f t="shared" si="128"/>
        <v>2975.383389288475</v>
      </c>
      <c r="L194" s="24">
        <f t="shared" si="99"/>
        <v>6365.9512550018198</v>
      </c>
      <c r="M194" s="24">
        <f t="shared" si="131"/>
        <v>2728.2648235722081</v>
      </c>
      <c r="N194" s="48"/>
      <c r="O194" s="32">
        <f t="shared" si="91"/>
        <v>10082.99055914864</v>
      </c>
      <c r="P194" s="32">
        <f t="shared" si="100"/>
        <v>1926.6844521764017</v>
      </c>
      <c r="Q194" s="32">
        <f t="shared" si="101"/>
        <v>8156.3061069722389</v>
      </c>
      <c r="R194" s="45">
        <f t="shared" si="106"/>
        <v>454247.96241536422</v>
      </c>
      <c r="S194" s="31">
        <f t="shared" si="92"/>
        <v>-9102.7238938009014</v>
      </c>
      <c r="T194" s="32">
        <f t="shared" si="102"/>
        <v>0</v>
      </c>
      <c r="U194" s="32">
        <f t="shared" si="93"/>
        <v>-17259.030000773142</v>
      </c>
      <c r="V194" s="32">
        <v>0</v>
      </c>
      <c r="W194" s="32">
        <f t="shared" si="94"/>
        <v>-8164.813922199115</v>
      </c>
      <c r="X194" s="32">
        <f t="shared" si="129"/>
        <v>-3740.3953326752107</v>
      </c>
      <c r="Y194" s="102">
        <f t="shared" si="107"/>
        <v>-1016833.427675519</v>
      </c>
      <c r="Z194" s="32">
        <f t="shared" si="108"/>
        <v>-1474922.1178875291</v>
      </c>
      <c r="AA194" s="45">
        <f t="shared" si="109"/>
        <v>-1474922.1178875291</v>
      </c>
      <c r="AB194" s="1"/>
      <c r="AC194" s="40">
        <f t="shared" si="95"/>
        <v>-7176.0394416244999</v>
      </c>
      <c r="AD194" s="40">
        <f t="shared" si="103"/>
        <v>0</v>
      </c>
      <c r="AE194" s="40">
        <f t="shared" si="96"/>
        <v>-7176.0394416244999</v>
      </c>
      <c r="AF194" s="40">
        <f t="shared" si="97"/>
        <v>0</v>
      </c>
      <c r="AG194" s="40">
        <f t="shared" si="98"/>
        <v>1918.1766369495281</v>
      </c>
      <c r="AH194" s="40">
        <f t="shared" si="130"/>
        <v>878.73881860129381</v>
      </c>
      <c r="AI194" s="106">
        <f t="shared" si="110"/>
        <v>-1242574.4592891952</v>
      </c>
      <c r="AJ194" s="40">
        <f t="shared" si="104"/>
        <v>440846.08835071319</v>
      </c>
      <c r="AK194" s="108">
        <f t="shared" si="105"/>
        <v>-1086982.2128497243</v>
      </c>
    </row>
    <row r="195" spans="6:37">
      <c r="G195" s="1"/>
      <c r="I195">
        <v>11</v>
      </c>
      <c r="J195" s="26">
        <f t="shared" si="127"/>
        <v>2566.5001360850692</v>
      </c>
      <c r="K195" s="24">
        <f t="shared" si="128"/>
        <v>2975.383389288475</v>
      </c>
      <c r="L195" s="24">
        <f t="shared" si="99"/>
        <v>6365.9512550018198</v>
      </c>
      <c r="M195" s="24">
        <f t="shared" si="131"/>
        <v>2728.2648235722081</v>
      </c>
      <c r="N195" s="48"/>
      <c r="O195" s="32">
        <f t="shared" si="91"/>
        <v>10082.99055914864</v>
      </c>
      <c r="P195" s="32">
        <f t="shared" si="100"/>
        <v>1892.6998433973508</v>
      </c>
      <c r="Q195" s="32">
        <f t="shared" si="101"/>
        <v>8190.2907157512891</v>
      </c>
      <c r="R195" s="45">
        <f t="shared" si="106"/>
        <v>446057.67169961293</v>
      </c>
      <c r="S195" s="31">
        <f t="shared" si="92"/>
        <v>-11395.799175174785</v>
      </c>
      <c r="T195" s="32">
        <f t="shared" si="102"/>
        <v>0</v>
      </c>
      <c r="U195" s="32">
        <f t="shared" si="93"/>
        <v>-19586.089890926072</v>
      </c>
      <c r="V195" s="32">
        <v>0</v>
      </c>
      <c r="W195" s="32">
        <f t="shared" si="94"/>
        <v>-10491.873812352045</v>
      </c>
      <c r="X195" s="32">
        <f t="shared" si="129"/>
        <v>-4806.4482807183103</v>
      </c>
      <c r="Y195" s="102">
        <f t="shared" si="107"/>
        <v>-1021639.8759562373</v>
      </c>
      <c r="Z195" s="32">
        <f t="shared" si="108"/>
        <v>-1485413.9916998812</v>
      </c>
      <c r="AA195" s="45">
        <f t="shared" si="109"/>
        <v>-1485413.9916998812</v>
      </c>
      <c r="AB195" s="1"/>
      <c r="AC195" s="40">
        <f t="shared" si="95"/>
        <v>-9503.0993317774337</v>
      </c>
      <c r="AD195" s="40">
        <f t="shared" si="103"/>
        <v>0</v>
      </c>
      <c r="AE195" s="40">
        <f t="shared" si="96"/>
        <v>-9503.0993317774337</v>
      </c>
      <c r="AF195" s="40">
        <f t="shared" si="97"/>
        <v>0</v>
      </c>
      <c r="AG195" s="40">
        <f t="shared" si="98"/>
        <v>-408.88325320340573</v>
      </c>
      <c r="AH195" s="40">
        <f t="shared" si="130"/>
        <v>-187.31412944180727</v>
      </c>
      <c r="AI195" s="106">
        <f t="shared" si="110"/>
        <v>-1242761.773418637</v>
      </c>
      <c r="AJ195" s="40">
        <f t="shared" si="104"/>
        <v>440437.20509750978</v>
      </c>
      <c r="AK195" s="108">
        <f t="shared" si="105"/>
        <v>-1087391.0961029278</v>
      </c>
    </row>
    <row r="196" spans="6:37">
      <c r="G196" s="1"/>
      <c r="I196">
        <v>12</v>
      </c>
      <c r="J196" s="26">
        <f t="shared" si="127"/>
        <v>1937.9694905132155</v>
      </c>
      <c r="K196" s="24">
        <f t="shared" si="128"/>
        <v>2975.383389288475</v>
      </c>
      <c r="L196" s="24">
        <f t="shared" si="99"/>
        <v>6365.9512550018198</v>
      </c>
      <c r="M196" s="24">
        <f t="shared" si="131"/>
        <v>2728.2648235722081</v>
      </c>
      <c r="N196" s="48"/>
      <c r="O196" s="32">
        <f t="shared" si="91"/>
        <v>10082.99055914864</v>
      </c>
      <c r="P196" s="32">
        <f t="shared" si="100"/>
        <v>1858.5736320817205</v>
      </c>
      <c r="Q196" s="32">
        <f t="shared" si="101"/>
        <v>8224.416927066919</v>
      </c>
      <c r="R196" s="45">
        <f t="shared" si="106"/>
        <v>437833.254772546</v>
      </c>
      <c r="S196" s="31">
        <f t="shared" si="92"/>
        <v>-11990.203609431006</v>
      </c>
      <c r="T196" s="32">
        <f t="shared" si="102"/>
        <v>0</v>
      </c>
      <c r="U196" s="32">
        <f t="shared" si="93"/>
        <v>-20214.620536497925</v>
      </c>
      <c r="V196" s="32">
        <v>0</v>
      </c>
      <c r="W196" s="32">
        <f t="shared" si="94"/>
        <v>-11120.404457923898</v>
      </c>
      <c r="X196" s="32">
        <f t="shared" si="129"/>
        <v>-5094.3854113794687</v>
      </c>
      <c r="Y196" s="102">
        <f t="shared" si="107"/>
        <v>-1026734.2613676168</v>
      </c>
      <c r="Z196" s="32">
        <f t="shared" si="108"/>
        <v>-1496534.3961578051</v>
      </c>
      <c r="AA196" s="45">
        <f t="shared" si="109"/>
        <v>-1496534.3961578051</v>
      </c>
      <c r="AB196" s="1"/>
      <c r="AC196" s="40">
        <f t="shared" si="95"/>
        <v>-10131.629977349286</v>
      </c>
      <c r="AD196" s="40">
        <f t="shared" si="103"/>
        <v>0</v>
      </c>
      <c r="AE196" s="40">
        <f t="shared" si="96"/>
        <v>-10131.629977349286</v>
      </c>
      <c r="AF196" s="40">
        <f t="shared" si="97"/>
        <v>0</v>
      </c>
      <c r="AG196" s="40">
        <f t="shared" si="98"/>
        <v>-1037.4138987752585</v>
      </c>
      <c r="AH196" s="40">
        <f t="shared" si="130"/>
        <v>-475.25126010296611</v>
      </c>
      <c r="AI196" s="106">
        <f t="shared" si="110"/>
        <v>-1243237.02467874</v>
      </c>
      <c r="AJ196" s="40">
        <f t="shared" si="104"/>
        <v>439399.79119873454</v>
      </c>
      <c r="AK196" s="108">
        <f t="shared" si="105"/>
        <v>-1088428.5100017032</v>
      </c>
    </row>
    <row r="197" spans="6:37">
      <c r="F197" s="132" t="s">
        <v>88</v>
      </c>
      <c r="G197" s="1">
        <f>SUM(S197:S208)</f>
        <v>-95062.768373203566</v>
      </c>
      <c r="H197">
        <v>2031</v>
      </c>
      <c r="I197">
        <v>1</v>
      </c>
      <c r="J197" s="26">
        <f t="shared" ref="J197:J208" si="132">C23*$C$54*$D$54</f>
        <v>2244.5278303832015</v>
      </c>
      <c r="K197" s="24">
        <f t="shared" ref="K197:K208" si="133">$K$196*$C$8</f>
        <v>3064.6448909671294</v>
      </c>
      <c r="L197" s="24">
        <f t="shared" si="99"/>
        <v>6365.9512550018198</v>
      </c>
      <c r="M197" s="24">
        <f t="shared" si="131"/>
        <v>2728.2648235722081</v>
      </c>
      <c r="N197" s="48"/>
      <c r="O197" s="32">
        <f t="shared" ref="O197:O244" si="134">-PMT($C$13/12,$C$14,$C$12,0,0)</f>
        <v>10082.99055914864</v>
      </c>
      <c r="P197" s="32">
        <f t="shared" si="100"/>
        <v>1824.3052282189417</v>
      </c>
      <c r="Q197" s="32">
        <f t="shared" si="101"/>
        <v>8258.6853309296985</v>
      </c>
      <c r="R197" s="45">
        <f t="shared" si="106"/>
        <v>429574.5694416163</v>
      </c>
      <c r="S197" s="31">
        <f t="shared" ref="S197:S244" si="135">J197-K197-L197-M197-P197</f>
        <v>-11738.638367376898</v>
      </c>
      <c r="T197" s="32">
        <f t="shared" si="102"/>
        <v>0</v>
      </c>
      <c r="U197" s="32">
        <f t="shared" ref="U197:U244" si="136">J197-K197-L197-M197-T197-O197</f>
        <v>-19997.323698306594</v>
      </c>
      <c r="V197" s="32">
        <v>0</v>
      </c>
      <c r="W197" s="32">
        <f t="shared" ref="W197:W244" si="137">U197-V197+L197+M197</f>
        <v>-10903.107619732567</v>
      </c>
      <c r="X197" s="32">
        <f t="shared" ref="X197:X208" si="138">W197/(1+$C$18)^17</f>
        <v>-4756.989739154018</v>
      </c>
      <c r="Y197" s="102">
        <f t="shared" si="107"/>
        <v>-1031491.2511067708</v>
      </c>
      <c r="Z197" s="32">
        <f t="shared" si="108"/>
        <v>-1507437.5037775377</v>
      </c>
      <c r="AA197" s="45">
        <f t="shared" si="109"/>
        <v>-1507437.5037775377</v>
      </c>
      <c r="AB197" s="1"/>
      <c r="AC197" s="40">
        <f t="shared" ref="AC197:AC244" si="139">J197-K197-L197-M197</f>
        <v>-9914.3331391579559</v>
      </c>
      <c r="AD197" s="40">
        <f t="shared" si="103"/>
        <v>0</v>
      </c>
      <c r="AE197" s="40">
        <f t="shared" ref="AE197:AE244" si="140">J197-K197-L197-M197-AD197</f>
        <v>-9914.3331391579559</v>
      </c>
      <c r="AF197" s="40">
        <f t="shared" ref="AF197:AF244" si="141">V197</f>
        <v>0</v>
      </c>
      <c r="AG197" s="40">
        <f t="shared" ref="AG197:AG244" si="142">AE197-AF197+L197+M197</f>
        <v>-820.11706058392792</v>
      </c>
      <c r="AH197" s="40">
        <f t="shared" ref="AH197:AH208" si="143">AG197/(1+$C$18)^17</f>
        <v>-357.81435698592054</v>
      </c>
      <c r="AI197" s="106">
        <f t="shared" si="110"/>
        <v>-1243594.8390357259</v>
      </c>
      <c r="AJ197" s="40">
        <f t="shared" si="104"/>
        <v>438579.67413815064</v>
      </c>
      <c r="AK197" s="108">
        <f t="shared" si="105"/>
        <v>-1089248.6270622872</v>
      </c>
    </row>
    <row r="198" spans="6:37">
      <c r="F198" s="17" t="s">
        <v>31</v>
      </c>
      <c r="G198">
        <v>17</v>
      </c>
      <c r="I198">
        <v>2</v>
      </c>
      <c r="J198" s="26">
        <f t="shared" si="132"/>
        <v>3489.018508615472</v>
      </c>
      <c r="K198" s="24">
        <f t="shared" si="133"/>
        <v>3064.6448909671294</v>
      </c>
      <c r="L198" s="24">
        <f t="shared" ref="L198:L244" si="144">$C$5/$C$6</f>
        <v>6365.9512550018198</v>
      </c>
      <c r="M198" s="24">
        <f t="shared" si="131"/>
        <v>2728.2648235722081</v>
      </c>
      <c r="N198" s="48"/>
      <c r="O198" s="32">
        <f t="shared" si="134"/>
        <v>10082.99055914864</v>
      </c>
      <c r="P198" s="32">
        <f t="shared" ref="P198:P244" si="145">($C$13/12)*R197</f>
        <v>1789.8940393400678</v>
      </c>
      <c r="Q198" s="32">
        <f t="shared" ref="Q198:Q244" si="146">O198-P198</f>
        <v>8293.0965198085723</v>
      </c>
      <c r="R198" s="45">
        <f t="shared" si="106"/>
        <v>421281.47292180773</v>
      </c>
      <c r="S198" s="31">
        <f t="shared" si="135"/>
        <v>-10459.736500265753</v>
      </c>
      <c r="T198" s="32">
        <f t="shared" ref="T198:T244" si="147">S198*$C$60</f>
        <v>0</v>
      </c>
      <c r="U198" s="32">
        <f t="shared" si="136"/>
        <v>-18752.833020074326</v>
      </c>
      <c r="V198" s="32">
        <v>0</v>
      </c>
      <c r="W198" s="32">
        <f t="shared" si="137"/>
        <v>-9658.6169415002987</v>
      </c>
      <c r="X198" s="32">
        <f t="shared" si="138"/>
        <v>-4214.0225784786899</v>
      </c>
      <c r="Y198" s="102">
        <f t="shared" si="107"/>
        <v>-1035705.2736852495</v>
      </c>
      <c r="Z198" s="32">
        <f t="shared" si="108"/>
        <v>-1517096.120719038</v>
      </c>
      <c r="AA198" s="45">
        <f t="shared" si="109"/>
        <v>-1517096.120719038</v>
      </c>
      <c r="AB198" s="1"/>
      <c r="AC198" s="40">
        <f t="shared" si="139"/>
        <v>-8669.8424609256854</v>
      </c>
      <c r="AD198" s="40">
        <f t="shared" ref="AD198:AD244" si="148">AC198*$C$60</f>
        <v>0</v>
      </c>
      <c r="AE198" s="40">
        <f t="shared" si="140"/>
        <v>-8669.8424609256854</v>
      </c>
      <c r="AF198" s="40">
        <f t="shared" si="141"/>
        <v>0</v>
      </c>
      <c r="AG198" s="40">
        <f t="shared" si="142"/>
        <v>424.37361764834259</v>
      </c>
      <c r="AH198" s="40">
        <f t="shared" si="143"/>
        <v>185.15280368940833</v>
      </c>
      <c r="AI198" s="106">
        <f t="shared" si="110"/>
        <v>-1243409.6862320364</v>
      </c>
      <c r="AJ198" s="40">
        <f t="shared" ref="AJ198:AJ244" si="149">AJ197+AG198</f>
        <v>439004.04775579897</v>
      </c>
      <c r="AK198" s="108">
        <f t="shared" ref="AK198:AK244" si="150">AK197+AG198</f>
        <v>-1088824.2534446388</v>
      </c>
    </row>
    <row r="199" spans="6:37">
      <c r="F199" s="13" t="s">
        <v>30</v>
      </c>
      <c r="G199" s="1">
        <v>0</v>
      </c>
      <c r="I199">
        <v>3</v>
      </c>
      <c r="J199" s="26">
        <f t="shared" si="132"/>
        <v>6511.3530128938419</v>
      </c>
      <c r="K199" s="24">
        <f t="shared" si="133"/>
        <v>3064.6448909671294</v>
      </c>
      <c r="L199" s="24">
        <f t="shared" si="144"/>
        <v>6365.9512550018198</v>
      </c>
      <c r="M199" s="24">
        <f t="shared" si="131"/>
        <v>2728.2648235722081</v>
      </c>
      <c r="N199" s="48"/>
      <c r="O199" s="32">
        <f t="shared" si="134"/>
        <v>10082.99055914864</v>
      </c>
      <c r="P199" s="32">
        <f t="shared" si="145"/>
        <v>1755.3394705075323</v>
      </c>
      <c r="Q199" s="32">
        <f t="shared" si="146"/>
        <v>8327.6510886411088</v>
      </c>
      <c r="R199" s="45">
        <f t="shared" ref="R199:R244" si="151">R198-Q199</f>
        <v>412953.82183316664</v>
      </c>
      <c r="S199" s="31">
        <f t="shared" si="135"/>
        <v>-7402.8474271548484</v>
      </c>
      <c r="T199" s="32">
        <f t="shared" si="147"/>
        <v>0</v>
      </c>
      <c r="U199" s="32">
        <f t="shared" si="136"/>
        <v>-15730.498515795956</v>
      </c>
      <c r="V199" s="32">
        <v>0</v>
      </c>
      <c r="W199" s="32">
        <f t="shared" si="137"/>
        <v>-6636.2824372219293</v>
      </c>
      <c r="X199" s="32">
        <f t="shared" si="138"/>
        <v>-2895.3880454100349</v>
      </c>
      <c r="Y199" s="102">
        <f t="shared" ref="Y199:Y244" si="152">Y198+X199</f>
        <v>-1038600.6617306595</v>
      </c>
      <c r="Z199" s="32">
        <f t="shared" ref="Z199:Z244" si="153">Z198+W199</f>
        <v>-1523732.4031562598</v>
      </c>
      <c r="AA199" s="45">
        <f t="shared" ref="AA199:AA244" si="154">AA198+W199</f>
        <v>-1523732.4031562598</v>
      </c>
      <c r="AB199" s="1"/>
      <c r="AC199" s="40">
        <f t="shared" si="139"/>
        <v>-5647.507956647316</v>
      </c>
      <c r="AD199" s="40">
        <f t="shared" si="148"/>
        <v>0</v>
      </c>
      <c r="AE199" s="40">
        <f t="shared" si="140"/>
        <v>-5647.507956647316</v>
      </c>
      <c r="AF199" s="40">
        <f t="shared" si="141"/>
        <v>0</v>
      </c>
      <c r="AG199" s="40">
        <f t="shared" si="142"/>
        <v>3446.708121926712</v>
      </c>
      <c r="AH199" s="40">
        <f t="shared" si="143"/>
        <v>1503.7873367580632</v>
      </c>
      <c r="AI199" s="106">
        <f t="shared" ref="AI199:AI244" si="155">AI198+AH199</f>
        <v>-1241905.8988952783</v>
      </c>
      <c r="AJ199" s="40">
        <f t="shared" si="149"/>
        <v>442450.75587772566</v>
      </c>
      <c r="AK199" s="108">
        <f t="shared" si="150"/>
        <v>-1085377.545322712</v>
      </c>
    </row>
    <row r="200" spans="6:37">
      <c r="F200" s="18" t="s">
        <v>39</v>
      </c>
      <c r="G200" s="1">
        <f>G197+G188</f>
        <v>-1592908.0475320006</v>
      </c>
      <c r="I200">
        <v>4</v>
      </c>
      <c r="J200" s="26">
        <f t="shared" si="132"/>
        <v>8370.6813476337211</v>
      </c>
      <c r="K200" s="24">
        <f t="shared" si="133"/>
        <v>3064.6448909671294</v>
      </c>
      <c r="L200" s="24">
        <f t="shared" si="144"/>
        <v>6365.9512550018198</v>
      </c>
      <c r="M200" s="24">
        <f t="shared" si="131"/>
        <v>2728.2648235722081</v>
      </c>
      <c r="N200" s="48"/>
      <c r="O200" s="32">
        <f t="shared" si="134"/>
        <v>10082.99055914864</v>
      </c>
      <c r="P200" s="32">
        <f t="shared" si="145"/>
        <v>1720.6409243048611</v>
      </c>
      <c r="Q200" s="32">
        <f t="shared" si="146"/>
        <v>8362.3496348437802</v>
      </c>
      <c r="R200" s="45">
        <f t="shared" si="151"/>
        <v>404591.47219832288</v>
      </c>
      <c r="S200" s="31">
        <f t="shared" si="135"/>
        <v>-5508.8205462122969</v>
      </c>
      <c r="T200" s="32">
        <f t="shared" si="147"/>
        <v>0</v>
      </c>
      <c r="U200" s="32">
        <f t="shared" si="136"/>
        <v>-13871.170181056077</v>
      </c>
      <c r="V200" s="32">
        <v>0</v>
      </c>
      <c r="W200" s="32">
        <f t="shared" si="137"/>
        <v>-4776.9541024820492</v>
      </c>
      <c r="X200" s="32">
        <f t="shared" si="138"/>
        <v>-2084.1692517820138</v>
      </c>
      <c r="Y200" s="102">
        <f t="shared" si="152"/>
        <v>-1040684.8309824415</v>
      </c>
      <c r="Z200" s="32">
        <f t="shared" si="153"/>
        <v>-1528509.3572587417</v>
      </c>
      <c r="AA200" s="45">
        <f t="shared" si="154"/>
        <v>-1528509.3572587417</v>
      </c>
      <c r="AB200" s="1"/>
      <c r="AC200" s="40">
        <f t="shared" si="139"/>
        <v>-3788.1796219074358</v>
      </c>
      <c r="AD200" s="40">
        <f t="shared" si="148"/>
        <v>0</v>
      </c>
      <c r="AE200" s="40">
        <f t="shared" si="140"/>
        <v>-3788.1796219074358</v>
      </c>
      <c r="AF200" s="40">
        <f t="shared" si="141"/>
        <v>0</v>
      </c>
      <c r="AG200" s="40">
        <f t="shared" si="142"/>
        <v>5306.0364566665921</v>
      </c>
      <c r="AH200" s="40">
        <f t="shared" si="143"/>
        <v>2315.0061303860844</v>
      </c>
      <c r="AI200" s="106">
        <f t="shared" si="155"/>
        <v>-1239590.8927648922</v>
      </c>
      <c r="AJ200" s="40">
        <f t="shared" si="149"/>
        <v>447756.79233439226</v>
      </c>
      <c r="AK200" s="108">
        <f t="shared" si="150"/>
        <v>-1080071.5088660454</v>
      </c>
    </row>
    <row r="201" spans="6:37">
      <c r="F201" s="16" t="s">
        <v>90</v>
      </c>
      <c r="G201" s="129">
        <f>$C$60</f>
        <v>0</v>
      </c>
      <c r="I201">
        <v>5</v>
      </c>
      <c r="J201" s="26">
        <f t="shared" si="132"/>
        <v>8592.9118258894832</v>
      </c>
      <c r="K201" s="24">
        <f t="shared" si="133"/>
        <v>3064.6448909671294</v>
      </c>
      <c r="L201" s="24">
        <f t="shared" si="144"/>
        <v>6365.9512550018198</v>
      </c>
      <c r="M201" s="24">
        <f t="shared" si="131"/>
        <v>2728.2648235722081</v>
      </c>
      <c r="N201" s="48"/>
      <c r="O201" s="32">
        <f t="shared" si="134"/>
        <v>10082.99055914864</v>
      </c>
      <c r="P201" s="32">
        <f t="shared" si="145"/>
        <v>1685.7978008263453</v>
      </c>
      <c r="Q201" s="32">
        <f t="shared" si="146"/>
        <v>8397.192758322295</v>
      </c>
      <c r="R201" s="45">
        <f t="shared" si="151"/>
        <v>396194.2794400006</v>
      </c>
      <c r="S201" s="31">
        <f t="shared" si="135"/>
        <v>-5251.746944478019</v>
      </c>
      <c r="T201" s="32">
        <f t="shared" si="147"/>
        <v>0</v>
      </c>
      <c r="U201" s="32">
        <f t="shared" si="136"/>
        <v>-13648.939702800315</v>
      </c>
      <c r="V201" s="32">
        <v>0</v>
      </c>
      <c r="W201" s="32">
        <f t="shared" si="137"/>
        <v>-4554.723624226287</v>
      </c>
      <c r="X201" s="32">
        <f t="shared" si="138"/>
        <v>-1987.2108302328481</v>
      </c>
      <c r="Y201" s="102">
        <f t="shared" si="152"/>
        <v>-1042672.0418126744</v>
      </c>
      <c r="Z201" s="32">
        <f t="shared" si="153"/>
        <v>-1533064.0808829679</v>
      </c>
      <c r="AA201" s="45">
        <f t="shared" si="154"/>
        <v>-1533064.0808829679</v>
      </c>
      <c r="AB201" s="1"/>
      <c r="AC201" s="40">
        <f t="shared" si="139"/>
        <v>-3565.9491436516737</v>
      </c>
      <c r="AD201" s="40">
        <f t="shared" si="148"/>
        <v>0</v>
      </c>
      <c r="AE201" s="40">
        <f t="shared" si="140"/>
        <v>-3565.9491436516737</v>
      </c>
      <c r="AF201" s="40">
        <f t="shared" si="141"/>
        <v>0</v>
      </c>
      <c r="AG201" s="40">
        <f t="shared" si="142"/>
        <v>5528.2669349223543</v>
      </c>
      <c r="AH201" s="40">
        <f t="shared" si="143"/>
        <v>2411.9645519352498</v>
      </c>
      <c r="AI201" s="106">
        <f t="shared" si="155"/>
        <v>-1237178.928212957</v>
      </c>
      <c r="AJ201" s="40">
        <f t="shared" si="149"/>
        <v>453285.05926931463</v>
      </c>
      <c r="AK201" s="108">
        <f t="shared" si="150"/>
        <v>-1074543.241931123</v>
      </c>
    </row>
    <row r="202" spans="6:37">
      <c r="G202" s="1"/>
      <c r="I202">
        <v>6</v>
      </c>
      <c r="J202" s="26">
        <f t="shared" si="132"/>
        <v>8592.9118258894832</v>
      </c>
      <c r="K202" s="24">
        <f t="shared" si="133"/>
        <v>3064.6448909671294</v>
      </c>
      <c r="L202" s="24">
        <f t="shared" si="144"/>
        <v>6365.9512550018198</v>
      </c>
      <c r="M202" s="24">
        <f t="shared" si="131"/>
        <v>2728.2648235722081</v>
      </c>
      <c r="N202" s="48"/>
      <c r="O202" s="32">
        <f t="shared" si="134"/>
        <v>10082.99055914864</v>
      </c>
      <c r="P202" s="32">
        <f t="shared" si="145"/>
        <v>1650.8094976666691</v>
      </c>
      <c r="Q202" s="32">
        <f t="shared" si="146"/>
        <v>8432.1810614819715</v>
      </c>
      <c r="R202" s="45">
        <f t="shared" si="151"/>
        <v>387762.0983785186</v>
      </c>
      <c r="S202" s="31">
        <f t="shared" si="135"/>
        <v>-5216.7586413183426</v>
      </c>
      <c r="T202" s="32">
        <f t="shared" si="147"/>
        <v>0</v>
      </c>
      <c r="U202" s="32">
        <f t="shared" si="136"/>
        <v>-13648.939702800315</v>
      </c>
      <c r="V202" s="32">
        <v>0</v>
      </c>
      <c r="W202" s="32">
        <f t="shared" si="137"/>
        <v>-4554.723624226287</v>
      </c>
      <c r="X202" s="32">
        <f t="shared" si="138"/>
        <v>-1987.2108302328481</v>
      </c>
      <c r="Y202" s="102">
        <f t="shared" si="152"/>
        <v>-1044659.2526429072</v>
      </c>
      <c r="Z202" s="32">
        <f t="shared" si="153"/>
        <v>-1537618.8045071941</v>
      </c>
      <c r="AA202" s="45">
        <f t="shared" si="154"/>
        <v>-1537618.8045071941</v>
      </c>
      <c r="AB202" s="1"/>
      <c r="AC202" s="40">
        <f t="shared" si="139"/>
        <v>-3565.9491436516737</v>
      </c>
      <c r="AD202" s="40">
        <f t="shared" si="148"/>
        <v>0</v>
      </c>
      <c r="AE202" s="40">
        <f t="shared" si="140"/>
        <v>-3565.9491436516737</v>
      </c>
      <c r="AF202" s="40">
        <f t="shared" si="141"/>
        <v>0</v>
      </c>
      <c r="AG202" s="40">
        <f t="shared" si="142"/>
        <v>5528.2669349223543</v>
      </c>
      <c r="AH202" s="40">
        <f t="shared" si="143"/>
        <v>2411.9645519352498</v>
      </c>
      <c r="AI202" s="106">
        <f t="shared" si="155"/>
        <v>-1234766.9636610218</v>
      </c>
      <c r="AJ202" s="40">
        <f t="shared" si="149"/>
        <v>458813.326204237</v>
      </c>
      <c r="AK202" s="108">
        <f t="shared" si="150"/>
        <v>-1069014.9749962005</v>
      </c>
    </row>
    <row r="203" spans="6:37">
      <c r="G203" s="1"/>
      <c r="I203">
        <v>7</v>
      </c>
      <c r="J203" s="26">
        <f t="shared" si="132"/>
        <v>8592.9118258894832</v>
      </c>
      <c r="K203" s="24">
        <f t="shared" si="133"/>
        <v>3064.6448909671294</v>
      </c>
      <c r="L203" s="24">
        <f t="shared" si="144"/>
        <v>6365.9512550018198</v>
      </c>
      <c r="M203" s="24">
        <f t="shared" si="131"/>
        <v>2728.2648235722081</v>
      </c>
      <c r="N203" s="48"/>
      <c r="O203" s="32">
        <f t="shared" si="134"/>
        <v>10082.99055914864</v>
      </c>
      <c r="P203" s="32">
        <f t="shared" si="145"/>
        <v>1615.6754099104942</v>
      </c>
      <c r="Q203" s="32">
        <f t="shared" si="146"/>
        <v>8467.3151492381458</v>
      </c>
      <c r="R203" s="45">
        <f t="shared" si="151"/>
        <v>379294.78322928044</v>
      </c>
      <c r="S203" s="31">
        <f t="shared" si="135"/>
        <v>-5181.6245535621674</v>
      </c>
      <c r="T203" s="32">
        <f t="shared" si="147"/>
        <v>0</v>
      </c>
      <c r="U203" s="32">
        <f t="shared" si="136"/>
        <v>-13648.939702800315</v>
      </c>
      <c r="V203" s="32">
        <v>0</v>
      </c>
      <c r="W203" s="32">
        <f t="shared" si="137"/>
        <v>-4554.723624226287</v>
      </c>
      <c r="X203" s="32">
        <f t="shared" si="138"/>
        <v>-1987.2108302328481</v>
      </c>
      <c r="Y203" s="102">
        <f t="shared" si="152"/>
        <v>-1046646.46347314</v>
      </c>
      <c r="Z203" s="32">
        <f t="shared" si="153"/>
        <v>-1542173.5281314203</v>
      </c>
      <c r="AA203" s="45">
        <f t="shared" si="154"/>
        <v>-1542173.5281314203</v>
      </c>
      <c r="AB203" s="1"/>
      <c r="AC203" s="40">
        <f t="shared" si="139"/>
        <v>-3565.9491436516737</v>
      </c>
      <c r="AD203" s="40">
        <f t="shared" si="148"/>
        <v>0</v>
      </c>
      <c r="AE203" s="40">
        <f t="shared" si="140"/>
        <v>-3565.9491436516737</v>
      </c>
      <c r="AF203" s="40">
        <f t="shared" si="141"/>
        <v>0</v>
      </c>
      <c r="AG203" s="40">
        <f t="shared" si="142"/>
        <v>5528.2669349223543</v>
      </c>
      <c r="AH203" s="40">
        <f t="shared" si="143"/>
        <v>2411.9645519352498</v>
      </c>
      <c r="AI203" s="106">
        <f t="shared" si="155"/>
        <v>-1232354.9991090866</v>
      </c>
      <c r="AJ203" s="40">
        <f t="shared" si="149"/>
        <v>464341.59313915938</v>
      </c>
      <c r="AK203" s="108">
        <f t="shared" si="150"/>
        <v>-1063486.7080612781</v>
      </c>
    </row>
    <row r="204" spans="6:37">
      <c r="G204" s="1"/>
      <c r="I204">
        <v>8</v>
      </c>
      <c r="J204" s="26">
        <f t="shared" si="132"/>
        <v>8074.3740432927043</v>
      </c>
      <c r="K204" s="24">
        <f t="shared" si="133"/>
        <v>3064.6448909671294</v>
      </c>
      <c r="L204" s="24">
        <f t="shared" si="144"/>
        <v>6365.9512550018198</v>
      </c>
      <c r="M204" s="24">
        <f t="shared" si="131"/>
        <v>2728.2648235722081</v>
      </c>
      <c r="N204" s="48"/>
      <c r="O204" s="32">
        <f t="shared" si="134"/>
        <v>10082.99055914864</v>
      </c>
      <c r="P204" s="32">
        <f t="shared" si="145"/>
        <v>1580.3949301220018</v>
      </c>
      <c r="Q204" s="32">
        <f t="shared" si="146"/>
        <v>8502.5956290266386</v>
      </c>
      <c r="R204" s="45">
        <f t="shared" si="151"/>
        <v>370792.18760025379</v>
      </c>
      <c r="S204" s="31">
        <f t="shared" si="135"/>
        <v>-5664.8818563704544</v>
      </c>
      <c r="T204" s="32">
        <f t="shared" si="147"/>
        <v>0</v>
      </c>
      <c r="U204" s="32">
        <f t="shared" si="136"/>
        <v>-14167.477485397092</v>
      </c>
      <c r="V204" s="32">
        <v>0</v>
      </c>
      <c r="W204" s="32">
        <f t="shared" si="137"/>
        <v>-5073.2614068230641</v>
      </c>
      <c r="X204" s="32">
        <f t="shared" si="138"/>
        <v>-2213.4471471809006</v>
      </c>
      <c r="Y204" s="102">
        <f t="shared" si="152"/>
        <v>-1048859.9106203208</v>
      </c>
      <c r="Z204" s="32">
        <f t="shared" si="153"/>
        <v>-1547246.7895382433</v>
      </c>
      <c r="AA204" s="45">
        <f t="shared" si="154"/>
        <v>-1547246.7895382433</v>
      </c>
      <c r="AB204" s="1"/>
      <c r="AC204" s="40">
        <f t="shared" si="139"/>
        <v>-4084.4869262484526</v>
      </c>
      <c r="AD204" s="40">
        <f t="shared" si="148"/>
        <v>0</v>
      </c>
      <c r="AE204" s="40">
        <f t="shared" si="140"/>
        <v>-4084.4869262484526</v>
      </c>
      <c r="AF204" s="40">
        <f t="shared" si="141"/>
        <v>0</v>
      </c>
      <c r="AG204" s="40">
        <f t="shared" si="142"/>
        <v>5009.7291523255753</v>
      </c>
      <c r="AH204" s="40">
        <f t="shared" si="143"/>
        <v>2185.7282349871966</v>
      </c>
      <c r="AI204" s="106">
        <f t="shared" si="155"/>
        <v>-1230169.2708740993</v>
      </c>
      <c r="AJ204" s="40">
        <f t="shared" si="149"/>
        <v>469351.32229148498</v>
      </c>
      <c r="AK204" s="108">
        <f t="shared" si="150"/>
        <v>-1058476.9789089526</v>
      </c>
    </row>
    <row r="205" spans="6:37">
      <c r="G205" s="1"/>
      <c r="I205">
        <v>9</v>
      </c>
      <c r="J205" s="26">
        <f t="shared" si="132"/>
        <v>6659.5066650643512</v>
      </c>
      <c r="K205" s="24">
        <f t="shared" si="133"/>
        <v>3064.6448909671294</v>
      </c>
      <c r="L205" s="24">
        <f t="shared" si="144"/>
        <v>6365.9512550018198</v>
      </c>
      <c r="M205" s="24">
        <f t="shared" si="131"/>
        <v>2728.2648235722081</v>
      </c>
      <c r="N205" s="48"/>
      <c r="O205" s="32">
        <f t="shared" si="134"/>
        <v>10082.99055914864</v>
      </c>
      <c r="P205" s="32">
        <f t="shared" si="145"/>
        <v>1544.9674483343908</v>
      </c>
      <c r="Q205" s="32">
        <f t="shared" si="146"/>
        <v>8538.0231108142489</v>
      </c>
      <c r="R205" s="45">
        <f t="shared" si="151"/>
        <v>362254.16448943951</v>
      </c>
      <c r="S205" s="31">
        <f t="shared" si="135"/>
        <v>-7044.3217528111973</v>
      </c>
      <c r="T205" s="32">
        <f t="shared" si="147"/>
        <v>0</v>
      </c>
      <c r="U205" s="32">
        <f t="shared" si="136"/>
        <v>-15582.344863625447</v>
      </c>
      <c r="V205" s="32">
        <v>0</v>
      </c>
      <c r="W205" s="32">
        <f t="shared" si="137"/>
        <v>-6488.12878505142</v>
      </c>
      <c r="X205" s="32">
        <f t="shared" si="138"/>
        <v>-2830.7490977105904</v>
      </c>
      <c r="Y205" s="102">
        <f t="shared" si="152"/>
        <v>-1051690.6597180313</v>
      </c>
      <c r="Z205" s="32">
        <f t="shared" si="153"/>
        <v>-1553734.9183232947</v>
      </c>
      <c r="AA205" s="45">
        <f t="shared" si="154"/>
        <v>-1553734.9183232947</v>
      </c>
      <c r="AB205" s="1"/>
      <c r="AC205" s="40">
        <f t="shared" si="139"/>
        <v>-5499.3543044768066</v>
      </c>
      <c r="AD205" s="40">
        <f t="shared" si="148"/>
        <v>0</v>
      </c>
      <c r="AE205" s="40">
        <f t="shared" si="140"/>
        <v>-5499.3543044768066</v>
      </c>
      <c r="AF205" s="40">
        <f t="shared" si="141"/>
        <v>0</v>
      </c>
      <c r="AG205" s="40">
        <f t="shared" si="142"/>
        <v>3594.8617740972213</v>
      </c>
      <c r="AH205" s="40">
        <f t="shared" si="143"/>
        <v>1568.4262844575076</v>
      </c>
      <c r="AI205" s="106">
        <f t="shared" si="155"/>
        <v>-1228600.8445896418</v>
      </c>
      <c r="AJ205" s="40">
        <f t="shared" si="149"/>
        <v>472946.18406558217</v>
      </c>
      <c r="AK205" s="108">
        <f t="shared" si="150"/>
        <v>-1054882.1171348554</v>
      </c>
    </row>
    <row r="206" spans="6:37">
      <c r="G206" s="1"/>
      <c r="I206">
        <v>10</v>
      </c>
      <c r="J206" s="26">
        <f t="shared" si="132"/>
        <v>4844.6244259756231</v>
      </c>
      <c r="K206" s="24">
        <f t="shared" si="133"/>
        <v>3064.6448909671294</v>
      </c>
      <c r="L206" s="24">
        <f t="shared" si="144"/>
        <v>6365.9512550018198</v>
      </c>
      <c r="M206" s="24">
        <f t="shared" si="131"/>
        <v>2728.2648235722081</v>
      </c>
      <c r="N206" s="48"/>
      <c r="O206" s="32">
        <f t="shared" si="134"/>
        <v>10082.99055914864</v>
      </c>
      <c r="P206" s="32">
        <f t="shared" si="145"/>
        <v>1509.3923520393314</v>
      </c>
      <c r="Q206" s="32">
        <f t="shared" si="146"/>
        <v>8573.5982071093094</v>
      </c>
      <c r="R206" s="45">
        <f t="shared" si="151"/>
        <v>353680.5662823302</v>
      </c>
      <c r="S206" s="31">
        <f t="shared" si="135"/>
        <v>-8823.6288956048647</v>
      </c>
      <c r="T206" s="32">
        <f t="shared" si="147"/>
        <v>0</v>
      </c>
      <c r="U206" s="32">
        <f t="shared" si="136"/>
        <v>-17397.227102714176</v>
      </c>
      <c r="V206" s="32">
        <v>0</v>
      </c>
      <c r="W206" s="32">
        <f t="shared" si="137"/>
        <v>-8303.0110241401489</v>
      </c>
      <c r="X206" s="32">
        <f t="shared" si="138"/>
        <v>-3622.5762070287788</v>
      </c>
      <c r="Y206" s="102">
        <f t="shared" si="152"/>
        <v>-1055313.23592506</v>
      </c>
      <c r="Z206" s="32">
        <f t="shared" si="153"/>
        <v>-1562037.9293474348</v>
      </c>
      <c r="AA206" s="45">
        <f t="shared" si="154"/>
        <v>-1562037.9293474348</v>
      </c>
      <c r="AB206" s="1"/>
      <c r="AC206" s="40">
        <f t="shared" si="139"/>
        <v>-7314.2365435655338</v>
      </c>
      <c r="AD206" s="40">
        <f t="shared" si="148"/>
        <v>0</v>
      </c>
      <c r="AE206" s="40">
        <f t="shared" si="140"/>
        <v>-7314.2365435655338</v>
      </c>
      <c r="AF206" s="40">
        <f t="shared" si="141"/>
        <v>0</v>
      </c>
      <c r="AG206" s="40">
        <f t="shared" si="142"/>
        <v>1779.9795350084942</v>
      </c>
      <c r="AH206" s="40">
        <f t="shared" si="143"/>
        <v>776.59917513931998</v>
      </c>
      <c r="AI206" s="106">
        <f t="shared" si="155"/>
        <v>-1227824.2454145025</v>
      </c>
      <c r="AJ206" s="40">
        <f t="shared" si="149"/>
        <v>474726.16360059066</v>
      </c>
      <c r="AK206" s="108">
        <f t="shared" si="150"/>
        <v>-1053102.1375998468</v>
      </c>
    </row>
    <row r="207" spans="6:37">
      <c r="G207" s="1"/>
      <c r="I207">
        <v>11</v>
      </c>
      <c r="J207" s="26">
        <f t="shared" si="132"/>
        <v>2540.8351347242183</v>
      </c>
      <c r="K207" s="24">
        <f t="shared" si="133"/>
        <v>3064.6448909671294</v>
      </c>
      <c r="L207" s="24">
        <f t="shared" si="144"/>
        <v>6365.9512550018198</v>
      </c>
      <c r="M207" s="24">
        <f t="shared" si="131"/>
        <v>2728.2648235722081</v>
      </c>
      <c r="N207" s="48"/>
      <c r="O207" s="32">
        <f t="shared" si="134"/>
        <v>10082.99055914864</v>
      </c>
      <c r="P207" s="32">
        <f t="shared" si="145"/>
        <v>1473.6690261763758</v>
      </c>
      <c r="Q207" s="32">
        <f t="shared" si="146"/>
        <v>8609.3215329722643</v>
      </c>
      <c r="R207" s="45">
        <f t="shared" si="151"/>
        <v>345071.24474935792</v>
      </c>
      <c r="S207" s="31">
        <f t="shared" si="135"/>
        <v>-11091.694860993315</v>
      </c>
      <c r="T207" s="32">
        <f t="shared" si="147"/>
        <v>0</v>
      </c>
      <c r="U207" s="32">
        <f t="shared" si="136"/>
        <v>-19701.016393965579</v>
      </c>
      <c r="V207" s="32">
        <v>0</v>
      </c>
      <c r="W207" s="32">
        <f t="shared" si="137"/>
        <v>-10606.800315391552</v>
      </c>
      <c r="X207" s="32">
        <f t="shared" si="138"/>
        <v>-4627.7118437551308</v>
      </c>
      <c r="Y207" s="102">
        <f t="shared" si="152"/>
        <v>-1059940.9477688151</v>
      </c>
      <c r="Z207" s="32">
        <f t="shared" si="153"/>
        <v>-1572644.7296628263</v>
      </c>
      <c r="AA207" s="45">
        <f t="shared" si="154"/>
        <v>-1572644.7296628263</v>
      </c>
      <c r="AB207" s="1"/>
      <c r="AC207" s="40">
        <f t="shared" si="139"/>
        <v>-9618.0258348169391</v>
      </c>
      <c r="AD207" s="40">
        <f t="shared" si="148"/>
        <v>0</v>
      </c>
      <c r="AE207" s="40">
        <f t="shared" si="140"/>
        <v>-9618.0258348169391</v>
      </c>
      <c r="AF207" s="40">
        <f t="shared" si="141"/>
        <v>0</v>
      </c>
      <c r="AG207" s="40">
        <f t="shared" si="142"/>
        <v>-523.80975624291113</v>
      </c>
      <c r="AH207" s="40">
        <f t="shared" si="143"/>
        <v>-228.5364615870327</v>
      </c>
      <c r="AI207" s="106">
        <f t="shared" si="155"/>
        <v>-1228052.7818760895</v>
      </c>
      <c r="AJ207" s="40">
        <f t="shared" si="149"/>
        <v>474202.35384434776</v>
      </c>
      <c r="AK207" s="108">
        <f t="shared" si="150"/>
        <v>-1053625.9473560897</v>
      </c>
    </row>
    <row r="208" spans="6:37">
      <c r="G208" s="1"/>
      <c r="I208">
        <v>12</v>
      </c>
      <c r="J208" s="26">
        <f t="shared" si="132"/>
        <v>1918.5897956080833</v>
      </c>
      <c r="K208" s="24">
        <f t="shared" si="133"/>
        <v>3064.6448909671294</v>
      </c>
      <c r="L208" s="24">
        <f t="shared" si="144"/>
        <v>6365.9512550018198</v>
      </c>
      <c r="M208" s="24">
        <f t="shared" si="131"/>
        <v>2728.2648235722081</v>
      </c>
      <c r="N208" s="48"/>
      <c r="O208" s="32">
        <f t="shared" si="134"/>
        <v>10082.99055914864</v>
      </c>
      <c r="P208" s="32">
        <f t="shared" si="145"/>
        <v>1437.7968531223246</v>
      </c>
      <c r="Q208" s="32">
        <f t="shared" si="146"/>
        <v>8645.1937060263153</v>
      </c>
      <c r="R208" s="45">
        <f t="shared" si="151"/>
        <v>336426.05104333162</v>
      </c>
      <c r="S208" s="31">
        <f t="shared" si="135"/>
        <v>-11678.068027055398</v>
      </c>
      <c r="T208" s="32">
        <f t="shared" si="147"/>
        <v>0</v>
      </c>
      <c r="U208" s="32">
        <f t="shared" si="136"/>
        <v>-20323.261733081716</v>
      </c>
      <c r="V208" s="32">
        <v>0</v>
      </c>
      <c r="W208" s="32">
        <f t="shared" si="137"/>
        <v>-11229.045654507689</v>
      </c>
      <c r="X208" s="32">
        <f t="shared" si="138"/>
        <v>-4899.1954240927953</v>
      </c>
      <c r="Y208" s="102">
        <f t="shared" si="152"/>
        <v>-1064840.1431929078</v>
      </c>
      <c r="Z208" s="32">
        <f t="shared" si="153"/>
        <v>-1583873.7753173339</v>
      </c>
      <c r="AA208" s="45">
        <f t="shared" si="154"/>
        <v>-1583873.7753173339</v>
      </c>
      <c r="AB208" s="1"/>
      <c r="AC208" s="40">
        <f t="shared" si="139"/>
        <v>-10240.271173933073</v>
      </c>
      <c r="AD208" s="40">
        <f t="shared" si="148"/>
        <v>0</v>
      </c>
      <c r="AE208" s="40">
        <f t="shared" si="140"/>
        <v>-10240.271173933073</v>
      </c>
      <c r="AF208" s="40">
        <f t="shared" si="141"/>
        <v>0</v>
      </c>
      <c r="AG208" s="40">
        <f t="shared" si="142"/>
        <v>-1146.0550953590455</v>
      </c>
      <c r="AH208" s="40">
        <f t="shared" si="143"/>
        <v>-500.02004192469673</v>
      </c>
      <c r="AI208" s="106">
        <f t="shared" si="155"/>
        <v>-1228552.8019180142</v>
      </c>
      <c r="AJ208" s="40">
        <f t="shared" si="149"/>
        <v>473056.29874898872</v>
      </c>
      <c r="AK208" s="108">
        <f t="shared" si="150"/>
        <v>-1054772.0024514487</v>
      </c>
    </row>
    <row r="209" spans="6:37">
      <c r="F209" s="132" t="s">
        <v>88</v>
      </c>
      <c r="G209" s="1">
        <f>SUM(S209:S220)</f>
        <v>-91682.177994704136</v>
      </c>
      <c r="H209">
        <v>2032</v>
      </c>
      <c r="I209">
        <v>1</v>
      </c>
      <c r="J209" s="26">
        <f t="shared" ref="J209:J220" si="156">C23*$C$55*$D$55</f>
        <v>2222.0825520793696</v>
      </c>
      <c r="K209" s="24">
        <f t="shared" ref="K209:K220" si="157">$K$208*$C$8</f>
        <v>3156.5842376961432</v>
      </c>
      <c r="L209" s="24">
        <f t="shared" si="144"/>
        <v>6365.9512550018198</v>
      </c>
      <c r="M209" s="24">
        <f t="shared" si="131"/>
        <v>2728.2648235722081</v>
      </c>
      <c r="N209" s="48"/>
      <c r="O209" s="32">
        <f t="shared" si="134"/>
        <v>10082.99055914864</v>
      </c>
      <c r="P209" s="32">
        <f t="shared" si="145"/>
        <v>1401.7752126805485</v>
      </c>
      <c r="Q209" s="32">
        <f t="shared" si="146"/>
        <v>8681.2153464680923</v>
      </c>
      <c r="R209" s="45">
        <f t="shared" si="151"/>
        <v>327744.83569686353</v>
      </c>
      <c r="S209" s="31">
        <f t="shared" si="135"/>
        <v>-11430.49297687135</v>
      </c>
      <c r="T209" s="32">
        <f t="shared" si="147"/>
        <v>0</v>
      </c>
      <c r="U209" s="32">
        <f t="shared" si="136"/>
        <v>-20111.708323339444</v>
      </c>
      <c r="V209" s="32">
        <v>0</v>
      </c>
      <c r="W209" s="32">
        <f t="shared" si="137"/>
        <v>-11017.492244765417</v>
      </c>
      <c r="X209" s="32">
        <f t="shared" ref="X209:X220" si="158">W209/(1+$C$18)^18</f>
        <v>-4577.9955925423428</v>
      </c>
      <c r="Y209" s="102">
        <f t="shared" si="152"/>
        <v>-1069418.1387854503</v>
      </c>
      <c r="Z209" s="32">
        <f t="shared" si="153"/>
        <v>-1594891.2675620993</v>
      </c>
      <c r="AA209" s="45">
        <f t="shared" si="154"/>
        <v>-1594891.2675620993</v>
      </c>
      <c r="AB209" s="1"/>
      <c r="AC209" s="40">
        <f t="shared" si="139"/>
        <v>-10028.717764190802</v>
      </c>
      <c r="AD209" s="40">
        <f t="shared" si="148"/>
        <v>0</v>
      </c>
      <c r="AE209" s="40">
        <f t="shared" si="140"/>
        <v>-10028.717764190802</v>
      </c>
      <c r="AF209" s="40">
        <f t="shared" si="141"/>
        <v>0</v>
      </c>
      <c r="AG209" s="40">
        <f t="shared" si="142"/>
        <v>-934.50168561677401</v>
      </c>
      <c r="AH209" s="40">
        <f t="shared" ref="AH209:AH220" si="159">AG209/(1+$C$18)^18</f>
        <v>-388.30475238224881</v>
      </c>
      <c r="AI209" s="106">
        <f t="shared" si="155"/>
        <v>-1228941.1066703964</v>
      </c>
      <c r="AJ209" s="40">
        <f t="shared" si="149"/>
        <v>472121.79706337192</v>
      </c>
      <c r="AK209" s="108">
        <f t="shared" si="150"/>
        <v>-1055706.5041370655</v>
      </c>
    </row>
    <row r="210" spans="6:37">
      <c r="F210" s="17" t="s">
        <v>31</v>
      </c>
      <c r="G210">
        <v>18</v>
      </c>
      <c r="I210">
        <v>2</v>
      </c>
      <c r="J210" s="26">
        <f t="shared" si="156"/>
        <v>3454.1283235293172</v>
      </c>
      <c r="K210" s="24">
        <f t="shared" si="157"/>
        <v>3156.5842376961432</v>
      </c>
      <c r="L210" s="24">
        <f t="shared" si="144"/>
        <v>6365.9512550018198</v>
      </c>
      <c r="M210" s="24">
        <f t="shared" si="131"/>
        <v>2728.2648235722081</v>
      </c>
      <c r="N210" s="48"/>
      <c r="O210" s="32">
        <f t="shared" si="134"/>
        <v>10082.99055914864</v>
      </c>
      <c r="P210" s="32">
        <f t="shared" si="145"/>
        <v>1365.6034820702648</v>
      </c>
      <c r="Q210" s="32">
        <f t="shared" si="146"/>
        <v>8717.387077078376</v>
      </c>
      <c r="R210" s="45">
        <f t="shared" si="151"/>
        <v>319027.44861978514</v>
      </c>
      <c r="S210" s="31">
        <f t="shared" si="135"/>
        <v>-10162.275474811118</v>
      </c>
      <c r="T210" s="32">
        <f t="shared" si="147"/>
        <v>0</v>
      </c>
      <c r="U210" s="32">
        <f t="shared" si="136"/>
        <v>-18879.662551889494</v>
      </c>
      <c r="V210" s="32">
        <v>0</v>
      </c>
      <c r="W210" s="32">
        <f t="shared" si="137"/>
        <v>-9785.4464733154673</v>
      </c>
      <c r="X210" s="32">
        <f t="shared" si="158"/>
        <v>-4066.0551267627466</v>
      </c>
      <c r="Y210" s="102">
        <f t="shared" si="152"/>
        <v>-1073484.193912213</v>
      </c>
      <c r="Z210" s="32">
        <f t="shared" si="153"/>
        <v>-1604676.7140354146</v>
      </c>
      <c r="AA210" s="45">
        <f t="shared" si="154"/>
        <v>-1604676.7140354146</v>
      </c>
      <c r="AB210" s="1"/>
      <c r="AC210" s="40">
        <f t="shared" si="139"/>
        <v>-8796.671992740854</v>
      </c>
      <c r="AD210" s="40">
        <f t="shared" si="148"/>
        <v>0</v>
      </c>
      <c r="AE210" s="40">
        <f t="shared" si="140"/>
        <v>-8796.671992740854</v>
      </c>
      <c r="AF210" s="40">
        <f t="shared" si="141"/>
        <v>0</v>
      </c>
      <c r="AG210" s="40">
        <f t="shared" si="142"/>
        <v>297.54408583317399</v>
      </c>
      <c r="AH210" s="40">
        <f t="shared" si="159"/>
        <v>123.63571339734708</v>
      </c>
      <c r="AI210" s="106">
        <f t="shared" si="155"/>
        <v>-1228817.4709569991</v>
      </c>
      <c r="AJ210" s="40">
        <f t="shared" si="149"/>
        <v>472419.34114920511</v>
      </c>
      <c r="AK210" s="108">
        <f t="shared" si="150"/>
        <v>-1055408.9600512323</v>
      </c>
    </row>
    <row r="211" spans="6:37">
      <c r="F211" s="13" t="s">
        <v>30</v>
      </c>
      <c r="G211" s="1">
        <v>0</v>
      </c>
      <c r="I211">
        <v>3</v>
      </c>
      <c r="J211" s="26">
        <f t="shared" si="156"/>
        <v>6446.2394827649041</v>
      </c>
      <c r="K211" s="24">
        <f t="shared" si="157"/>
        <v>3156.5842376961432</v>
      </c>
      <c r="L211" s="24">
        <f t="shared" si="144"/>
        <v>6365.9512550018198</v>
      </c>
      <c r="M211" s="24">
        <f t="shared" si="131"/>
        <v>2728.2648235722081</v>
      </c>
      <c r="N211" s="48"/>
      <c r="O211" s="32">
        <f t="shared" si="134"/>
        <v>10082.99055914864</v>
      </c>
      <c r="P211" s="32">
        <f t="shared" si="145"/>
        <v>1329.2810359157713</v>
      </c>
      <c r="Q211" s="32">
        <f t="shared" si="146"/>
        <v>8753.7095232328684</v>
      </c>
      <c r="R211" s="45">
        <f t="shared" si="151"/>
        <v>310273.73909655225</v>
      </c>
      <c r="S211" s="31">
        <f t="shared" si="135"/>
        <v>-7133.8418694210386</v>
      </c>
      <c r="T211" s="32">
        <f t="shared" si="147"/>
        <v>0</v>
      </c>
      <c r="U211" s="32">
        <f t="shared" si="136"/>
        <v>-15887.551392653908</v>
      </c>
      <c r="V211" s="32">
        <v>0</v>
      </c>
      <c r="W211" s="32">
        <f t="shared" si="137"/>
        <v>-6793.335314079879</v>
      </c>
      <c r="X211" s="32">
        <f t="shared" si="158"/>
        <v>-2822.7711384408708</v>
      </c>
      <c r="Y211" s="102">
        <f t="shared" si="152"/>
        <v>-1076306.9650506538</v>
      </c>
      <c r="Z211" s="32">
        <f t="shared" si="153"/>
        <v>-1611470.0493494945</v>
      </c>
      <c r="AA211" s="45">
        <f t="shared" si="154"/>
        <v>-1611470.0493494945</v>
      </c>
      <c r="AB211" s="1"/>
      <c r="AC211" s="40">
        <f t="shared" si="139"/>
        <v>-5804.5608335052675</v>
      </c>
      <c r="AD211" s="40">
        <f t="shared" si="148"/>
        <v>0</v>
      </c>
      <c r="AE211" s="40">
        <f t="shared" si="140"/>
        <v>-5804.5608335052675</v>
      </c>
      <c r="AF211" s="40">
        <f t="shared" si="141"/>
        <v>0</v>
      </c>
      <c r="AG211" s="40">
        <f t="shared" si="142"/>
        <v>3289.6552450687605</v>
      </c>
      <c r="AH211" s="40">
        <f t="shared" si="159"/>
        <v>1366.9197017192221</v>
      </c>
      <c r="AI211" s="106">
        <f t="shared" si="155"/>
        <v>-1227450.5512552799</v>
      </c>
      <c r="AJ211" s="40">
        <f t="shared" si="149"/>
        <v>475708.99639427388</v>
      </c>
      <c r="AK211" s="108">
        <f t="shared" si="150"/>
        <v>-1052119.3048061635</v>
      </c>
    </row>
    <row r="212" spans="6:37">
      <c r="F212" s="18" t="s">
        <v>39</v>
      </c>
      <c r="G212" s="1">
        <f>G209+G200</f>
        <v>-1684590.2255267047</v>
      </c>
      <c r="I212">
        <v>4</v>
      </c>
      <c r="J212" s="26">
        <f t="shared" si="156"/>
        <v>8286.9745341573835</v>
      </c>
      <c r="K212" s="24">
        <f t="shared" si="157"/>
        <v>3156.5842376961432</v>
      </c>
      <c r="L212" s="24">
        <f t="shared" si="144"/>
        <v>6365.9512550018198</v>
      </c>
      <c r="M212" s="24">
        <f t="shared" si="131"/>
        <v>2728.2648235722081</v>
      </c>
      <c r="N212" s="48"/>
      <c r="O212" s="32">
        <f t="shared" si="134"/>
        <v>10082.99055914864</v>
      </c>
      <c r="P212" s="32">
        <f t="shared" si="145"/>
        <v>1292.8072462356345</v>
      </c>
      <c r="Q212" s="32">
        <f t="shared" si="146"/>
        <v>8790.1833129130064</v>
      </c>
      <c r="R212" s="45">
        <f t="shared" si="151"/>
        <v>301483.55578363925</v>
      </c>
      <c r="S212" s="31">
        <f t="shared" si="135"/>
        <v>-5256.6330283484222</v>
      </c>
      <c r="T212" s="32">
        <f t="shared" si="147"/>
        <v>0</v>
      </c>
      <c r="U212" s="32">
        <f t="shared" si="136"/>
        <v>-14046.816341261427</v>
      </c>
      <c r="V212" s="32">
        <v>0</v>
      </c>
      <c r="W212" s="32">
        <f t="shared" si="137"/>
        <v>-4952.6002626873988</v>
      </c>
      <c r="X212" s="32">
        <f t="shared" si="158"/>
        <v>-2057.9077044487371</v>
      </c>
      <c r="Y212" s="102">
        <f t="shared" si="152"/>
        <v>-1078364.8727551026</v>
      </c>
      <c r="Z212" s="32">
        <f t="shared" si="153"/>
        <v>-1616422.6496121818</v>
      </c>
      <c r="AA212" s="45">
        <f t="shared" si="154"/>
        <v>-1616422.6496121818</v>
      </c>
      <c r="AB212" s="1"/>
      <c r="AC212" s="40">
        <f t="shared" si="139"/>
        <v>-3963.8257821127872</v>
      </c>
      <c r="AD212" s="40">
        <f t="shared" si="148"/>
        <v>0</v>
      </c>
      <c r="AE212" s="40">
        <f t="shared" si="140"/>
        <v>-3963.8257821127872</v>
      </c>
      <c r="AF212" s="40">
        <f t="shared" si="141"/>
        <v>0</v>
      </c>
      <c r="AG212" s="40">
        <f t="shared" si="142"/>
        <v>5130.3902964612407</v>
      </c>
      <c r="AH212" s="40">
        <f t="shared" si="159"/>
        <v>2131.783135711356</v>
      </c>
      <c r="AI212" s="106">
        <f t="shared" si="155"/>
        <v>-1225318.7681195685</v>
      </c>
      <c r="AJ212" s="40">
        <f t="shared" si="149"/>
        <v>480839.38669073512</v>
      </c>
      <c r="AK212" s="108">
        <f t="shared" si="150"/>
        <v>-1046988.9145097022</v>
      </c>
    </row>
    <row r="213" spans="6:37">
      <c r="F213" s="16" t="s">
        <v>90</v>
      </c>
      <c r="G213" s="129">
        <f>$C$60</f>
        <v>0</v>
      </c>
      <c r="I213">
        <v>5</v>
      </c>
      <c r="J213" s="26">
        <f t="shared" si="156"/>
        <v>8506.9827076305901</v>
      </c>
      <c r="K213" s="24">
        <f t="shared" si="157"/>
        <v>3156.5842376961432</v>
      </c>
      <c r="L213" s="24">
        <f t="shared" si="144"/>
        <v>6365.9512550018198</v>
      </c>
      <c r="M213" s="24">
        <f t="shared" si="131"/>
        <v>2728.2648235722081</v>
      </c>
      <c r="N213" s="48"/>
      <c r="O213" s="32">
        <f t="shared" si="134"/>
        <v>10082.99055914864</v>
      </c>
      <c r="P213" s="32">
        <f t="shared" si="145"/>
        <v>1256.1814824318303</v>
      </c>
      <c r="Q213" s="32">
        <f t="shared" si="146"/>
        <v>8826.8090767168105</v>
      </c>
      <c r="R213" s="45">
        <f t="shared" si="151"/>
        <v>292656.74670692242</v>
      </c>
      <c r="S213" s="31">
        <f t="shared" si="135"/>
        <v>-4999.9990910714114</v>
      </c>
      <c r="T213" s="32">
        <f t="shared" si="147"/>
        <v>0</v>
      </c>
      <c r="U213" s="32">
        <f t="shared" si="136"/>
        <v>-13826.808167788222</v>
      </c>
      <c r="V213" s="32">
        <v>0</v>
      </c>
      <c r="W213" s="32">
        <f t="shared" si="137"/>
        <v>-4732.5920892141939</v>
      </c>
      <c r="X213" s="32">
        <f t="shared" si="158"/>
        <v>-1966.4897641309522</v>
      </c>
      <c r="Y213" s="102">
        <f t="shared" si="152"/>
        <v>-1080331.3625192335</v>
      </c>
      <c r="Z213" s="32">
        <f t="shared" si="153"/>
        <v>-1621155.2417013959</v>
      </c>
      <c r="AA213" s="45">
        <f t="shared" si="154"/>
        <v>-1621155.2417013959</v>
      </c>
      <c r="AB213" s="1"/>
      <c r="AC213" s="40">
        <f t="shared" si="139"/>
        <v>-3743.8176086395806</v>
      </c>
      <c r="AD213" s="40">
        <f t="shared" si="148"/>
        <v>0</v>
      </c>
      <c r="AE213" s="40">
        <f t="shared" si="140"/>
        <v>-3743.8176086395806</v>
      </c>
      <c r="AF213" s="40">
        <f t="shared" si="141"/>
        <v>0</v>
      </c>
      <c r="AG213" s="40">
        <f t="shared" si="142"/>
        <v>5350.3984699344473</v>
      </c>
      <c r="AH213" s="40">
        <f t="shared" si="159"/>
        <v>2223.2010760291414</v>
      </c>
      <c r="AI213" s="106">
        <f t="shared" si="155"/>
        <v>-1223095.5670435394</v>
      </c>
      <c r="AJ213" s="40">
        <f t="shared" si="149"/>
        <v>486189.78516066959</v>
      </c>
      <c r="AK213" s="108">
        <f t="shared" si="150"/>
        <v>-1041638.5160397678</v>
      </c>
    </row>
    <row r="214" spans="6:37">
      <c r="G214" s="1"/>
      <c r="I214">
        <v>6</v>
      </c>
      <c r="J214" s="26">
        <f t="shared" si="156"/>
        <v>8506.9827076305901</v>
      </c>
      <c r="K214" s="24">
        <f t="shared" si="157"/>
        <v>3156.5842376961432</v>
      </c>
      <c r="L214" s="24">
        <f t="shared" si="144"/>
        <v>6365.9512550018198</v>
      </c>
      <c r="M214" s="24">
        <f t="shared" si="131"/>
        <v>2728.2648235722081</v>
      </c>
      <c r="N214" s="48"/>
      <c r="O214" s="32">
        <f t="shared" si="134"/>
        <v>10082.99055914864</v>
      </c>
      <c r="P214" s="32">
        <f t="shared" si="145"/>
        <v>1219.4031112788434</v>
      </c>
      <c r="Q214" s="32">
        <f t="shared" si="146"/>
        <v>8863.587447869797</v>
      </c>
      <c r="R214" s="45">
        <f t="shared" si="151"/>
        <v>283793.1592590526</v>
      </c>
      <c r="S214" s="31">
        <f t="shared" si="135"/>
        <v>-4963.220719918424</v>
      </c>
      <c r="T214" s="32">
        <f t="shared" si="147"/>
        <v>0</v>
      </c>
      <c r="U214" s="32">
        <f t="shared" si="136"/>
        <v>-13826.808167788222</v>
      </c>
      <c r="V214" s="32">
        <v>0</v>
      </c>
      <c r="W214" s="32">
        <f t="shared" si="137"/>
        <v>-4732.5920892141939</v>
      </c>
      <c r="X214" s="32">
        <f t="shared" si="158"/>
        <v>-1966.4897641309522</v>
      </c>
      <c r="Y214" s="102">
        <f t="shared" si="152"/>
        <v>-1082297.8522833644</v>
      </c>
      <c r="Z214" s="32">
        <f t="shared" si="153"/>
        <v>-1625887.8337906101</v>
      </c>
      <c r="AA214" s="45">
        <f t="shared" si="154"/>
        <v>-1625887.8337906101</v>
      </c>
      <c r="AB214" s="1"/>
      <c r="AC214" s="40">
        <f t="shared" si="139"/>
        <v>-3743.8176086395806</v>
      </c>
      <c r="AD214" s="40">
        <f t="shared" si="148"/>
        <v>0</v>
      </c>
      <c r="AE214" s="40">
        <f t="shared" si="140"/>
        <v>-3743.8176086395806</v>
      </c>
      <c r="AF214" s="40">
        <f t="shared" si="141"/>
        <v>0</v>
      </c>
      <c r="AG214" s="40">
        <f t="shared" si="142"/>
        <v>5350.3984699344473</v>
      </c>
      <c r="AH214" s="40">
        <f t="shared" si="159"/>
        <v>2223.2010760291414</v>
      </c>
      <c r="AI214" s="106">
        <f t="shared" si="155"/>
        <v>-1220872.3659675103</v>
      </c>
      <c r="AJ214" s="40">
        <f t="shared" si="149"/>
        <v>491540.18363060406</v>
      </c>
      <c r="AK214" s="108">
        <f t="shared" si="150"/>
        <v>-1036288.1175698333</v>
      </c>
    </row>
    <row r="215" spans="6:37">
      <c r="G215" s="1"/>
      <c r="I215">
        <v>7</v>
      </c>
      <c r="J215" s="26">
        <f t="shared" si="156"/>
        <v>8506.9827076305901</v>
      </c>
      <c r="K215" s="24">
        <f t="shared" si="157"/>
        <v>3156.5842376961432</v>
      </c>
      <c r="L215" s="24">
        <f t="shared" si="144"/>
        <v>6365.9512550018198</v>
      </c>
      <c r="M215" s="24">
        <f t="shared" si="131"/>
        <v>2728.2648235722081</v>
      </c>
      <c r="N215" s="48"/>
      <c r="O215" s="32">
        <f t="shared" si="134"/>
        <v>10082.99055914864</v>
      </c>
      <c r="P215" s="32">
        <f t="shared" si="145"/>
        <v>1182.4714969127192</v>
      </c>
      <c r="Q215" s="32">
        <f t="shared" si="146"/>
        <v>8900.5190622359205</v>
      </c>
      <c r="R215" s="45">
        <f t="shared" si="151"/>
        <v>274892.6401968167</v>
      </c>
      <c r="S215" s="31">
        <f t="shared" si="135"/>
        <v>-4926.2891055522996</v>
      </c>
      <c r="T215" s="32">
        <f t="shared" si="147"/>
        <v>0</v>
      </c>
      <c r="U215" s="32">
        <f t="shared" si="136"/>
        <v>-13826.808167788222</v>
      </c>
      <c r="V215" s="32">
        <v>0</v>
      </c>
      <c r="W215" s="32">
        <f t="shared" si="137"/>
        <v>-4732.5920892141939</v>
      </c>
      <c r="X215" s="32">
        <f t="shared" si="158"/>
        <v>-1966.4897641309522</v>
      </c>
      <c r="Y215" s="102">
        <f t="shared" si="152"/>
        <v>-1084264.3420474953</v>
      </c>
      <c r="Z215" s="32">
        <f t="shared" si="153"/>
        <v>-1630620.4258798242</v>
      </c>
      <c r="AA215" s="45">
        <f t="shared" si="154"/>
        <v>-1630620.4258798242</v>
      </c>
      <c r="AB215" s="1"/>
      <c r="AC215" s="40">
        <f t="shared" si="139"/>
        <v>-3743.8176086395806</v>
      </c>
      <c r="AD215" s="40">
        <f t="shared" si="148"/>
        <v>0</v>
      </c>
      <c r="AE215" s="40">
        <f t="shared" si="140"/>
        <v>-3743.8176086395806</v>
      </c>
      <c r="AF215" s="40">
        <f t="shared" si="141"/>
        <v>0</v>
      </c>
      <c r="AG215" s="40">
        <f t="shared" si="142"/>
        <v>5350.3984699344473</v>
      </c>
      <c r="AH215" s="40">
        <f t="shared" si="159"/>
        <v>2223.2010760291414</v>
      </c>
      <c r="AI215" s="106">
        <f t="shared" si="155"/>
        <v>-1218649.1648914812</v>
      </c>
      <c r="AJ215" s="40">
        <f t="shared" si="149"/>
        <v>496890.58210053854</v>
      </c>
      <c r="AK215" s="108">
        <f t="shared" si="150"/>
        <v>-1030937.7190998988</v>
      </c>
    </row>
    <row r="216" spans="6:37">
      <c r="G216" s="1"/>
      <c r="I216">
        <v>8</v>
      </c>
      <c r="J216" s="26">
        <f t="shared" si="156"/>
        <v>7993.6303028597777</v>
      </c>
      <c r="K216" s="24">
        <f t="shared" si="157"/>
        <v>3156.5842376961432</v>
      </c>
      <c r="L216" s="24">
        <f t="shared" si="144"/>
        <v>6365.9512550018198</v>
      </c>
      <c r="M216" s="24">
        <f t="shared" si="131"/>
        <v>2728.2648235722081</v>
      </c>
      <c r="N216" s="48"/>
      <c r="O216" s="32">
        <f t="shared" si="134"/>
        <v>10082.99055914864</v>
      </c>
      <c r="P216" s="32">
        <f t="shared" si="145"/>
        <v>1145.3860008200695</v>
      </c>
      <c r="Q216" s="32">
        <f t="shared" si="146"/>
        <v>8937.6045583285704</v>
      </c>
      <c r="R216" s="45">
        <f t="shared" si="151"/>
        <v>265955.03563848813</v>
      </c>
      <c r="S216" s="31">
        <f t="shared" si="135"/>
        <v>-5402.5560142304621</v>
      </c>
      <c r="T216" s="32">
        <f t="shared" si="147"/>
        <v>0</v>
      </c>
      <c r="U216" s="32">
        <f t="shared" si="136"/>
        <v>-14340.160572559034</v>
      </c>
      <c r="V216" s="32">
        <v>0</v>
      </c>
      <c r="W216" s="32">
        <f t="shared" si="137"/>
        <v>-5245.9444939850064</v>
      </c>
      <c r="X216" s="32">
        <f t="shared" si="158"/>
        <v>-2179.7982915391171</v>
      </c>
      <c r="Y216" s="102">
        <f t="shared" si="152"/>
        <v>-1086444.1403390344</v>
      </c>
      <c r="Z216" s="32">
        <f t="shared" si="153"/>
        <v>-1635866.3703738092</v>
      </c>
      <c r="AA216" s="45">
        <f t="shared" si="154"/>
        <v>-1635866.3703738092</v>
      </c>
      <c r="AB216" s="1"/>
      <c r="AC216" s="40">
        <f t="shared" si="139"/>
        <v>-4257.170013410393</v>
      </c>
      <c r="AD216" s="40">
        <f t="shared" si="148"/>
        <v>0</v>
      </c>
      <c r="AE216" s="40">
        <f t="shared" si="140"/>
        <v>-4257.170013410393</v>
      </c>
      <c r="AF216" s="40">
        <f t="shared" si="141"/>
        <v>0</v>
      </c>
      <c r="AG216" s="40">
        <f t="shared" si="142"/>
        <v>4837.0460651636349</v>
      </c>
      <c r="AH216" s="40">
        <f t="shared" si="159"/>
        <v>2009.8925486209762</v>
      </c>
      <c r="AI216" s="106">
        <f t="shared" si="155"/>
        <v>-1216639.2723428602</v>
      </c>
      <c r="AJ216" s="40">
        <f t="shared" si="149"/>
        <v>501727.62816570216</v>
      </c>
      <c r="AK216" s="108">
        <f t="shared" si="150"/>
        <v>-1026100.6730347351</v>
      </c>
    </row>
    <row r="217" spans="6:37">
      <c r="G217" s="1"/>
      <c r="I217">
        <v>9</v>
      </c>
      <c r="J217" s="26">
        <f t="shared" si="156"/>
        <v>6592.9115984137061</v>
      </c>
      <c r="K217" s="24">
        <f t="shared" si="157"/>
        <v>3156.5842376961432</v>
      </c>
      <c r="L217" s="24">
        <f t="shared" si="144"/>
        <v>6365.9512550018198</v>
      </c>
      <c r="M217" s="24">
        <f t="shared" si="131"/>
        <v>2728.2648235722081</v>
      </c>
      <c r="N217" s="48"/>
      <c r="O217" s="32">
        <f t="shared" si="134"/>
        <v>10082.99055914864</v>
      </c>
      <c r="P217" s="32">
        <f t="shared" si="145"/>
        <v>1108.1459818270339</v>
      </c>
      <c r="Q217" s="32">
        <f t="shared" si="146"/>
        <v>8974.8445773216063</v>
      </c>
      <c r="R217" s="45">
        <f t="shared" si="151"/>
        <v>256980.19106116652</v>
      </c>
      <c r="S217" s="31">
        <f t="shared" si="135"/>
        <v>-6766.0346996834996</v>
      </c>
      <c r="T217" s="32">
        <f t="shared" si="147"/>
        <v>0</v>
      </c>
      <c r="U217" s="32">
        <f t="shared" si="136"/>
        <v>-15740.879277005106</v>
      </c>
      <c r="V217" s="32">
        <v>0</v>
      </c>
      <c r="W217" s="32">
        <f t="shared" si="137"/>
        <v>-6646.663198431077</v>
      </c>
      <c r="X217" s="32">
        <f t="shared" si="158"/>
        <v>-2761.8258448956813</v>
      </c>
      <c r="Y217" s="102">
        <f t="shared" si="152"/>
        <v>-1089205.9661839302</v>
      </c>
      <c r="Z217" s="32">
        <f t="shared" si="153"/>
        <v>-1642513.0335722403</v>
      </c>
      <c r="AA217" s="45">
        <f t="shared" si="154"/>
        <v>-1642513.0335722403</v>
      </c>
      <c r="AB217" s="1"/>
      <c r="AC217" s="40">
        <f t="shared" si="139"/>
        <v>-5657.8887178564655</v>
      </c>
      <c r="AD217" s="40">
        <f t="shared" si="148"/>
        <v>0</v>
      </c>
      <c r="AE217" s="40">
        <f t="shared" si="140"/>
        <v>-5657.8887178564655</v>
      </c>
      <c r="AF217" s="40">
        <f t="shared" si="141"/>
        <v>0</v>
      </c>
      <c r="AG217" s="40">
        <f t="shared" si="142"/>
        <v>3436.3273607175624</v>
      </c>
      <c r="AH217" s="40">
        <f t="shared" si="159"/>
        <v>1427.8649952644116</v>
      </c>
      <c r="AI217" s="106">
        <f t="shared" si="155"/>
        <v>-1215211.4073475958</v>
      </c>
      <c r="AJ217" s="40">
        <f t="shared" si="149"/>
        <v>505163.95552641974</v>
      </c>
      <c r="AK217" s="108">
        <f t="shared" si="150"/>
        <v>-1022664.3456740176</v>
      </c>
    </row>
    <row r="218" spans="6:37">
      <c r="G218" s="1"/>
      <c r="I218">
        <v>10</v>
      </c>
      <c r="J218" s="26">
        <f t="shared" si="156"/>
        <v>4796.1781817158671</v>
      </c>
      <c r="K218" s="24">
        <f t="shared" si="157"/>
        <v>3156.5842376961432</v>
      </c>
      <c r="L218" s="24">
        <f t="shared" si="144"/>
        <v>6365.9512550018198</v>
      </c>
      <c r="M218" s="24">
        <f t="shared" si="131"/>
        <v>2728.2648235722081</v>
      </c>
      <c r="N218" s="48"/>
      <c r="O218" s="32">
        <f t="shared" si="134"/>
        <v>10082.99055914864</v>
      </c>
      <c r="P218" s="32">
        <f t="shared" si="145"/>
        <v>1070.7507960881937</v>
      </c>
      <c r="Q218" s="32">
        <f t="shared" si="146"/>
        <v>9012.2397630604464</v>
      </c>
      <c r="R218" s="45">
        <f t="shared" si="151"/>
        <v>247967.95129810608</v>
      </c>
      <c r="S218" s="31">
        <f t="shared" si="135"/>
        <v>-8525.3729306424975</v>
      </c>
      <c r="T218" s="32">
        <f t="shared" si="147"/>
        <v>0</v>
      </c>
      <c r="U218" s="32">
        <f t="shared" si="136"/>
        <v>-17537.612693702944</v>
      </c>
      <c r="V218" s="32">
        <v>0</v>
      </c>
      <c r="W218" s="32">
        <f t="shared" si="137"/>
        <v>-8443.3966151289169</v>
      </c>
      <c r="X218" s="32">
        <f t="shared" si="158"/>
        <v>-3508.4056908242583</v>
      </c>
      <c r="Y218" s="102">
        <f t="shared" si="152"/>
        <v>-1092714.3718747543</v>
      </c>
      <c r="Z218" s="32">
        <f t="shared" si="153"/>
        <v>-1650956.4301873692</v>
      </c>
      <c r="AA218" s="45">
        <f t="shared" si="154"/>
        <v>-1650956.4301873692</v>
      </c>
      <c r="AB218" s="1"/>
      <c r="AC218" s="40">
        <f t="shared" si="139"/>
        <v>-7454.6221345543036</v>
      </c>
      <c r="AD218" s="40">
        <f t="shared" si="148"/>
        <v>0</v>
      </c>
      <c r="AE218" s="40">
        <f t="shared" si="140"/>
        <v>-7454.6221345543036</v>
      </c>
      <c r="AF218" s="40">
        <f t="shared" si="141"/>
        <v>0</v>
      </c>
      <c r="AG218" s="40">
        <f t="shared" si="142"/>
        <v>1639.5939440197244</v>
      </c>
      <c r="AH218" s="40">
        <f t="shared" si="159"/>
        <v>681.2851493358354</v>
      </c>
      <c r="AI218" s="106">
        <f t="shared" si="155"/>
        <v>-1214530.1221982599</v>
      </c>
      <c r="AJ218" s="40">
        <f t="shared" si="149"/>
        <v>506803.54947043944</v>
      </c>
      <c r="AK218" s="108">
        <f t="shared" si="150"/>
        <v>-1021024.7517299978</v>
      </c>
    </row>
    <row r="219" spans="6:37">
      <c r="G219" s="1"/>
      <c r="I219">
        <v>11</v>
      </c>
      <c r="J219" s="26">
        <f t="shared" si="156"/>
        <v>2515.4267833769759</v>
      </c>
      <c r="K219" s="24">
        <f t="shared" si="157"/>
        <v>3156.5842376961432</v>
      </c>
      <c r="L219" s="24">
        <f t="shared" si="144"/>
        <v>6365.9512550018198</v>
      </c>
      <c r="M219" s="24">
        <f t="shared" si="131"/>
        <v>2728.2648235722081</v>
      </c>
      <c r="N219" s="48"/>
      <c r="O219" s="32">
        <f t="shared" si="134"/>
        <v>10082.99055914864</v>
      </c>
      <c r="P219" s="32">
        <f t="shared" si="145"/>
        <v>1033.1997970754419</v>
      </c>
      <c r="Q219" s="32">
        <f t="shared" si="146"/>
        <v>9049.7907620731985</v>
      </c>
      <c r="R219" s="45">
        <f t="shared" si="151"/>
        <v>238918.1605360329</v>
      </c>
      <c r="S219" s="31">
        <f t="shared" si="135"/>
        <v>-10768.573329968636</v>
      </c>
      <c r="T219" s="32">
        <f t="shared" si="147"/>
        <v>0</v>
      </c>
      <c r="U219" s="32">
        <f t="shared" si="136"/>
        <v>-19818.364092041833</v>
      </c>
      <c r="V219" s="32">
        <v>0</v>
      </c>
      <c r="W219" s="32">
        <f t="shared" si="137"/>
        <v>-10724.148013467806</v>
      </c>
      <c r="X219" s="32">
        <f t="shared" si="158"/>
        <v>-4456.105005451961</v>
      </c>
      <c r="Y219" s="102">
        <f t="shared" si="152"/>
        <v>-1097170.4768802063</v>
      </c>
      <c r="Z219" s="32">
        <f t="shared" si="153"/>
        <v>-1661680.5782008371</v>
      </c>
      <c r="AA219" s="45">
        <f t="shared" si="154"/>
        <v>-1661680.5782008371</v>
      </c>
      <c r="AB219" s="1"/>
      <c r="AC219" s="40">
        <f t="shared" si="139"/>
        <v>-9735.3735328931944</v>
      </c>
      <c r="AD219" s="40">
        <f t="shared" si="148"/>
        <v>0</v>
      </c>
      <c r="AE219" s="40">
        <f t="shared" si="140"/>
        <v>-9735.3735328931944</v>
      </c>
      <c r="AF219" s="40">
        <f t="shared" si="141"/>
        <v>0</v>
      </c>
      <c r="AG219" s="40">
        <f t="shared" si="142"/>
        <v>-641.15745431916639</v>
      </c>
      <c r="AH219" s="40">
        <f t="shared" si="159"/>
        <v>-266.41416529186841</v>
      </c>
      <c r="AI219" s="106">
        <f t="shared" si="155"/>
        <v>-1214796.5363635519</v>
      </c>
      <c r="AJ219" s="40">
        <f t="shared" si="149"/>
        <v>506162.39201612025</v>
      </c>
      <c r="AK219" s="108">
        <f t="shared" si="150"/>
        <v>-1021665.909184317</v>
      </c>
    </row>
    <row r="220" spans="6:37">
      <c r="G220" s="1"/>
      <c r="I220">
        <v>12</v>
      </c>
      <c r="J220" s="26">
        <f t="shared" si="156"/>
        <v>1899.4038976520023</v>
      </c>
      <c r="K220" s="24">
        <f t="shared" si="157"/>
        <v>3156.5842376961432</v>
      </c>
      <c r="L220" s="24">
        <f t="shared" si="144"/>
        <v>6365.9512550018198</v>
      </c>
      <c r="M220" s="24">
        <f t="shared" si="131"/>
        <v>2728.2648235722081</v>
      </c>
      <c r="N220" s="48"/>
      <c r="O220" s="32">
        <f t="shared" si="134"/>
        <v>10082.99055914864</v>
      </c>
      <c r="P220" s="32">
        <f t="shared" si="145"/>
        <v>995.49233556680372</v>
      </c>
      <c r="Q220" s="32">
        <f t="shared" si="146"/>
        <v>9087.498223581837</v>
      </c>
      <c r="R220" s="45">
        <f t="shared" si="151"/>
        <v>229830.66231245105</v>
      </c>
      <c r="S220" s="31">
        <f t="shared" si="135"/>
        <v>-11346.888754184973</v>
      </c>
      <c r="T220" s="32">
        <f t="shared" si="147"/>
        <v>0</v>
      </c>
      <c r="U220" s="32">
        <f t="shared" si="136"/>
        <v>-20434.386977766808</v>
      </c>
      <c r="V220" s="32">
        <v>0</v>
      </c>
      <c r="W220" s="32">
        <f t="shared" si="137"/>
        <v>-11340.170899192781</v>
      </c>
      <c r="X220" s="32">
        <f t="shared" si="158"/>
        <v>-4712.0752383417594</v>
      </c>
      <c r="Y220" s="102">
        <f t="shared" si="152"/>
        <v>-1101882.552118548</v>
      </c>
      <c r="Z220" s="32">
        <f t="shared" si="153"/>
        <v>-1673020.7491000299</v>
      </c>
      <c r="AA220" s="45">
        <f t="shared" si="154"/>
        <v>-1673020.7491000299</v>
      </c>
      <c r="AB220" s="1"/>
      <c r="AC220" s="40">
        <f t="shared" si="139"/>
        <v>-10351.396418618169</v>
      </c>
      <c r="AD220" s="40">
        <f t="shared" si="148"/>
        <v>0</v>
      </c>
      <c r="AE220" s="40">
        <f t="shared" si="140"/>
        <v>-10351.396418618169</v>
      </c>
      <c r="AF220" s="40">
        <f t="shared" si="141"/>
        <v>0</v>
      </c>
      <c r="AG220" s="40">
        <f t="shared" si="142"/>
        <v>-1257.1803400441413</v>
      </c>
      <c r="AH220" s="40">
        <f t="shared" si="159"/>
        <v>-522.38439818166671</v>
      </c>
      <c r="AI220" s="106">
        <f t="shared" si="155"/>
        <v>-1215318.9207617335</v>
      </c>
      <c r="AJ220" s="40">
        <f t="shared" si="149"/>
        <v>504905.21167607611</v>
      </c>
      <c r="AK220" s="108">
        <f t="shared" si="150"/>
        <v>-1022923.0895243611</v>
      </c>
    </row>
    <row r="221" spans="6:37">
      <c r="F221" s="132" t="s">
        <v>88</v>
      </c>
      <c r="G221" s="1">
        <f>SUM(S221:S232)</f>
        <v>-88062.205165156207</v>
      </c>
      <c r="H221">
        <v>2033</v>
      </c>
      <c r="I221">
        <v>1</v>
      </c>
      <c r="J221" s="26">
        <f t="shared" ref="J221:J232" si="160">C23*$C$56*$D$56</f>
        <v>2199.8617265585758</v>
      </c>
      <c r="K221" s="24">
        <f t="shared" ref="K221:K232" si="161">$K$220*$C$8</f>
        <v>3251.2817648270275</v>
      </c>
      <c r="L221" s="24">
        <f t="shared" si="144"/>
        <v>6365.9512550018198</v>
      </c>
      <c r="M221" s="24">
        <f t="shared" si="131"/>
        <v>2728.2648235722081</v>
      </c>
      <c r="N221" s="48"/>
      <c r="O221" s="32">
        <f t="shared" si="134"/>
        <v>10082.99055914864</v>
      </c>
      <c r="P221" s="32">
        <f t="shared" si="145"/>
        <v>957.62775963521267</v>
      </c>
      <c r="Q221" s="32">
        <f t="shared" si="146"/>
        <v>9125.3627995134284</v>
      </c>
      <c r="R221" s="45">
        <f t="shared" si="151"/>
        <v>220705.29951293764</v>
      </c>
      <c r="S221" s="31">
        <f t="shared" si="135"/>
        <v>-11103.263876477691</v>
      </c>
      <c r="T221" s="32">
        <f t="shared" si="147"/>
        <v>0</v>
      </c>
      <c r="U221" s="32">
        <f t="shared" si="136"/>
        <v>-20228.62667599112</v>
      </c>
      <c r="V221" s="32">
        <v>0</v>
      </c>
      <c r="W221" s="32">
        <f t="shared" si="137"/>
        <v>-11134.410597417093</v>
      </c>
      <c r="X221" s="32">
        <f t="shared" ref="X221:X232" si="162">W221/(1+$C$18)^19</f>
        <v>-4406.2643647639943</v>
      </c>
      <c r="Y221" s="102">
        <f t="shared" si="152"/>
        <v>-1106288.8164833121</v>
      </c>
      <c r="Z221" s="32">
        <f t="shared" si="153"/>
        <v>-1684155.159697447</v>
      </c>
      <c r="AA221" s="45">
        <f t="shared" si="154"/>
        <v>-1684155.159697447</v>
      </c>
      <c r="AB221" s="1"/>
      <c r="AC221" s="40">
        <f t="shared" si="139"/>
        <v>-10145.636116842479</v>
      </c>
      <c r="AD221" s="40">
        <f t="shared" si="148"/>
        <v>0</v>
      </c>
      <c r="AE221" s="40">
        <f t="shared" si="140"/>
        <v>-10145.636116842479</v>
      </c>
      <c r="AF221" s="40">
        <f t="shared" si="141"/>
        <v>0</v>
      </c>
      <c r="AG221" s="40">
        <f t="shared" si="142"/>
        <v>-1051.4200382684512</v>
      </c>
      <c r="AH221" s="40">
        <f t="shared" ref="AH221:AH232" si="163">AG221/(1+$C$18)^19</f>
        <v>-416.08261223057241</v>
      </c>
      <c r="AI221" s="106">
        <f t="shared" si="155"/>
        <v>-1215735.0033739642</v>
      </c>
      <c r="AJ221" s="40">
        <f t="shared" si="149"/>
        <v>503853.79163780768</v>
      </c>
      <c r="AK221" s="108">
        <f t="shared" si="150"/>
        <v>-1023974.5095626295</v>
      </c>
    </row>
    <row r="222" spans="6:37">
      <c r="F222" s="17" t="s">
        <v>31</v>
      </c>
      <c r="G222">
        <v>19</v>
      </c>
      <c r="I222">
        <v>2</v>
      </c>
      <c r="J222" s="26">
        <f t="shared" si="160"/>
        <v>3419.5870402940236</v>
      </c>
      <c r="K222" s="24">
        <f t="shared" si="161"/>
        <v>3251.2817648270275</v>
      </c>
      <c r="L222" s="24">
        <f t="shared" si="144"/>
        <v>6365.9512550018198</v>
      </c>
      <c r="M222" s="24">
        <f t="shared" si="131"/>
        <v>2728.2648235722081</v>
      </c>
      <c r="N222" s="48"/>
      <c r="O222" s="32">
        <f t="shared" si="134"/>
        <v>10082.99055914864</v>
      </c>
      <c r="P222" s="32">
        <f t="shared" si="145"/>
        <v>919.60541463724019</v>
      </c>
      <c r="Q222" s="32">
        <f t="shared" si="146"/>
        <v>9163.3851445113996</v>
      </c>
      <c r="R222" s="45">
        <f t="shared" si="151"/>
        <v>211541.91436842622</v>
      </c>
      <c r="S222" s="31">
        <f t="shared" si="135"/>
        <v>-9845.5162177442726</v>
      </c>
      <c r="T222" s="32">
        <f t="shared" si="147"/>
        <v>0</v>
      </c>
      <c r="U222" s="32">
        <f t="shared" si="136"/>
        <v>-19008.901362255674</v>
      </c>
      <c r="V222" s="32">
        <v>0</v>
      </c>
      <c r="W222" s="32">
        <f t="shared" si="137"/>
        <v>-9914.685283681647</v>
      </c>
      <c r="X222" s="32">
        <f t="shared" si="162"/>
        <v>-3923.5776398860912</v>
      </c>
      <c r="Y222" s="102">
        <f t="shared" si="152"/>
        <v>-1110212.3941231982</v>
      </c>
      <c r="Z222" s="32">
        <f t="shared" si="153"/>
        <v>-1694069.8449811286</v>
      </c>
      <c r="AA222" s="45">
        <f t="shared" si="154"/>
        <v>-1694069.8449811286</v>
      </c>
      <c r="AB222" s="1"/>
      <c r="AC222" s="40">
        <f t="shared" si="139"/>
        <v>-8925.9108031070318</v>
      </c>
      <c r="AD222" s="40">
        <f t="shared" si="148"/>
        <v>0</v>
      </c>
      <c r="AE222" s="40">
        <f t="shared" si="140"/>
        <v>-8925.9108031070318</v>
      </c>
      <c r="AF222" s="40">
        <f t="shared" si="141"/>
        <v>0</v>
      </c>
      <c r="AG222" s="40">
        <f t="shared" si="142"/>
        <v>168.30527546699614</v>
      </c>
      <c r="AH222" s="40">
        <f t="shared" si="163"/>
        <v>66.604112647331789</v>
      </c>
      <c r="AI222" s="106">
        <f t="shared" si="155"/>
        <v>-1215668.399261317</v>
      </c>
      <c r="AJ222" s="40">
        <f t="shared" si="149"/>
        <v>504022.09691327467</v>
      </c>
      <c r="AK222" s="108">
        <f t="shared" si="150"/>
        <v>-1023806.2042871625</v>
      </c>
    </row>
    <row r="223" spans="6:37">
      <c r="F223" s="13" t="s">
        <v>30</v>
      </c>
      <c r="G223" s="1">
        <v>0</v>
      </c>
      <c r="I223">
        <v>3</v>
      </c>
      <c r="J223" s="26">
        <f t="shared" si="160"/>
        <v>6381.7770879372547</v>
      </c>
      <c r="K223" s="24">
        <f t="shared" si="161"/>
        <v>3251.2817648270275</v>
      </c>
      <c r="L223" s="24">
        <f t="shared" si="144"/>
        <v>6365.9512550018198</v>
      </c>
      <c r="M223" s="24">
        <f t="shared" si="131"/>
        <v>2728.2648235722081</v>
      </c>
      <c r="N223" s="48"/>
      <c r="O223" s="32">
        <f t="shared" si="134"/>
        <v>10082.99055914864</v>
      </c>
      <c r="P223" s="32">
        <f t="shared" si="145"/>
        <v>881.42464320177589</v>
      </c>
      <c r="Q223" s="32">
        <f t="shared" si="146"/>
        <v>9201.5659159468651</v>
      </c>
      <c r="R223" s="45">
        <f t="shared" si="151"/>
        <v>202340.34845247935</v>
      </c>
      <c r="S223" s="31">
        <f t="shared" si="135"/>
        <v>-6845.145398665577</v>
      </c>
      <c r="T223" s="32">
        <f t="shared" si="147"/>
        <v>0</v>
      </c>
      <c r="U223" s="32">
        <f t="shared" si="136"/>
        <v>-16046.711314612441</v>
      </c>
      <c r="V223" s="32">
        <v>0</v>
      </c>
      <c r="W223" s="32">
        <f t="shared" si="137"/>
        <v>-6952.4952360384123</v>
      </c>
      <c r="X223" s="32">
        <f t="shared" si="162"/>
        <v>-2751.3384508968934</v>
      </c>
      <c r="Y223" s="102">
        <f t="shared" si="152"/>
        <v>-1112963.732574095</v>
      </c>
      <c r="Z223" s="32">
        <f t="shared" si="153"/>
        <v>-1701022.340217167</v>
      </c>
      <c r="AA223" s="45">
        <f t="shared" si="154"/>
        <v>-1701022.340217167</v>
      </c>
      <c r="AB223" s="1"/>
      <c r="AC223" s="40">
        <f t="shared" si="139"/>
        <v>-5963.7207554638007</v>
      </c>
      <c r="AD223" s="40">
        <f t="shared" si="148"/>
        <v>0</v>
      </c>
      <c r="AE223" s="40">
        <f t="shared" si="140"/>
        <v>-5963.7207554638007</v>
      </c>
      <c r="AF223" s="40">
        <f t="shared" si="141"/>
        <v>0</v>
      </c>
      <c r="AG223" s="40">
        <f t="shared" si="142"/>
        <v>3130.4953231102272</v>
      </c>
      <c r="AH223" s="40">
        <f t="shared" si="163"/>
        <v>1238.8433016365284</v>
      </c>
      <c r="AI223" s="106">
        <f t="shared" si="155"/>
        <v>-1214429.5559596804</v>
      </c>
      <c r="AJ223" s="40">
        <f t="shared" si="149"/>
        <v>507152.59223638492</v>
      </c>
      <c r="AK223" s="108">
        <f t="shared" si="150"/>
        <v>-1020675.7089640523</v>
      </c>
    </row>
    <row r="224" spans="6:37">
      <c r="F224" s="18" t="s">
        <v>39</v>
      </c>
      <c r="G224" s="1">
        <f>G221+G212</f>
        <v>-1772652.4306918608</v>
      </c>
      <c r="I224">
        <v>4</v>
      </c>
      <c r="J224" s="26">
        <f t="shared" si="160"/>
        <v>8204.10478881581</v>
      </c>
      <c r="K224" s="24">
        <f t="shared" si="161"/>
        <v>3251.2817648270275</v>
      </c>
      <c r="L224" s="24">
        <f t="shared" si="144"/>
        <v>6365.9512550018198</v>
      </c>
      <c r="M224" s="24">
        <f t="shared" si="131"/>
        <v>2728.2648235722081</v>
      </c>
      <c r="N224" s="48"/>
      <c r="O224" s="32">
        <f t="shared" si="134"/>
        <v>10082.99055914864</v>
      </c>
      <c r="P224" s="32">
        <f t="shared" si="145"/>
        <v>843.08478521866391</v>
      </c>
      <c r="Q224" s="32">
        <f t="shared" si="146"/>
        <v>9239.9057739299769</v>
      </c>
      <c r="R224" s="45">
        <f t="shared" si="151"/>
        <v>193100.44267854936</v>
      </c>
      <c r="S224" s="31">
        <f t="shared" si="135"/>
        <v>-4984.4778398039089</v>
      </c>
      <c r="T224" s="32">
        <f t="shared" si="147"/>
        <v>0</v>
      </c>
      <c r="U224" s="32">
        <f t="shared" si="136"/>
        <v>-14224.383613733886</v>
      </c>
      <c r="V224" s="32">
        <v>0</v>
      </c>
      <c r="W224" s="32">
        <f t="shared" si="137"/>
        <v>-5130.1675351598578</v>
      </c>
      <c r="X224" s="32">
        <f t="shared" si="162"/>
        <v>-2030.1814988471676</v>
      </c>
      <c r="Y224" s="102">
        <f t="shared" si="152"/>
        <v>-1114993.9140729422</v>
      </c>
      <c r="Z224" s="32">
        <f t="shared" si="153"/>
        <v>-1706152.507752327</v>
      </c>
      <c r="AA224" s="45">
        <f t="shared" si="154"/>
        <v>-1706152.507752327</v>
      </c>
      <c r="AB224" s="1"/>
      <c r="AC224" s="40">
        <f t="shared" si="139"/>
        <v>-4141.3930545852454</v>
      </c>
      <c r="AD224" s="40">
        <f t="shared" si="148"/>
        <v>0</v>
      </c>
      <c r="AE224" s="40">
        <f t="shared" si="140"/>
        <v>-4141.3930545852454</v>
      </c>
      <c r="AF224" s="40">
        <f t="shared" si="141"/>
        <v>0</v>
      </c>
      <c r="AG224" s="40">
        <f t="shared" si="142"/>
        <v>4952.8230239887826</v>
      </c>
      <c r="AH224" s="40">
        <f t="shared" si="163"/>
        <v>1960.0002536862544</v>
      </c>
      <c r="AI224" s="106">
        <f t="shared" si="155"/>
        <v>-1212469.5557059941</v>
      </c>
      <c r="AJ224" s="40">
        <f t="shared" si="149"/>
        <v>512105.41526037373</v>
      </c>
      <c r="AK224" s="108">
        <f t="shared" si="150"/>
        <v>-1015722.8859400635</v>
      </c>
    </row>
    <row r="225" spans="6:37">
      <c r="F225" s="16" t="s">
        <v>90</v>
      </c>
      <c r="G225" s="129">
        <f>$C$60</f>
        <v>0</v>
      </c>
      <c r="I225">
        <v>5</v>
      </c>
      <c r="J225" s="26">
        <f t="shared" si="160"/>
        <v>8421.9128805542823</v>
      </c>
      <c r="K225" s="24">
        <f t="shared" si="161"/>
        <v>3251.2817648270275</v>
      </c>
      <c r="L225" s="24">
        <f t="shared" si="144"/>
        <v>6365.9512550018198</v>
      </c>
      <c r="M225" s="24">
        <f t="shared" si="131"/>
        <v>2728.2648235722081</v>
      </c>
      <c r="N225" s="48"/>
      <c r="O225" s="32">
        <f t="shared" si="134"/>
        <v>10082.99055914864</v>
      </c>
      <c r="P225" s="32">
        <f t="shared" si="145"/>
        <v>804.58517782728893</v>
      </c>
      <c r="Q225" s="32">
        <f t="shared" si="146"/>
        <v>9278.4053813213523</v>
      </c>
      <c r="R225" s="45">
        <f t="shared" si="151"/>
        <v>183822.037297228</v>
      </c>
      <c r="S225" s="31">
        <f t="shared" si="135"/>
        <v>-4728.1701406740622</v>
      </c>
      <c r="T225" s="32">
        <f t="shared" si="147"/>
        <v>0</v>
      </c>
      <c r="U225" s="32">
        <f t="shared" si="136"/>
        <v>-14006.575521995414</v>
      </c>
      <c r="V225" s="32">
        <v>0</v>
      </c>
      <c r="W225" s="32">
        <f t="shared" si="137"/>
        <v>-4912.3594434213855</v>
      </c>
      <c r="X225" s="32">
        <f t="shared" si="162"/>
        <v>-1943.9874408332564</v>
      </c>
      <c r="Y225" s="102">
        <f t="shared" si="152"/>
        <v>-1116937.9015137756</v>
      </c>
      <c r="Z225" s="32">
        <f t="shared" si="153"/>
        <v>-1711064.8671957485</v>
      </c>
      <c r="AA225" s="45">
        <f t="shared" si="154"/>
        <v>-1711064.8671957485</v>
      </c>
      <c r="AB225" s="1"/>
      <c r="AC225" s="40">
        <f t="shared" si="139"/>
        <v>-3923.5849628467731</v>
      </c>
      <c r="AD225" s="40">
        <f t="shared" si="148"/>
        <v>0</v>
      </c>
      <c r="AE225" s="40">
        <f t="shared" si="140"/>
        <v>-3923.5849628467731</v>
      </c>
      <c r="AF225" s="40">
        <f t="shared" si="141"/>
        <v>0</v>
      </c>
      <c r="AG225" s="40">
        <f t="shared" si="142"/>
        <v>5170.6311157272548</v>
      </c>
      <c r="AH225" s="40">
        <f t="shared" si="163"/>
        <v>2046.1943117001656</v>
      </c>
      <c r="AI225" s="106">
        <f t="shared" si="155"/>
        <v>-1210423.3613942941</v>
      </c>
      <c r="AJ225" s="40">
        <f t="shared" si="149"/>
        <v>517276.04637610097</v>
      </c>
      <c r="AK225" s="108">
        <f t="shared" si="150"/>
        <v>-1010552.2548243363</v>
      </c>
    </row>
    <row r="226" spans="6:37">
      <c r="G226" s="1"/>
      <c r="I226">
        <v>6</v>
      </c>
      <c r="J226" s="26">
        <f t="shared" si="160"/>
        <v>8421.9128805542823</v>
      </c>
      <c r="K226" s="24">
        <f t="shared" si="161"/>
        <v>3251.2817648270275</v>
      </c>
      <c r="L226" s="24">
        <f t="shared" si="144"/>
        <v>6365.9512550018198</v>
      </c>
      <c r="M226" s="24">
        <f t="shared" si="131"/>
        <v>2728.2648235722081</v>
      </c>
      <c r="N226" s="48"/>
      <c r="O226" s="32">
        <f t="shared" si="134"/>
        <v>10082.99055914864</v>
      </c>
      <c r="P226" s="32">
        <f t="shared" si="145"/>
        <v>765.9251554051167</v>
      </c>
      <c r="Q226" s="32">
        <f t="shared" si="146"/>
        <v>9317.0654037435233</v>
      </c>
      <c r="R226" s="45">
        <f t="shared" si="151"/>
        <v>174504.97189348447</v>
      </c>
      <c r="S226" s="31">
        <f t="shared" si="135"/>
        <v>-4689.5101182518902</v>
      </c>
      <c r="T226" s="32">
        <f t="shared" si="147"/>
        <v>0</v>
      </c>
      <c r="U226" s="32">
        <f t="shared" si="136"/>
        <v>-14006.575521995414</v>
      </c>
      <c r="V226" s="32">
        <v>0</v>
      </c>
      <c r="W226" s="32">
        <f t="shared" si="137"/>
        <v>-4912.3594434213855</v>
      </c>
      <c r="X226" s="32">
        <f t="shared" si="162"/>
        <v>-1943.9874408332564</v>
      </c>
      <c r="Y226" s="102">
        <f t="shared" si="152"/>
        <v>-1118881.8889546089</v>
      </c>
      <c r="Z226" s="32">
        <f t="shared" si="153"/>
        <v>-1715977.22663917</v>
      </c>
      <c r="AA226" s="45">
        <f t="shared" si="154"/>
        <v>-1715977.22663917</v>
      </c>
      <c r="AB226" s="1"/>
      <c r="AC226" s="40">
        <f t="shared" si="139"/>
        <v>-3923.5849628467731</v>
      </c>
      <c r="AD226" s="40">
        <f t="shared" si="148"/>
        <v>0</v>
      </c>
      <c r="AE226" s="40">
        <f t="shared" si="140"/>
        <v>-3923.5849628467731</v>
      </c>
      <c r="AF226" s="40">
        <f t="shared" si="141"/>
        <v>0</v>
      </c>
      <c r="AG226" s="40">
        <f t="shared" si="142"/>
        <v>5170.6311157272548</v>
      </c>
      <c r="AH226" s="40">
        <f t="shared" si="163"/>
        <v>2046.1943117001656</v>
      </c>
      <c r="AI226" s="106">
        <f t="shared" si="155"/>
        <v>-1208377.167082594</v>
      </c>
      <c r="AJ226" s="40">
        <f t="shared" si="149"/>
        <v>522446.67749182822</v>
      </c>
      <c r="AK226" s="108">
        <f t="shared" si="150"/>
        <v>-1005381.623708609</v>
      </c>
    </row>
    <row r="227" spans="6:37">
      <c r="G227" s="1"/>
      <c r="I227">
        <v>7</v>
      </c>
      <c r="J227" s="26">
        <f t="shared" si="160"/>
        <v>8421.9128805542823</v>
      </c>
      <c r="K227" s="24">
        <f t="shared" si="161"/>
        <v>3251.2817648270275</v>
      </c>
      <c r="L227" s="24">
        <f t="shared" si="144"/>
        <v>6365.9512550018198</v>
      </c>
      <c r="M227" s="24">
        <f t="shared" si="131"/>
        <v>2728.2648235722081</v>
      </c>
      <c r="N227" s="48"/>
      <c r="O227" s="32">
        <f t="shared" si="134"/>
        <v>10082.99055914864</v>
      </c>
      <c r="P227" s="32">
        <f t="shared" si="145"/>
        <v>727.10404955618526</v>
      </c>
      <c r="Q227" s="32">
        <f t="shared" si="146"/>
        <v>9355.8865095924557</v>
      </c>
      <c r="R227" s="45">
        <f t="shared" si="151"/>
        <v>165149.085383892</v>
      </c>
      <c r="S227" s="31">
        <f t="shared" si="135"/>
        <v>-4650.6890124029587</v>
      </c>
      <c r="T227" s="32">
        <f t="shared" si="147"/>
        <v>0</v>
      </c>
      <c r="U227" s="32">
        <f t="shared" si="136"/>
        <v>-14006.575521995414</v>
      </c>
      <c r="V227" s="32">
        <v>0</v>
      </c>
      <c r="W227" s="32">
        <f t="shared" si="137"/>
        <v>-4912.3594434213855</v>
      </c>
      <c r="X227" s="32">
        <f t="shared" si="162"/>
        <v>-1943.9874408332564</v>
      </c>
      <c r="Y227" s="102">
        <f t="shared" si="152"/>
        <v>-1120825.8763954423</v>
      </c>
      <c r="Z227" s="32">
        <f t="shared" si="153"/>
        <v>-1720889.5860825914</v>
      </c>
      <c r="AA227" s="45">
        <f t="shared" si="154"/>
        <v>-1720889.5860825914</v>
      </c>
      <c r="AB227" s="1"/>
      <c r="AC227" s="40">
        <f t="shared" si="139"/>
        <v>-3923.5849628467731</v>
      </c>
      <c r="AD227" s="40">
        <f t="shared" si="148"/>
        <v>0</v>
      </c>
      <c r="AE227" s="40">
        <f t="shared" si="140"/>
        <v>-3923.5849628467731</v>
      </c>
      <c r="AF227" s="40">
        <f t="shared" si="141"/>
        <v>0</v>
      </c>
      <c r="AG227" s="40">
        <f t="shared" si="142"/>
        <v>5170.6311157272548</v>
      </c>
      <c r="AH227" s="40">
        <f t="shared" si="163"/>
        <v>2046.1943117001656</v>
      </c>
      <c r="AI227" s="106">
        <f t="shared" si="155"/>
        <v>-1206330.9727708939</v>
      </c>
      <c r="AJ227" s="40">
        <f t="shared" si="149"/>
        <v>527617.30860755546</v>
      </c>
      <c r="AK227" s="108">
        <f t="shared" si="150"/>
        <v>-1000210.9925928818</v>
      </c>
    </row>
    <row r="228" spans="6:37">
      <c r="G228" s="1"/>
      <c r="I228">
        <v>8</v>
      </c>
      <c r="J228" s="26">
        <f t="shared" si="160"/>
        <v>7913.69399983118</v>
      </c>
      <c r="K228" s="24">
        <f t="shared" si="161"/>
        <v>3251.2817648270275</v>
      </c>
      <c r="L228" s="24">
        <f t="shared" si="144"/>
        <v>6365.9512550018198</v>
      </c>
      <c r="M228" s="24">
        <f t="shared" si="131"/>
        <v>2728.2648235722081</v>
      </c>
      <c r="N228" s="48"/>
      <c r="O228" s="32">
        <f t="shared" si="134"/>
        <v>10082.99055914864</v>
      </c>
      <c r="P228" s="32">
        <f t="shared" si="145"/>
        <v>688.12118909954995</v>
      </c>
      <c r="Q228" s="32">
        <f t="shared" si="146"/>
        <v>9394.8693700490912</v>
      </c>
      <c r="R228" s="45">
        <f t="shared" si="151"/>
        <v>155754.2160138429</v>
      </c>
      <c r="S228" s="31">
        <f t="shared" si="135"/>
        <v>-5119.9250326694255</v>
      </c>
      <c r="T228" s="32">
        <f t="shared" si="147"/>
        <v>0</v>
      </c>
      <c r="U228" s="32">
        <f t="shared" si="136"/>
        <v>-14514.794402718515</v>
      </c>
      <c r="V228" s="32">
        <v>0</v>
      </c>
      <c r="W228" s="32">
        <f t="shared" si="137"/>
        <v>-5420.5783241444869</v>
      </c>
      <c r="X228" s="32">
        <f t="shared" si="162"/>
        <v>-2145.1069095323824</v>
      </c>
      <c r="Y228" s="102">
        <f t="shared" si="152"/>
        <v>-1122970.9833049746</v>
      </c>
      <c r="Z228" s="32">
        <f t="shared" si="153"/>
        <v>-1726310.1644067359</v>
      </c>
      <c r="AA228" s="45">
        <f t="shared" si="154"/>
        <v>-1726310.1644067359</v>
      </c>
      <c r="AB228" s="1"/>
      <c r="AC228" s="40">
        <f t="shared" si="139"/>
        <v>-4431.8038435698754</v>
      </c>
      <c r="AD228" s="40">
        <f t="shared" si="148"/>
        <v>0</v>
      </c>
      <c r="AE228" s="40">
        <f t="shared" si="140"/>
        <v>-4431.8038435698754</v>
      </c>
      <c r="AF228" s="40">
        <f t="shared" si="141"/>
        <v>0</v>
      </c>
      <c r="AG228" s="40">
        <f t="shared" si="142"/>
        <v>4662.4122350041525</v>
      </c>
      <c r="AH228" s="40">
        <f t="shared" si="163"/>
        <v>1845.0748430010392</v>
      </c>
      <c r="AI228" s="106">
        <f t="shared" si="155"/>
        <v>-1204485.8979278929</v>
      </c>
      <c r="AJ228" s="40">
        <f t="shared" si="149"/>
        <v>532279.72084255959</v>
      </c>
      <c r="AK228" s="108">
        <f t="shared" si="150"/>
        <v>-995548.58035787765</v>
      </c>
    </row>
    <row r="229" spans="6:37">
      <c r="G229" s="1"/>
      <c r="I229">
        <v>9</v>
      </c>
      <c r="J229" s="26">
        <f t="shared" si="160"/>
        <v>6526.9824824295692</v>
      </c>
      <c r="K229" s="24">
        <f t="shared" si="161"/>
        <v>3251.2817648270275</v>
      </c>
      <c r="L229" s="24">
        <f t="shared" si="144"/>
        <v>6365.9512550018198</v>
      </c>
      <c r="M229" s="24">
        <f t="shared" si="131"/>
        <v>2728.2648235722081</v>
      </c>
      <c r="N229" s="48"/>
      <c r="O229" s="32">
        <f t="shared" si="134"/>
        <v>10082.99055914864</v>
      </c>
      <c r="P229" s="32">
        <f t="shared" si="145"/>
        <v>648.9759000576787</v>
      </c>
      <c r="Q229" s="32">
        <f t="shared" si="146"/>
        <v>9434.0146590909608</v>
      </c>
      <c r="R229" s="45">
        <f t="shared" si="151"/>
        <v>146320.20135475195</v>
      </c>
      <c r="S229" s="31">
        <f t="shared" si="135"/>
        <v>-6467.4912610291649</v>
      </c>
      <c r="T229" s="32">
        <f t="shared" si="147"/>
        <v>0</v>
      </c>
      <c r="U229" s="32">
        <f t="shared" si="136"/>
        <v>-15901.505920120126</v>
      </c>
      <c r="V229" s="32">
        <v>0</v>
      </c>
      <c r="W229" s="32">
        <f t="shared" si="137"/>
        <v>-6807.2898415460986</v>
      </c>
      <c r="X229" s="32">
        <f t="shared" si="162"/>
        <v>-2693.8757455542859</v>
      </c>
      <c r="Y229" s="102">
        <f t="shared" si="152"/>
        <v>-1125664.8590505288</v>
      </c>
      <c r="Z229" s="32">
        <f t="shared" si="153"/>
        <v>-1733117.4542482821</v>
      </c>
      <c r="AA229" s="45">
        <f t="shared" si="154"/>
        <v>-1733117.4542482821</v>
      </c>
      <c r="AB229" s="1"/>
      <c r="AC229" s="40">
        <f t="shared" si="139"/>
        <v>-5818.5153609714862</v>
      </c>
      <c r="AD229" s="40">
        <f t="shared" si="148"/>
        <v>0</v>
      </c>
      <c r="AE229" s="40">
        <f t="shared" si="140"/>
        <v>-5818.5153609714862</v>
      </c>
      <c r="AF229" s="40">
        <f t="shared" si="141"/>
        <v>0</v>
      </c>
      <c r="AG229" s="40">
        <f t="shared" si="142"/>
        <v>3275.7007176025418</v>
      </c>
      <c r="AH229" s="40">
        <f t="shared" si="163"/>
        <v>1296.3060069791359</v>
      </c>
      <c r="AI229" s="106">
        <f t="shared" si="155"/>
        <v>-1203189.5919209137</v>
      </c>
      <c r="AJ229" s="40">
        <f t="shared" si="149"/>
        <v>535555.4215601621</v>
      </c>
      <c r="AK229" s="108">
        <f t="shared" si="150"/>
        <v>-992272.87964027515</v>
      </c>
    </row>
    <row r="230" spans="6:37">
      <c r="G230" s="1"/>
      <c r="I230">
        <v>10</v>
      </c>
      <c r="J230" s="26">
        <f t="shared" si="160"/>
        <v>4748.216399898708</v>
      </c>
      <c r="K230" s="24">
        <f t="shared" si="161"/>
        <v>3251.2817648270275</v>
      </c>
      <c r="L230" s="24">
        <f t="shared" si="144"/>
        <v>6365.9512550018198</v>
      </c>
      <c r="M230" s="24">
        <f t="shared" si="131"/>
        <v>2728.2648235722081</v>
      </c>
      <c r="N230" s="48"/>
      <c r="O230" s="32">
        <f t="shared" si="134"/>
        <v>10082.99055914864</v>
      </c>
      <c r="P230" s="32">
        <f t="shared" si="145"/>
        <v>609.6675056447998</v>
      </c>
      <c r="Q230" s="32">
        <f t="shared" si="146"/>
        <v>9473.3230535038401</v>
      </c>
      <c r="R230" s="45">
        <f t="shared" si="151"/>
        <v>136846.8783012481</v>
      </c>
      <c r="S230" s="31">
        <f t="shared" si="135"/>
        <v>-8206.9489491471468</v>
      </c>
      <c r="T230" s="32">
        <f t="shared" si="147"/>
        <v>0</v>
      </c>
      <c r="U230" s="32">
        <f t="shared" si="136"/>
        <v>-17680.272002650989</v>
      </c>
      <c r="V230" s="32">
        <v>0</v>
      </c>
      <c r="W230" s="32">
        <f t="shared" si="137"/>
        <v>-8586.0559240769617</v>
      </c>
      <c r="X230" s="32">
        <f t="shared" si="162"/>
        <v>-3397.7938860012305</v>
      </c>
      <c r="Y230" s="102">
        <f t="shared" si="152"/>
        <v>-1129062.6529365301</v>
      </c>
      <c r="Z230" s="32">
        <f t="shared" si="153"/>
        <v>-1741703.5101723592</v>
      </c>
      <c r="AA230" s="45">
        <f t="shared" si="154"/>
        <v>-1741703.5101723592</v>
      </c>
      <c r="AB230" s="1"/>
      <c r="AC230" s="40">
        <f t="shared" si="139"/>
        <v>-7597.2814435023474</v>
      </c>
      <c r="AD230" s="40">
        <f t="shared" si="148"/>
        <v>0</v>
      </c>
      <c r="AE230" s="40">
        <f t="shared" si="140"/>
        <v>-7597.2814435023474</v>
      </c>
      <c r="AF230" s="40">
        <f t="shared" si="141"/>
        <v>0</v>
      </c>
      <c r="AG230" s="40">
        <f t="shared" si="142"/>
        <v>1496.9346350716805</v>
      </c>
      <c r="AH230" s="40">
        <f t="shared" si="163"/>
        <v>592.38786653219199</v>
      </c>
      <c r="AI230" s="106">
        <f t="shared" si="155"/>
        <v>-1202597.2040543815</v>
      </c>
      <c r="AJ230" s="40">
        <f t="shared" si="149"/>
        <v>537052.35619523376</v>
      </c>
      <c r="AK230" s="108">
        <f t="shared" si="150"/>
        <v>-990775.94500520348</v>
      </c>
    </row>
    <row r="231" spans="6:37">
      <c r="G231" s="1"/>
      <c r="I231">
        <v>11</v>
      </c>
      <c r="J231" s="26">
        <f t="shared" si="160"/>
        <v>2490.2725155432063</v>
      </c>
      <c r="K231" s="24">
        <f t="shared" si="161"/>
        <v>3251.2817648270275</v>
      </c>
      <c r="L231" s="24">
        <f t="shared" si="144"/>
        <v>6365.9512550018198</v>
      </c>
      <c r="M231" s="24">
        <f t="shared" si="131"/>
        <v>2728.2648235722081</v>
      </c>
      <c r="N231" s="48"/>
      <c r="O231" s="32">
        <f t="shared" si="134"/>
        <v>10082.99055914864</v>
      </c>
      <c r="P231" s="32">
        <f t="shared" si="145"/>
        <v>570.19532625520037</v>
      </c>
      <c r="Q231" s="32">
        <f t="shared" si="146"/>
        <v>9512.7952328934407</v>
      </c>
      <c r="R231" s="45">
        <f t="shared" si="151"/>
        <v>127334.08306835467</v>
      </c>
      <c r="S231" s="31">
        <f t="shared" si="135"/>
        <v>-10425.42065411305</v>
      </c>
      <c r="T231" s="32">
        <f t="shared" si="147"/>
        <v>0</v>
      </c>
      <c r="U231" s="32">
        <f t="shared" si="136"/>
        <v>-19938.215887006489</v>
      </c>
      <c r="V231" s="32">
        <v>0</v>
      </c>
      <c r="W231" s="32">
        <f t="shared" si="137"/>
        <v>-10843.999808432462</v>
      </c>
      <c r="X231" s="32">
        <f t="shared" si="162"/>
        <v>-4291.3389540787794</v>
      </c>
      <c r="Y231" s="102">
        <f t="shared" si="152"/>
        <v>-1133353.9918906088</v>
      </c>
      <c r="Z231" s="32">
        <f t="shared" si="153"/>
        <v>-1752547.5099807917</v>
      </c>
      <c r="AA231" s="45">
        <f t="shared" si="154"/>
        <v>-1752547.5099807917</v>
      </c>
      <c r="AB231" s="1"/>
      <c r="AC231" s="40">
        <f t="shared" si="139"/>
        <v>-9855.2253278578501</v>
      </c>
      <c r="AD231" s="40">
        <f t="shared" si="148"/>
        <v>0</v>
      </c>
      <c r="AE231" s="40">
        <f t="shared" si="140"/>
        <v>-9855.2253278578501</v>
      </c>
      <c r="AF231" s="40">
        <f t="shared" si="141"/>
        <v>0</v>
      </c>
      <c r="AG231" s="40">
        <f t="shared" si="142"/>
        <v>-761.0092492838221</v>
      </c>
      <c r="AH231" s="40">
        <f t="shared" si="163"/>
        <v>-301.15720154535762</v>
      </c>
      <c r="AI231" s="106">
        <f t="shared" si="155"/>
        <v>-1202898.3612559268</v>
      </c>
      <c r="AJ231" s="40">
        <f t="shared" si="149"/>
        <v>536291.34694594995</v>
      </c>
      <c r="AK231" s="108">
        <f t="shared" si="150"/>
        <v>-991536.9542544873</v>
      </c>
    </row>
    <row r="232" spans="6:37">
      <c r="G232" s="1"/>
      <c r="I232">
        <v>12</v>
      </c>
      <c r="J232" s="26">
        <f t="shared" si="160"/>
        <v>1880.4098586754822</v>
      </c>
      <c r="K232" s="24">
        <f t="shared" si="161"/>
        <v>3251.2817648270275</v>
      </c>
      <c r="L232" s="24">
        <f t="shared" si="144"/>
        <v>6365.9512550018198</v>
      </c>
      <c r="M232" s="24">
        <f t="shared" si="131"/>
        <v>2728.2648235722081</v>
      </c>
      <c r="N232" s="48"/>
      <c r="O232" s="32">
        <f t="shared" si="134"/>
        <v>10082.99055914864</v>
      </c>
      <c r="P232" s="32">
        <f t="shared" si="145"/>
        <v>530.55867945147781</v>
      </c>
      <c r="Q232" s="32">
        <f t="shared" si="146"/>
        <v>9552.431879697162</v>
      </c>
      <c r="R232" s="45">
        <f t="shared" si="151"/>
        <v>117781.6511886575</v>
      </c>
      <c r="S232" s="31">
        <f t="shared" si="135"/>
        <v>-10995.646664177051</v>
      </c>
      <c r="T232" s="32">
        <f t="shared" si="147"/>
        <v>0</v>
      </c>
      <c r="U232" s="32">
        <f t="shared" si="136"/>
        <v>-20548.078543874213</v>
      </c>
      <c r="V232" s="32">
        <v>0</v>
      </c>
      <c r="W232" s="32">
        <f t="shared" si="137"/>
        <v>-11453.862465300186</v>
      </c>
      <c r="X232" s="32">
        <f t="shared" si="162"/>
        <v>-4532.682316517732</v>
      </c>
      <c r="Y232" s="102">
        <f t="shared" si="152"/>
        <v>-1137886.6742071265</v>
      </c>
      <c r="Z232" s="32">
        <f t="shared" si="153"/>
        <v>-1764001.3724460918</v>
      </c>
      <c r="AA232" s="45">
        <f t="shared" si="154"/>
        <v>-1764001.3724460918</v>
      </c>
      <c r="AB232" s="1"/>
      <c r="AC232" s="40">
        <f t="shared" si="139"/>
        <v>-10465.087984725573</v>
      </c>
      <c r="AD232" s="40">
        <f t="shared" si="148"/>
        <v>0</v>
      </c>
      <c r="AE232" s="40">
        <f t="shared" si="140"/>
        <v>-10465.087984725573</v>
      </c>
      <c r="AF232" s="40">
        <f t="shared" si="141"/>
        <v>0</v>
      </c>
      <c r="AG232" s="40">
        <f t="shared" si="142"/>
        <v>-1370.8719061515449</v>
      </c>
      <c r="AH232" s="40">
        <f t="shared" si="163"/>
        <v>-542.50056398430934</v>
      </c>
      <c r="AI232" s="106">
        <f t="shared" si="155"/>
        <v>-1203440.861819911</v>
      </c>
      <c r="AJ232" s="40">
        <f t="shared" si="149"/>
        <v>534920.47503979842</v>
      </c>
      <c r="AK232" s="108">
        <f t="shared" si="150"/>
        <v>-992907.82616063883</v>
      </c>
    </row>
    <row r="233" spans="6:37">
      <c r="F233" s="132" t="s">
        <v>88</v>
      </c>
      <c r="G233" s="1">
        <f>SUM(S233:S244)</f>
        <v>-84190.332981045663</v>
      </c>
      <c r="H233">
        <v>2034</v>
      </c>
      <c r="I233">
        <v>1</v>
      </c>
      <c r="J233" s="26">
        <f t="shared" ref="J233:J244" si="164">C23*$C$57*$D$57</f>
        <v>2177.86310929299</v>
      </c>
      <c r="K233" s="24">
        <f t="shared" ref="K233:K244" si="165">$K$232*$C$8</f>
        <v>3348.8202177718385</v>
      </c>
      <c r="L233" s="24">
        <f t="shared" si="144"/>
        <v>6365.9512550018198</v>
      </c>
      <c r="M233" s="24">
        <f t="shared" si="131"/>
        <v>2728.2648235722081</v>
      </c>
      <c r="N233" s="48"/>
      <c r="O233" s="32">
        <f t="shared" si="134"/>
        <v>10082.99055914864</v>
      </c>
      <c r="P233" s="32">
        <f t="shared" si="145"/>
        <v>490.75687995273961</v>
      </c>
      <c r="Q233" s="32">
        <f t="shared" si="146"/>
        <v>9592.2336791959005</v>
      </c>
      <c r="R233" s="45">
        <f t="shared" si="151"/>
        <v>108189.41750946161</v>
      </c>
      <c r="S233" s="31">
        <f t="shared" si="135"/>
        <v>-10755.930067005616</v>
      </c>
      <c r="T233" s="32">
        <f t="shared" si="147"/>
        <v>0</v>
      </c>
      <c r="U233" s="32">
        <f t="shared" si="136"/>
        <v>-20348.163746201517</v>
      </c>
      <c r="V233" s="32">
        <v>0</v>
      </c>
      <c r="W233" s="32">
        <f t="shared" si="137"/>
        <v>-11253.94766762749</v>
      </c>
      <c r="X233" s="32">
        <f t="shared" ref="X233:X244" si="166">W233/(1+$C$18)^20</f>
        <v>-4241.4945167319356</v>
      </c>
      <c r="Y233" s="102">
        <f t="shared" si="152"/>
        <v>-1142128.1687238584</v>
      </c>
      <c r="Z233" s="32">
        <f t="shared" si="153"/>
        <v>-1775255.3201137194</v>
      </c>
      <c r="AA233" s="45">
        <f t="shared" si="154"/>
        <v>-1775255.3201137194</v>
      </c>
      <c r="AB233" s="1"/>
      <c r="AC233" s="40">
        <f t="shared" si="139"/>
        <v>-10265.173187052877</v>
      </c>
      <c r="AD233" s="40">
        <f t="shared" si="148"/>
        <v>0</v>
      </c>
      <c r="AE233" s="40">
        <f t="shared" si="140"/>
        <v>-10265.173187052877</v>
      </c>
      <c r="AF233" s="40">
        <f t="shared" si="141"/>
        <v>0</v>
      </c>
      <c r="AG233" s="40">
        <f t="shared" si="142"/>
        <v>-1170.9571084788486</v>
      </c>
      <c r="AH233" s="40">
        <f t="shared" ref="AH233:AH244" si="167">AG233/(1+$C$18)^20</f>
        <v>-441.32141908105729</v>
      </c>
      <c r="AI233" s="106">
        <f t="shared" si="155"/>
        <v>-1203882.183238992</v>
      </c>
      <c r="AJ233" s="40">
        <f t="shared" si="149"/>
        <v>533749.51793131954</v>
      </c>
      <c r="AK233" s="108">
        <f t="shared" si="150"/>
        <v>-994078.7832691177</v>
      </c>
    </row>
    <row r="234" spans="6:37">
      <c r="F234" s="17" t="s">
        <v>31</v>
      </c>
      <c r="G234">
        <v>20</v>
      </c>
      <c r="I234">
        <v>2</v>
      </c>
      <c r="J234" s="26">
        <f t="shared" si="164"/>
        <v>3385.3911698910838</v>
      </c>
      <c r="K234" s="24">
        <f t="shared" si="165"/>
        <v>3348.8202177718385</v>
      </c>
      <c r="L234" s="24">
        <f t="shared" si="144"/>
        <v>6365.9512550018198</v>
      </c>
      <c r="M234" s="24">
        <f t="shared" si="131"/>
        <v>2728.2648235722081</v>
      </c>
      <c r="N234" s="48"/>
      <c r="O234" s="32">
        <f t="shared" si="134"/>
        <v>10082.99055914864</v>
      </c>
      <c r="P234" s="32">
        <f t="shared" si="145"/>
        <v>450.78923962275667</v>
      </c>
      <c r="Q234" s="32">
        <f t="shared" si="146"/>
        <v>9632.2013195258842</v>
      </c>
      <c r="R234" s="45">
        <f t="shared" si="151"/>
        <v>98557.216189935716</v>
      </c>
      <c r="S234" s="31">
        <f t="shared" si="135"/>
        <v>-9508.4343660775394</v>
      </c>
      <c r="T234" s="32">
        <f t="shared" si="147"/>
        <v>0</v>
      </c>
      <c r="U234" s="32">
        <f t="shared" si="136"/>
        <v>-19140.635685603425</v>
      </c>
      <c r="V234" s="32">
        <v>0</v>
      </c>
      <c r="W234" s="32">
        <f t="shared" si="137"/>
        <v>-10046.419607029398</v>
      </c>
      <c r="X234" s="32">
        <f t="shared" si="166"/>
        <v>-3786.3898904184839</v>
      </c>
      <c r="Y234" s="102">
        <f t="shared" si="152"/>
        <v>-1145914.5586142768</v>
      </c>
      <c r="Z234" s="32">
        <f t="shared" si="153"/>
        <v>-1785301.7397207487</v>
      </c>
      <c r="AA234" s="45">
        <f t="shared" si="154"/>
        <v>-1785301.7397207487</v>
      </c>
      <c r="AB234" s="1"/>
      <c r="AC234" s="40">
        <f t="shared" si="139"/>
        <v>-9057.6451264547832</v>
      </c>
      <c r="AD234" s="40">
        <f t="shared" si="148"/>
        <v>0</v>
      </c>
      <c r="AE234" s="40">
        <f t="shared" si="140"/>
        <v>-9057.6451264547832</v>
      </c>
      <c r="AF234" s="40">
        <f t="shared" si="141"/>
        <v>0</v>
      </c>
      <c r="AG234" s="40">
        <f t="shared" si="142"/>
        <v>36.570952119244794</v>
      </c>
      <c r="AH234" s="40">
        <f t="shared" si="167"/>
        <v>13.783207232395435</v>
      </c>
      <c r="AI234" s="106">
        <f t="shared" si="155"/>
        <v>-1203868.4000317596</v>
      </c>
      <c r="AJ234" s="40">
        <f t="shared" si="149"/>
        <v>533786.08888343873</v>
      </c>
      <c r="AK234" s="108">
        <f t="shared" si="150"/>
        <v>-994042.21231699851</v>
      </c>
    </row>
    <row r="235" spans="6:37">
      <c r="F235" s="13" t="s">
        <v>30</v>
      </c>
      <c r="G235" s="1">
        <v>0</v>
      </c>
      <c r="I235">
        <v>3</v>
      </c>
      <c r="J235" s="26">
        <f t="shared" si="164"/>
        <v>6317.9593170578828</v>
      </c>
      <c r="K235" s="24">
        <f t="shared" si="165"/>
        <v>3348.8202177718385</v>
      </c>
      <c r="L235" s="24">
        <f t="shared" si="144"/>
        <v>6365.9512550018198</v>
      </c>
      <c r="M235" s="24">
        <f t="shared" si="131"/>
        <v>2728.2648235722081</v>
      </c>
      <c r="N235" s="48"/>
      <c r="O235" s="32">
        <f t="shared" si="134"/>
        <v>10082.99055914864</v>
      </c>
      <c r="P235" s="32">
        <f t="shared" si="145"/>
        <v>410.6550674580655</v>
      </c>
      <c r="Q235" s="32">
        <f t="shared" si="146"/>
        <v>9672.3354916905755</v>
      </c>
      <c r="R235" s="45">
        <f t="shared" si="151"/>
        <v>88884.880698245135</v>
      </c>
      <c r="S235" s="31">
        <f t="shared" si="135"/>
        <v>-6535.7320467460495</v>
      </c>
      <c r="T235" s="32">
        <f t="shared" si="147"/>
        <v>0</v>
      </c>
      <c r="U235" s="32">
        <f t="shared" si="136"/>
        <v>-16208.067538436624</v>
      </c>
      <c r="V235" s="32">
        <v>0</v>
      </c>
      <c r="W235" s="32">
        <f t="shared" si="137"/>
        <v>-7113.8514598625952</v>
      </c>
      <c r="X235" s="32">
        <f t="shared" si="166"/>
        <v>-2681.135797942954</v>
      </c>
      <c r="Y235" s="102">
        <f t="shared" si="152"/>
        <v>-1148595.6944122198</v>
      </c>
      <c r="Z235" s="32">
        <f t="shared" si="153"/>
        <v>-1792415.5911806114</v>
      </c>
      <c r="AA235" s="45">
        <f t="shared" si="154"/>
        <v>-1792415.5911806114</v>
      </c>
      <c r="AB235" s="1"/>
      <c r="AC235" s="40">
        <f t="shared" si="139"/>
        <v>-6125.0769792879837</v>
      </c>
      <c r="AD235" s="40">
        <f t="shared" si="148"/>
        <v>0</v>
      </c>
      <c r="AE235" s="40">
        <f t="shared" si="140"/>
        <v>-6125.0769792879837</v>
      </c>
      <c r="AF235" s="40">
        <f t="shared" si="141"/>
        <v>0</v>
      </c>
      <c r="AG235" s="40">
        <f t="shared" si="142"/>
        <v>2969.1390992860443</v>
      </c>
      <c r="AH235" s="40">
        <f t="shared" si="167"/>
        <v>1119.0372997079239</v>
      </c>
      <c r="AI235" s="106">
        <f t="shared" si="155"/>
        <v>-1202749.3627320516</v>
      </c>
      <c r="AJ235" s="40">
        <f t="shared" si="149"/>
        <v>536755.22798272478</v>
      </c>
      <c r="AK235" s="108">
        <f t="shared" si="150"/>
        <v>-991073.07321771246</v>
      </c>
    </row>
    <row r="236" spans="6:37">
      <c r="F236" s="18" t="s">
        <v>39</v>
      </c>
      <c r="G236" s="1">
        <f>G233+G224</f>
        <v>-1856842.7636729064</v>
      </c>
      <c r="I236">
        <v>4</v>
      </c>
      <c r="J236" s="26">
        <f t="shared" si="164"/>
        <v>8122.0637409276533</v>
      </c>
      <c r="K236" s="24">
        <f t="shared" si="165"/>
        <v>3348.8202177718385</v>
      </c>
      <c r="L236" s="24">
        <f t="shared" si="144"/>
        <v>6365.9512550018198</v>
      </c>
      <c r="M236" s="24">
        <f t="shared" si="131"/>
        <v>2728.2648235722081</v>
      </c>
      <c r="N236" s="48"/>
      <c r="O236" s="32">
        <f t="shared" si="134"/>
        <v>10082.99055914864</v>
      </c>
      <c r="P236" s="32">
        <f t="shared" si="145"/>
        <v>370.35366957602139</v>
      </c>
      <c r="Q236" s="32">
        <f t="shared" si="146"/>
        <v>9712.6368895726191</v>
      </c>
      <c r="R236" s="45">
        <f t="shared" si="151"/>
        <v>79172.243808672516</v>
      </c>
      <c r="S236" s="31">
        <f t="shared" si="135"/>
        <v>-4691.3262249942345</v>
      </c>
      <c r="T236" s="32">
        <f t="shared" si="147"/>
        <v>0</v>
      </c>
      <c r="U236" s="32">
        <f t="shared" si="136"/>
        <v>-14403.963114566854</v>
      </c>
      <c r="V236" s="32">
        <v>0</v>
      </c>
      <c r="W236" s="32">
        <f t="shared" si="137"/>
        <v>-5309.7470359928257</v>
      </c>
      <c r="X236" s="32">
        <f t="shared" si="166"/>
        <v>-2001.1878145817839</v>
      </c>
      <c r="Y236" s="102">
        <f t="shared" si="152"/>
        <v>-1150596.8822268015</v>
      </c>
      <c r="Z236" s="32">
        <f t="shared" si="153"/>
        <v>-1797725.3382166042</v>
      </c>
      <c r="AA236" s="45">
        <f t="shared" si="154"/>
        <v>-1797725.3382166042</v>
      </c>
      <c r="AB236" s="1"/>
      <c r="AC236" s="40">
        <f t="shared" si="139"/>
        <v>-4320.9725554182132</v>
      </c>
      <c r="AD236" s="40">
        <f t="shared" si="148"/>
        <v>0</v>
      </c>
      <c r="AE236" s="40">
        <f t="shared" si="140"/>
        <v>-4320.9725554182132</v>
      </c>
      <c r="AF236" s="40">
        <f t="shared" si="141"/>
        <v>0</v>
      </c>
      <c r="AG236" s="40">
        <f t="shared" si="142"/>
        <v>4773.2435231558147</v>
      </c>
      <c r="AH236" s="40">
        <f t="shared" si="167"/>
        <v>1798.9852830690945</v>
      </c>
      <c r="AI236" s="106">
        <f t="shared" si="155"/>
        <v>-1200950.3774489826</v>
      </c>
      <c r="AJ236" s="40">
        <f t="shared" si="149"/>
        <v>541528.47150588059</v>
      </c>
      <c r="AK236" s="108">
        <f t="shared" si="150"/>
        <v>-986299.82969455665</v>
      </c>
    </row>
    <row r="237" spans="6:37">
      <c r="F237" s="16" t="s">
        <v>90</v>
      </c>
      <c r="G237" s="129">
        <f>$C$60</f>
        <v>0</v>
      </c>
      <c r="I237">
        <v>5</v>
      </c>
      <c r="J237" s="26">
        <f t="shared" si="164"/>
        <v>8337.6937517487404</v>
      </c>
      <c r="K237" s="24">
        <f t="shared" si="165"/>
        <v>3348.8202177718385</v>
      </c>
      <c r="L237" s="24">
        <f t="shared" si="144"/>
        <v>6365.9512550018198</v>
      </c>
      <c r="M237" s="24">
        <f t="shared" si="131"/>
        <v>2728.2648235722081</v>
      </c>
      <c r="N237" s="48"/>
      <c r="O237" s="32">
        <f t="shared" si="134"/>
        <v>10082.99055914864</v>
      </c>
      <c r="P237" s="32">
        <f t="shared" si="145"/>
        <v>329.88434920280213</v>
      </c>
      <c r="Q237" s="32">
        <f t="shared" si="146"/>
        <v>9753.1062099458377</v>
      </c>
      <c r="R237" s="45">
        <f t="shared" si="151"/>
        <v>69419.13759872668</v>
      </c>
      <c r="S237" s="31">
        <f t="shared" si="135"/>
        <v>-4435.2268937999279</v>
      </c>
      <c r="T237" s="32">
        <f t="shared" si="147"/>
        <v>0</v>
      </c>
      <c r="U237" s="32">
        <f t="shared" si="136"/>
        <v>-14188.333103745766</v>
      </c>
      <c r="V237" s="32">
        <v>0</v>
      </c>
      <c r="W237" s="32">
        <f t="shared" si="137"/>
        <v>-5094.1170251717385</v>
      </c>
      <c r="X237" s="32">
        <f t="shared" si="166"/>
        <v>-1919.9191313115248</v>
      </c>
      <c r="Y237" s="102">
        <f t="shared" si="152"/>
        <v>-1152516.8013581131</v>
      </c>
      <c r="Z237" s="32">
        <f t="shared" si="153"/>
        <v>-1802819.4552417758</v>
      </c>
      <c r="AA237" s="45">
        <f t="shared" si="154"/>
        <v>-1802819.4552417758</v>
      </c>
      <c r="AB237" s="1"/>
      <c r="AC237" s="40">
        <f t="shared" si="139"/>
        <v>-4105.3425445971261</v>
      </c>
      <c r="AD237" s="40">
        <f t="shared" si="148"/>
        <v>0</v>
      </c>
      <c r="AE237" s="40">
        <f t="shared" si="140"/>
        <v>-4105.3425445971261</v>
      </c>
      <c r="AF237" s="40">
        <f t="shared" si="141"/>
        <v>0</v>
      </c>
      <c r="AG237" s="40">
        <f t="shared" si="142"/>
        <v>4988.8735339769019</v>
      </c>
      <c r="AH237" s="40">
        <f t="shared" si="167"/>
        <v>1880.2539663393536</v>
      </c>
      <c r="AI237" s="106">
        <f t="shared" si="155"/>
        <v>-1199070.1234826432</v>
      </c>
      <c r="AJ237" s="40">
        <f t="shared" si="149"/>
        <v>546517.34503985744</v>
      </c>
      <c r="AK237" s="108">
        <f t="shared" si="150"/>
        <v>-981310.95616057981</v>
      </c>
    </row>
    <row r="238" spans="6:37">
      <c r="G238" s="1"/>
      <c r="I238">
        <v>6</v>
      </c>
      <c r="J238" s="26">
        <f t="shared" si="164"/>
        <v>8337.6937517487404</v>
      </c>
      <c r="K238" s="24">
        <f t="shared" si="165"/>
        <v>3348.8202177718385</v>
      </c>
      <c r="L238" s="24">
        <f t="shared" si="144"/>
        <v>6365.9512550018198</v>
      </c>
      <c r="M238" s="24">
        <f t="shared" si="131"/>
        <v>2728.2648235722081</v>
      </c>
      <c r="N238" s="48"/>
      <c r="O238" s="32">
        <f t="shared" si="134"/>
        <v>10082.99055914864</v>
      </c>
      <c r="P238" s="32">
        <f t="shared" si="145"/>
        <v>289.24640666136116</v>
      </c>
      <c r="Q238" s="32">
        <f t="shared" si="146"/>
        <v>9793.7441524872793</v>
      </c>
      <c r="R238" s="45">
        <f t="shared" si="151"/>
        <v>59625.393446239403</v>
      </c>
      <c r="S238" s="31">
        <f t="shared" si="135"/>
        <v>-4394.5889512584872</v>
      </c>
      <c r="T238" s="32">
        <f t="shared" si="147"/>
        <v>0</v>
      </c>
      <c r="U238" s="32">
        <f t="shared" si="136"/>
        <v>-14188.333103745766</v>
      </c>
      <c r="V238" s="32">
        <v>0</v>
      </c>
      <c r="W238" s="32">
        <f t="shared" si="137"/>
        <v>-5094.1170251717385</v>
      </c>
      <c r="X238" s="32">
        <f t="shared" si="166"/>
        <v>-1919.9191313115248</v>
      </c>
      <c r="Y238" s="102">
        <f t="shared" si="152"/>
        <v>-1154436.7204894247</v>
      </c>
      <c r="Z238" s="32">
        <f t="shared" si="153"/>
        <v>-1807913.5722669475</v>
      </c>
      <c r="AA238" s="45">
        <f t="shared" si="154"/>
        <v>-1807913.5722669475</v>
      </c>
      <c r="AB238" s="1"/>
      <c r="AC238" s="40">
        <f t="shared" si="139"/>
        <v>-4105.3425445971261</v>
      </c>
      <c r="AD238" s="40">
        <f t="shared" si="148"/>
        <v>0</v>
      </c>
      <c r="AE238" s="40">
        <f t="shared" si="140"/>
        <v>-4105.3425445971261</v>
      </c>
      <c r="AF238" s="40">
        <f t="shared" si="141"/>
        <v>0</v>
      </c>
      <c r="AG238" s="40">
        <f t="shared" si="142"/>
        <v>4988.8735339769019</v>
      </c>
      <c r="AH238" s="40">
        <f t="shared" si="167"/>
        <v>1880.2539663393536</v>
      </c>
      <c r="AI238" s="106">
        <f t="shared" si="155"/>
        <v>-1197189.8695163038</v>
      </c>
      <c r="AJ238" s="40">
        <f t="shared" si="149"/>
        <v>551506.21857383428</v>
      </c>
      <c r="AK238" s="108">
        <f t="shared" si="150"/>
        <v>-976322.08262660296</v>
      </c>
    </row>
    <row r="239" spans="6:37">
      <c r="G239" s="1"/>
      <c r="I239">
        <v>7</v>
      </c>
      <c r="J239" s="26">
        <f t="shared" si="164"/>
        <v>8337.6937517487404</v>
      </c>
      <c r="K239" s="24">
        <f t="shared" si="165"/>
        <v>3348.8202177718385</v>
      </c>
      <c r="L239" s="24">
        <f t="shared" si="144"/>
        <v>6365.9512550018198</v>
      </c>
      <c r="M239" s="24">
        <f t="shared" si="131"/>
        <v>2728.2648235722081</v>
      </c>
      <c r="N239" s="48"/>
      <c r="O239" s="32">
        <f t="shared" si="134"/>
        <v>10082.99055914864</v>
      </c>
      <c r="P239" s="32">
        <f t="shared" si="145"/>
        <v>248.43913935933085</v>
      </c>
      <c r="Q239" s="32">
        <f t="shared" si="146"/>
        <v>9834.5514197893099</v>
      </c>
      <c r="R239" s="45">
        <f t="shared" si="151"/>
        <v>49790.842026450089</v>
      </c>
      <c r="S239" s="31">
        <f t="shared" si="135"/>
        <v>-4353.7816839564566</v>
      </c>
      <c r="T239" s="32">
        <f t="shared" si="147"/>
        <v>0</v>
      </c>
      <c r="U239" s="32">
        <f t="shared" si="136"/>
        <v>-14188.333103745766</v>
      </c>
      <c r="V239" s="32">
        <v>0</v>
      </c>
      <c r="W239" s="32">
        <f t="shared" si="137"/>
        <v>-5094.1170251717385</v>
      </c>
      <c r="X239" s="32">
        <f t="shared" si="166"/>
        <v>-1919.9191313115248</v>
      </c>
      <c r="Y239" s="102">
        <f t="shared" si="152"/>
        <v>-1156356.6396207362</v>
      </c>
      <c r="Z239" s="32">
        <f t="shared" si="153"/>
        <v>-1813007.6892921191</v>
      </c>
      <c r="AA239" s="45">
        <f t="shared" si="154"/>
        <v>-1813007.6892921191</v>
      </c>
      <c r="AB239" s="1"/>
      <c r="AC239" s="40">
        <f t="shared" si="139"/>
        <v>-4105.3425445971261</v>
      </c>
      <c r="AD239" s="40">
        <f t="shared" si="148"/>
        <v>0</v>
      </c>
      <c r="AE239" s="40">
        <f t="shared" si="140"/>
        <v>-4105.3425445971261</v>
      </c>
      <c r="AF239" s="40">
        <f t="shared" si="141"/>
        <v>0</v>
      </c>
      <c r="AG239" s="40">
        <f t="shared" si="142"/>
        <v>4988.8735339769019</v>
      </c>
      <c r="AH239" s="40">
        <f t="shared" si="167"/>
        <v>1880.2539663393536</v>
      </c>
      <c r="AI239" s="106">
        <f t="shared" si="155"/>
        <v>-1195309.6155499644</v>
      </c>
      <c r="AJ239" s="40">
        <f t="shared" si="149"/>
        <v>556495.09210781113</v>
      </c>
      <c r="AK239" s="108">
        <f t="shared" si="150"/>
        <v>-971333.20909262612</v>
      </c>
    </row>
    <row r="240" spans="6:37">
      <c r="G240" s="1"/>
      <c r="I240">
        <v>8</v>
      </c>
      <c r="J240" s="26">
        <f t="shared" si="164"/>
        <v>7834.5570598328695</v>
      </c>
      <c r="K240" s="24">
        <f t="shared" si="165"/>
        <v>3348.8202177718385</v>
      </c>
      <c r="L240" s="24">
        <f t="shared" si="144"/>
        <v>6365.9512550018198</v>
      </c>
      <c r="M240" s="24">
        <f t="shared" si="131"/>
        <v>2728.2648235722081</v>
      </c>
      <c r="N240" s="48"/>
      <c r="O240" s="32">
        <f t="shared" si="134"/>
        <v>10082.99055914864</v>
      </c>
      <c r="P240" s="32">
        <f t="shared" si="145"/>
        <v>207.46184177687536</v>
      </c>
      <c r="Q240" s="32">
        <f t="shared" si="146"/>
        <v>9875.5287173717643</v>
      </c>
      <c r="R240" s="45">
        <f t="shared" si="151"/>
        <v>39915.313309078323</v>
      </c>
      <c r="S240" s="31">
        <f t="shared" si="135"/>
        <v>-4815.9410782898722</v>
      </c>
      <c r="T240" s="32">
        <f t="shared" si="147"/>
        <v>0</v>
      </c>
      <c r="U240" s="32">
        <f t="shared" si="136"/>
        <v>-14691.469795661636</v>
      </c>
      <c r="V240" s="32">
        <v>1</v>
      </c>
      <c r="W240" s="32">
        <f t="shared" si="137"/>
        <v>-5598.2537170876094</v>
      </c>
      <c r="X240" s="32">
        <f t="shared" si="166"/>
        <v>-2109.9229484250027</v>
      </c>
      <c r="Y240" s="102">
        <f t="shared" si="152"/>
        <v>-1158466.5625691612</v>
      </c>
      <c r="Z240" s="32">
        <f t="shared" si="153"/>
        <v>-1818605.9430092068</v>
      </c>
      <c r="AA240" s="45">
        <f t="shared" si="154"/>
        <v>-1818605.9430092068</v>
      </c>
      <c r="AB240" s="1"/>
      <c r="AC240" s="40">
        <f t="shared" si="139"/>
        <v>-4608.479236512997</v>
      </c>
      <c r="AD240" s="40">
        <f t="shared" si="148"/>
        <v>0</v>
      </c>
      <c r="AE240" s="40">
        <f t="shared" si="140"/>
        <v>-4608.479236512997</v>
      </c>
      <c r="AF240" s="40">
        <f t="shared" si="141"/>
        <v>1</v>
      </c>
      <c r="AG240" s="40">
        <f t="shared" si="142"/>
        <v>4484.736842061031</v>
      </c>
      <c r="AH240" s="40">
        <f t="shared" si="167"/>
        <v>1690.2501492258757</v>
      </c>
      <c r="AI240" s="106">
        <f t="shared" si="155"/>
        <v>-1193619.3654007385</v>
      </c>
      <c r="AJ240" s="40">
        <f t="shared" si="149"/>
        <v>560979.82894987217</v>
      </c>
      <c r="AK240" s="108">
        <f t="shared" si="150"/>
        <v>-966848.47225056507</v>
      </c>
    </row>
    <row r="241" spans="7:37">
      <c r="G241" s="1"/>
      <c r="I241">
        <v>9</v>
      </c>
      <c r="J241" s="26">
        <f t="shared" si="164"/>
        <v>6461.7126576052742</v>
      </c>
      <c r="K241" s="24">
        <f t="shared" si="165"/>
        <v>3348.8202177718385</v>
      </c>
      <c r="L241" s="24">
        <f t="shared" si="144"/>
        <v>6365.9512550018198</v>
      </c>
      <c r="M241" s="24">
        <f t="shared" si="131"/>
        <v>2728.2648235722081</v>
      </c>
      <c r="N241" s="48"/>
      <c r="O241" s="32">
        <f t="shared" si="134"/>
        <v>10082.99055914864</v>
      </c>
      <c r="P241" s="32">
        <f t="shared" si="145"/>
        <v>166.31380545449301</v>
      </c>
      <c r="Q241" s="32">
        <f t="shared" si="146"/>
        <v>9916.6767536941479</v>
      </c>
      <c r="R241" s="45">
        <f t="shared" si="151"/>
        <v>29998.636555384175</v>
      </c>
      <c r="S241" s="31">
        <f t="shared" si="135"/>
        <v>-6147.6374441950857</v>
      </c>
      <c r="T241" s="32">
        <f t="shared" si="147"/>
        <v>0</v>
      </c>
      <c r="U241" s="32">
        <f t="shared" si="136"/>
        <v>-16064.314197889233</v>
      </c>
      <c r="V241" s="32">
        <v>2</v>
      </c>
      <c r="W241" s="32">
        <f t="shared" si="137"/>
        <v>-6972.0981193152038</v>
      </c>
      <c r="X241" s="32">
        <f t="shared" si="166"/>
        <v>-2627.7104547285271</v>
      </c>
      <c r="Y241" s="102">
        <f t="shared" si="152"/>
        <v>-1161094.2730238896</v>
      </c>
      <c r="Z241" s="32">
        <f t="shared" si="153"/>
        <v>-1825578.041128522</v>
      </c>
      <c r="AA241" s="45">
        <f t="shared" si="154"/>
        <v>-1825578.041128522</v>
      </c>
      <c r="AB241" s="1"/>
      <c r="AC241" s="40">
        <f t="shared" si="139"/>
        <v>-5981.3236387405923</v>
      </c>
      <c r="AD241" s="40">
        <f t="shared" si="148"/>
        <v>0</v>
      </c>
      <c r="AE241" s="40">
        <f t="shared" si="140"/>
        <v>-5981.3236387405923</v>
      </c>
      <c r="AF241" s="40">
        <f t="shared" si="141"/>
        <v>2</v>
      </c>
      <c r="AG241" s="40">
        <f t="shared" si="142"/>
        <v>3110.8924398334357</v>
      </c>
      <c r="AH241" s="40">
        <f t="shared" si="167"/>
        <v>1172.4626429223506</v>
      </c>
      <c r="AI241" s="106">
        <f t="shared" si="155"/>
        <v>-1192446.9027578162</v>
      </c>
      <c r="AJ241" s="40">
        <f t="shared" si="149"/>
        <v>564090.72138970566</v>
      </c>
      <c r="AK241" s="108">
        <f t="shared" si="150"/>
        <v>-963737.57981073158</v>
      </c>
    </row>
    <row r="242" spans="7:37">
      <c r="G242" s="1"/>
      <c r="I242">
        <v>10</v>
      </c>
      <c r="J242" s="26">
        <f t="shared" si="164"/>
        <v>4700.7342358997212</v>
      </c>
      <c r="K242" s="24">
        <f t="shared" si="165"/>
        <v>3348.8202177718385</v>
      </c>
      <c r="L242" s="24">
        <f t="shared" si="144"/>
        <v>6365.9512550018198</v>
      </c>
      <c r="M242" s="24">
        <f t="shared" si="131"/>
        <v>2728.2648235722081</v>
      </c>
      <c r="N242" s="48"/>
      <c r="O242" s="32">
        <f t="shared" si="134"/>
        <v>10082.99055914864</v>
      </c>
      <c r="P242" s="32">
        <f t="shared" si="145"/>
        <v>124.99431898076739</v>
      </c>
      <c r="Q242" s="32">
        <f t="shared" si="146"/>
        <v>9957.9962401678731</v>
      </c>
      <c r="R242" s="45">
        <f t="shared" si="151"/>
        <v>20040.640315216304</v>
      </c>
      <c r="S242" s="31">
        <f t="shared" si="135"/>
        <v>-7867.2963794269126</v>
      </c>
      <c r="T242" s="32">
        <f t="shared" si="147"/>
        <v>0</v>
      </c>
      <c r="U242" s="32">
        <f t="shared" si="136"/>
        <v>-17825.292619594788</v>
      </c>
      <c r="V242" s="32">
        <v>3</v>
      </c>
      <c r="W242" s="32">
        <f t="shared" si="137"/>
        <v>-8734.0765410207605</v>
      </c>
      <c r="X242" s="32">
        <f t="shared" si="166"/>
        <v>-3291.7815909185201</v>
      </c>
      <c r="Y242" s="102">
        <f t="shared" si="152"/>
        <v>-1164386.0546148082</v>
      </c>
      <c r="Z242" s="32">
        <f t="shared" si="153"/>
        <v>-1834312.1176695428</v>
      </c>
      <c r="AA242" s="45">
        <f t="shared" si="154"/>
        <v>-1834312.1176695428</v>
      </c>
      <c r="AB242" s="1"/>
      <c r="AC242" s="40">
        <f t="shared" si="139"/>
        <v>-7742.3020604461453</v>
      </c>
      <c r="AD242" s="40">
        <f t="shared" si="148"/>
        <v>0</v>
      </c>
      <c r="AE242" s="40">
        <f t="shared" si="140"/>
        <v>-7742.3020604461453</v>
      </c>
      <c r="AF242" s="40">
        <f t="shared" si="141"/>
        <v>3</v>
      </c>
      <c r="AG242" s="40">
        <f t="shared" si="142"/>
        <v>1348.9140181278826</v>
      </c>
      <c r="AH242" s="40">
        <f t="shared" si="167"/>
        <v>508.39150673235906</v>
      </c>
      <c r="AI242" s="106">
        <f t="shared" si="155"/>
        <v>-1191938.5112510838</v>
      </c>
      <c r="AJ242" s="40">
        <f t="shared" si="149"/>
        <v>565439.6354078335</v>
      </c>
      <c r="AK242" s="108">
        <f t="shared" si="150"/>
        <v>-962388.66579260374</v>
      </c>
    </row>
    <row r="243" spans="7:37">
      <c r="G243" s="1"/>
      <c r="I243">
        <v>11</v>
      </c>
      <c r="J243" s="26">
        <f t="shared" si="164"/>
        <v>2465.3697903877742</v>
      </c>
      <c r="K243" s="24">
        <f t="shared" si="165"/>
        <v>3348.8202177718385</v>
      </c>
      <c r="L243" s="24">
        <f t="shared" si="144"/>
        <v>6365.9512550018198</v>
      </c>
      <c r="M243" s="24">
        <f t="shared" si="131"/>
        <v>2728.2648235722081</v>
      </c>
      <c r="N243" s="48"/>
      <c r="O243" s="32">
        <f t="shared" si="134"/>
        <v>10082.99055914864</v>
      </c>
      <c r="P243" s="32">
        <f t="shared" si="145"/>
        <v>83.502667980067926</v>
      </c>
      <c r="Q243" s="32">
        <f t="shared" si="146"/>
        <v>9999.4878911685719</v>
      </c>
      <c r="R243" s="45">
        <f t="shared" si="151"/>
        <v>10041.152424047732</v>
      </c>
      <c r="S243" s="31">
        <f t="shared" si="135"/>
        <v>-10061.16917393816</v>
      </c>
      <c r="T243" s="32">
        <f t="shared" si="147"/>
        <v>0</v>
      </c>
      <c r="U243" s="32">
        <f t="shared" si="136"/>
        <v>-20060.65706510673</v>
      </c>
      <c r="V243" s="32">
        <v>4</v>
      </c>
      <c r="W243" s="32">
        <f t="shared" si="137"/>
        <v>-10970.440986532703</v>
      </c>
      <c r="X243" s="32">
        <f t="shared" si="166"/>
        <v>-4134.6438303030809</v>
      </c>
      <c r="Y243" s="102">
        <f t="shared" si="152"/>
        <v>-1168520.6984451113</v>
      </c>
      <c r="Z243" s="32">
        <f t="shared" si="153"/>
        <v>-1845282.5586560755</v>
      </c>
      <c r="AA243" s="45">
        <f t="shared" si="154"/>
        <v>-1845282.5586560755</v>
      </c>
      <c r="AB243" s="1"/>
      <c r="AC243" s="40">
        <f t="shared" si="139"/>
        <v>-9977.6665059580919</v>
      </c>
      <c r="AD243" s="40">
        <f t="shared" si="148"/>
        <v>0</v>
      </c>
      <c r="AE243" s="40">
        <f t="shared" si="140"/>
        <v>-9977.6665059580919</v>
      </c>
      <c r="AF243" s="40">
        <f t="shared" si="141"/>
        <v>4</v>
      </c>
      <c r="AG243" s="40">
        <f t="shared" si="142"/>
        <v>-887.45042738406391</v>
      </c>
      <c r="AH243" s="40">
        <f t="shared" si="167"/>
        <v>-334.4707326522032</v>
      </c>
      <c r="AI243" s="106">
        <f t="shared" si="155"/>
        <v>-1192272.9819837359</v>
      </c>
      <c r="AJ243" s="40">
        <f t="shared" si="149"/>
        <v>564552.18498044938</v>
      </c>
      <c r="AK243" s="108">
        <f t="shared" si="150"/>
        <v>-963276.11621998786</v>
      </c>
    </row>
    <row r="244" spans="7:37" ht="15" thickBot="1">
      <c r="G244" s="1"/>
      <c r="I244">
        <v>12</v>
      </c>
      <c r="J244" s="27">
        <f t="shared" si="164"/>
        <v>1861.6057600887275</v>
      </c>
      <c r="K244" s="28">
        <f t="shared" si="165"/>
        <v>3348.8202177718385</v>
      </c>
      <c r="L244" s="24">
        <f t="shared" si="144"/>
        <v>6365.9512550018198</v>
      </c>
      <c r="M244" s="24">
        <f t="shared" si="131"/>
        <v>2728.2648235722081</v>
      </c>
      <c r="N244" s="48"/>
      <c r="O244" s="34">
        <f t="shared" si="134"/>
        <v>10082.99055914864</v>
      </c>
      <c r="P244" s="34">
        <f t="shared" si="145"/>
        <v>41.838135100198883</v>
      </c>
      <c r="Q244" s="34">
        <f t="shared" si="146"/>
        <v>10041.152424048441</v>
      </c>
      <c r="R244" s="46">
        <f t="shared" si="151"/>
        <v>-7.0940586738288403E-10</v>
      </c>
      <c r="S244" s="33">
        <f t="shared" si="135"/>
        <v>-10623.268671357338</v>
      </c>
      <c r="T244" s="32">
        <f t="shared" si="147"/>
        <v>0</v>
      </c>
      <c r="U244" s="34">
        <f t="shared" si="136"/>
        <v>-20664.421095405778</v>
      </c>
      <c r="V244" s="34">
        <v>5</v>
      </c>
      <c r="W244" s="34">
        <f t="shared" si="137"/>
        <v>-11575.205016831751</v>
      </c>
      <c r="X244" s="34">
        <f t="shared" si="166"/>
        <v>-4362.5730329426806</v>
      </c>
      <c r="Y244" s="104">
        <f t="shared" si="152"/>
        <v>-1172883.2714780539</v>
      </c>
      <c r="Z244" s="34">
        <f t="shared" si="153"/>
        <v>-1856857.7636729074</v>
      </c>
      <c r="AA244" s="46">
        <f t="shared" si="154"/>
        <v>-1856857.7636729074</v>
      </c>
      <c r="AB244" s="1"/>
      <c r="AC244" s="41">
        <f t="shared" si="139"/>
        <v>-10581.430536257139</v>
      </c>
      <c r="AD244" s="40">
        <f t="shared" si="148"/>
        <v>0</v>
      </c>
      <c r="AE244" s="41">
        <f t="shared" si="140"/>
        <v>-10581.430536257139</v>
      </c>
      <c r="AF244" s="41">
        <f t="shared" si="141"/>
        <v>5</v>
      </c>
      <c r="AG244" s="41">
        <f t="shared" si="142"/>
        <v>-1492.2144576831115</v>
      </c>
      <c r="AH244" s="41">
        <f t="shared" si="167"/>
        <v>-562.39993529180288</v>
      </c>
      <c r="AI244" s="109">
        <f t="shared" si="155"/>
        <v>-1192835.3819190278</v>
      </c>
      <c r="AJ244" s="41">
        <f t="shared" si="149"/>
        <v>563059.97052276623</v>
      </c>
      <c r="AK244" s="110">
        <f t="shared" si="150"/>
        <v>-964768.33067767101</v>
      </c>
    </row>
    <row r="245" spans="7:37">
      <c r="G245" s="1"/>
      <c r="J245" s="1">
        <f>SUM(J5:J244)</f>
        <v>1506266.5284732101</v>
      </c>
      <c r="L245" s="1"/>
      <c r="M245" s="1"/>
    </row>
    <row r="246" spans="7:37">
      <c r="J246" s="1"/>
      <c r="Z246" s="48">
        <f>Z244/(1+$C$18)^20</f>
        <v>-699830.16231939837</v>
      </c>
      <c r="AA246" s="48"/>
    </row>
    <row r="247" spans="7:37">
      <c r="J247" s="1"/>
    </row>
    <row r="248" spans="7:37">
      <c r="J248" s="1"/>
    </row>
    <row r="249" spans="7:37">
      <c r="J249" s="1"/>
    </row>
    <row r="250" spans="7:37">
      <c r="J250" s="1"/>
    </row>
    <row r="251" spans="7:37">
      <c r="J251" s="1"/>
    </row>
    <row r="252" spans="7:37">
      <c r="J252" s="1"/>
    </row>
  </sheetData>
  <mergeCells count="8">
    <mergeCell ref="AM3:AO3"/>
    <mergeCell ref="B64:E64"/>
    <mergeCell ref="B1:E1"/>
    <mergeCell ref="B2:E2"/>
    <mergeCell ref="B3:E3"/>
    <mergeCell ref="J3:M3"/>
    <mergeCell ref="O3:AA3"/>
    <mergeCell ref="AC3:AK3"/>
  </mergeCells>
  <conditionalFormatting sqref="C68">
    <cfRule type="cellIs" dxfId="15" priority="14" operator="greaterThanOrEqual">
      <formula>0</formula>
    </cfRule>
    <cfRule type="cellIs" dxfId="14" priority="16" operator="lessThan">
      <formula>0</formula>
    </cfRule>
  </conditionalFormatting>
  <conditionalFormatting sqref="D68">
    <cfRule type="cellIs" dxfId="13" priority="13" operator="greaterThanOrEqual">
      <formula>0</formula>
    </cfRule>
    <cfRule type="cellIs" dxfId="12" priority="15" operator="lessThan">
      <formula>0</formula>
    </cfRule>
  </conditionalFormatting>
  <conditionalFormatting sqref="C67">
    <cfRule type="cellIs" dxfId="11" priority="11" operator="greaterThanOrEqual">
      <formula>$C$18</formula>
    </cfRule>
    <cfRule type="cellIs" dxfId="10" priority="12" operator="lessThan">
      <formula>$C$18</formula>
    </cfRule>
  </conditionalFormatting>
  <conditionalFormatting sqref="E69">
    <cfRule type="cellIs" dxfId="9" priority="7" operator="lessThan">
      <formula>1</formula>
    </cfRule>
    <cfRule type="cellIs" dxfId="8" priority="8" operator="greaterThanOrEqual">
      <formula>1</formula>
    </cfRule>
  </conditionalFormatting>
  <conditionalFormatting sqref="E68">
    <cfRule type="cellIs" dxfId="7" priority="5" operator="greaterThanOrEqual">
      <formula>0</formula>
    </cfRule>
    <cfRule type="cellIs" dxfId="6" priority="6" operator="lessThan">
      <formula>0</formula>
    </cfRule>
  </conditionalFormatting>
  <conditionalFormatting sqref="E66:E72">
    <cfRule type="expression" dxfId="5" priority="4">
      <formula>$C$11=100%</formula>
    </cfRule>
  </conditionalFormatting>
  <conditionalFormatting sqref="D66:D72">
    <cfRule type="expression" dxfId="4" priority="3">
      <formula>$C$11&lt;100%</formula>
    </cfRule>
  </conditionalFormatting>
  <conditionalFormatting sqref="C70 E70">
    <cfRule type="cellIs" dxfId="3" priority="9" operator="greaterThan">
      <formula>20</formula>
    </cfRule>
    <cfRule type="cellIs" dxfId="2" priority="10" operator="lessThanOrEqual">
      <formula>20</formula>
    </cfRule>
  </conditionalFormatting>
  <conditionalFormatting sqref="C69">
    <cfRule type="cellIs" dxfId="1" priority="1" operator="lessThan">
      <formula>1</formula>
    </cfRule>
    <cfRule type="cellIs" dxfId="0" priority="2" operator="greaterThanOrEqual">
      <formula>1</formula>
    </cfRule>
  </conditionalFormatting>
  <pageMargins left="0.7" right="0.7" top="0.78740157499999996" bottom="0.78740157499999996" header="0.3" footer="0.3"/>
  <pageSetup paperSize="9" orientation="portrait" horizontalDpi="1200" verticalDpi="120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H3" sqref="H3"/>
    </sheetView>
  </sheetViews>
  <sheetFormatPr baseColWidth="10" defaultRowHeight="14" x14ac:dyDescent="0"/>
  <sheetData>
    <row r="1" spans="1:5">
      <c r="A1" s="174" t="s">
        <v>59</v>
      </c>
      <c r="B1" s="165" t="s">
        <v>51</v>
      </c>
      <c r="C1" s="161"/>
      <c r="D1" s="162" t="s">
        <v>58</v>
      </c>
      <c r="E1" s="161"/>
    </row>
    <row r="2" spans="1:5" ht="15" thickBot="1">
      <c r="A2" s="175"/>
      <c r="B2" s="166">
        <v>2010</v>
      </c>
      <c r="C2" s="167">
        <v>2020</v>
      </c>
      <c r="D2" s="168">
        <v>2010</v>
      </c>
      <c r="E2" s="167">
        <v>2020</v>
      </c>
    </row>
    <row r="3" spans="1:5">
      <c r="A3" s="171" t="s">
        <v>52</v>
      </c>
      <c r="B3" s="8">
        <v>79</v>
      </c>
      <c r="C3" s="169">
        <v>46.2</v>
      </c>
      <c r="D3" s="170">
        <v>17.100000000000001</v>
      </c>
      <c r="E3" s="169">
        <v>9.1999999999999993</v>
      </c>
    </row>
    <row r="4" spans="1:5">
      <c r="A4" s="172" t="s">
        <v>53</v>
      </c>
      <c r="B4" s="9">
        <v>0.2</v>
      </c>
      <c r="C4" s="95">
        <v>0.3</v>
      </c>
      <c r="D4" s="163">
        <v>0</v>
      </c>
      <c r="E4" s="95">
        <v>0.8</v>
      </c>
    </row>
    <row r="5" spans="1:5">
      <c r="A5" s="172" t="s">
        <v>54</v>
      </c>
      <c r="B5" s="9">
        <v>0.7</v>
      </c>
      <c r="C5" s="95">
        <v>4.4000000000000004</v>
      </c>
      <c r="D5" s="163">
        <v>9</v>
      </c>
      <c r="E5" s="95">
        <v>19.100000000000001</v>
      </c>
    </row>
    <row r="6" spans="1:5">
      <c r="A6" s="172" t="s">
        <v>55</v>
      </c>
      <c r="B6" s="9">
        <v>0.6</v>
      </c>
      <c r="C6" s="95">
        <v>0.7</v>
      </c>
      <c r="D6" s="163">
        <v>0</v>
      </c>
      <c r="E6" s="95">
        <v>0</v>
      </c>
    </row>
    <row r="7" spans="1:5">
      <c r="A7" s="172" t="s">
        <v>56</v>
      </c>
      <c r="B7" s="9">
        <v>13.3</v>
      </c>
      <c r="C7" s="95">
        <v>37.299999999999997</v>
      </c>
      <c r="D7" s="163">
        <v>42.7</v>
      </c>
      <c r="E7" s="95">
        <v>48.1</v>
      </c>
    </row>
    <row r="8" spans="1:5" ht="15" thickBot="1">
      <c r="A8" s="173" t="s">
        <v>57</v>
      </c>
      <c r="B8" s="10">
        <v>6.2</v>
      </c>
      <c r="C8" s="112">
        <v>11.1</v>
      </c>
      <c r="D8" s="164">
        <v>31.2</v>
      </c>
      <c r="E8" s="112">
        <v>22.8</v>
      </c>
    </row>
  </sheetData>
  <mergeCells count="3">
    <mergeCell ref="B1:C1"/>
    <mergeCell ref="D1:E1"/>
    <mergeCell ref="A1:A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France</vt:lpstr>
      <vt:lpstr>Germany</vt:lpstr>
      <vt:lpstr>Country Energy Mixes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Model of a 1MWp PVPP in France and Germany</dc:title>
  <dc:subject>Diploma Thesis Appendix</dc:subject>
  <dc:creator>Ondrej Prusa</dc:creator>
  <cp:keywords/>
  <dc:description/>
  <cp:lastModifiedBy>O. P.</cp:lastModifiedBy>
  <dcterms:created xsi:type="dcterms:W3CDTF">2013-10-30T16:57:06Z</dcterms:created>
  <dcterms:modified xsi:type="dcterms:W3CDTF">2015-03-30T23:45:17Z</dcterms:modified>
  <cp:category/>
</cp:coreProperties>
</file>