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G:\Мой диск\Studies\Thesis\FINAL NEW\"/>
    </mc:Choice>
  </mc:AlternateContent>
  <xr:revisionPtr revIDLastSave="0" documentId="8_{6B0567E9-9BF7-4463-865A-5BCE4C33DEF7}" xr6:coauthVersionLast="37" xr6:coauthVersionMax="37" xr10:uidLastSave="{00000000-0000-0000-0000-000000000000}"/>
  <bookViews>
    <workbookView xWindow="0" yWindow="0" windowWidth="17256" windowHeight="5640" firstSheet="7" activeTab="14" xr2:uid="{00000000-000D-0000-FFFF-FFFF00000000}"/>
  </bookViews>
  <sheets>
    <sheet name="Competitors" sheetId="1" r:id="rId1"/>
    <sheet name="HoppyGo" sheetId="2" r:id="rId2"/>
    <sheet name="SmileCar (HoppyGo)" sheetId="3" r:id="rId3"/>
    <sheet name="Cars. Officail Dealer" sheetId="4" r:id="rId4"/>
    <sheet name="Cars. Carisimo" sheetId="15" r:id="rId5"/>
    <sheet name="Insurance" sheetId="5" r:id="rId6"/>
    <sheet name="Leasing|Credit" sheetId="6" r:id="rId7"/>
    <sheet name="Loads" sheetId="7" r:id="rId8"/>
    <sheet name="Initial investments" sheetId="16" r:id="rId9"/>
    <sheet name="Wages" sheetId="17" r:id="rId10"/>
    <sheet name="Depreciation" sheetId="18" r:id="rId11"/>
    <sheet name="Income Statement" sheetId="19" r:id="rId12"/>
    <sheet name="NPV and IRR" sheetId="20" r:id="rId13"/>
    <sheet name="ROI" sheetId="21" r:id="rId14"/>
    <sheet name="WACC" sheetId="22" r:id="rId15"/>
  </sheets>
  <definedNames>
    <definedName name="_xlnm._FilterDatabase" localSheetId="3" hidden="1">'Cars. Officail Dealer'!$A$2:$I$27</definedName>
  </definedNames>
  <calcPr calcId="179021"/>
  <extLst>
    <ext uri="GoogleSheetsCustomDataVersion1">
      <go:sheetsCustomData xmlns:go="http://customooxmlschemas.google.com/" r:id="rId18" roundtripDataSignature="AMtx7mjebY6n9BEYsgS5yw1FC+LQEBio+A=="/>
    </ext>
  </extLst>
</workbook>
</file>

<file path=xl/calcChain.xml><?xml version="1.0" encoding="utf-8"?>
<calcChain xmlns="http://schemas.openxmlformats.org/spreadsheetml/2006/main">
  <c r="G13" i="22" l="1"/>
  <c r="G14" i="22"/>
  <c r="B14" i="22"/>
  <c r="B13" i="22"/>
  <c r="D10" i="22"/>
  <c r="C10" i="22"/>
  <c r="D7" i="22"/>
  <c r="E3" i="21"/>
  <c r="E2" i="21"/>
  <c r="D3" i="21"/>
  <c r="D2" i="21"/>
  <c r="G11" i="20"/>
  <c r="G10" i="20"/>
  <c r="G4" i="20"/>
  <c r="G5" i="20"/>
  <c r="B20" i="19"/>
  <c r="B22" i="19" s="1"/>
  <c r="C19" i="19"/>
  <c r="D19" i="19" s="1"/>
  <c r="C5" i="19"/>
  <c r="D5" i="19" s="1"/>
  <c r="B6" i="19"/>
  <c r="B11" i="19" s="1"/>
  <c r="B12" i="19" s="1"/>
  <c r="C3" i="19" s="1"/>
  <c r="K11" i="18"/>
  <c r="M11" i="18" s="1"/>
  <c r="I12" i="18" s="1"/>
  <c r="K3" i="18"/>
  <c r="M3" i="18" s="1"/>
  <c r="I4" i="18" s="1"/>
  <c r="K4" i="18" s="1"/>
  <c r="D12" i="18"/>
  <c r="D13" i="18"/>
  <c r="D14" i="18"/>
  <c r="D15" i="18"/>
  <c r="D11" i="18"/>
  <c r="E11" i="18" s="1"/>
  <c r="D3" i="18"/>
  <c r="E3" i="18" s="1"/>
  <c r="E4" i="18" s="1"/>
  <c r="E5" i="18" s="1"/>
  <c r="E6" i="18" s="1"/>
  <c r="E7" i="18" s="1"/>
  <c r="F3" i="18"/>
  <c r="B4" i="18" s="1"/>
  <c r="F4" i="18" s="1"/>
  <c r="B5" i="18" s="1"/>
  <c r="F5" i="18" s="1"/>
  <c r="B6" i="18" s="1"/>
  <c r="F6" i="18" s="1"/>
  <c r="B7" i="18" s="1"/>
  <c r="F7" i="18" s="1"/>
  <c r="D4" i="18"/>
  <c r="D5" i="18"/>
  <c r="D6" i="18"/>
  <c r="D7" i="18"/>
  <c r="B5" i="17"/>
  <c r="B13" i="16"/>
  <c r="N6" i="7"/>
  <c r="N7" i="7"/>
  <c r="N8" i="7"/>
  <c r="N9" i="7"/>
  <c r="N10" i="7"/>
  <c r="N11" i="7"/>
  <c r="N12" i="7"/>
  <c r="N13" i="7"/>
  <c r="N14" i="7"/>
  <c r="N15" i="7"/>
  <c r="N16" i="7"/>
  <c r="N5" i="7"/>
  <c r="M6" i="7"/>
  <c r="M7" i="7"/>
  <c r="M8" i="7"/>
  <c r="M9" i="7"/>
  <c r="M10" i="7"/>
  <c r="M11" i="7"/>
  <c r="M12" i="7"/>
  <c r="M13" i="7"/>
  <c r="M14" i="7"/>
  <c r="M15" i="7"/>
  <c r="M16" i="7"/>
  <c r="M5" i="7"/>
  <c r="J5" i="7"/>
  <c r="J6" i="7"/>
  <c r="O4" i="2"/>
  <c r="G2" i="2"/>
  <c r="H4" i="2" s="1"/>
  <c r="H26" i="2"/>
  <c r="H17" i="7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K6" i="7"/>
  <c r="K5" i="7"/>
  <c r="D30" i="2"/>
  <c r="D29" i="2"/>
  <c r="H28" i="2"/>
  <c r="D28" i="2"/>
  <c r="H27" i="2"/>
  <c r="D27" i="2"/>
  <c r="D23" i="2"/>
  <c r="D22" i="2"/>
  <c r="D21" i="2"/>
  <c r="D20" i="2"/>
  <c r="D16" i="2"/>
  <c r="D15" i="2"/>
  <c r="D14" i="2"/>
  <c r="D13" i="2"/>
  <c r="D12" i="2"/>
  <c r="D11" i="2"/>
  <c r="O6" i="2"/>
  <c r="D7" i="2"/>
  <c r="O5" i="2"/>
  <c r="D6" i="2"/>
  <c r="D5" i="2"/>
  <c r="C22" i="1"/>
  <c r="C19" i="1"/>
  <c r="C12" i="1"/>
  <c r="G10" i="1"/>
  <c r="G5" i="1"/>
  <c r="G4" i="1"/>
  <c r="B23" i="19" l="1"/>
  <c r="B24" i="19" s="1"/>
  <c r="D20" i="19"/>
  <c r="E19" i="19"/>
  <c r="C20" i="19"/>
  <c r="B25" i="19"/>
  <c r="B26" i="19" s="1"/>
  <c r="C17" i="19" s="1"/>
  <c r="D6" i="19"/>
  <c r="D11" i="19" s="1"/>
  <c r="E5" i="19"/>
  <c r="F5" i="19" s="1"/>
  <c r="F6" i="19" s="1"/>
  <c r="F11" i="19" s="1"/>
  <c r="B8" i="19"/>
  <c r="C6" i="19"/>
  <c r="K12" i="18"/>
  <c r="M12" i="18" s="1"/>
  <c r="I13" i="18" s="1"/>
  <c r="L11" i="18"/>
  <c r="L12" i="18" s="1"/>
  <c r="M4" i="18"/>
  <c r="I5" i="18" s="1"/>
  <c r="L3" i="18"/>
  <c r="L4" i="18" s="1"/>
  <c r="E12" i="18"/>
  <c r="E13" i="18" s="1"/>
  <c r="E14" i="18" s="1"/>
  <c r="E15" i="18" s="1"/>
  <c r="F11" i="18"/>
  <c r="B12" i="18" s="1"/>
  <c r="F12" i="18" s="1"/>
  <c r="B13" i="18" s="1"/>
  <c r="F13" i="18" s="1"/>
  <c r="B14" i="18" s="1"/>
  <c r="F14" i="18" s="1"/>
  <c r="B15" i="18" s="1"/>
  <c r="F15" i="18" s="1"/>
  <c r="K17" i="7"/>
  <c r="M17" i="7"/>
  <c r="H12" i="2"/>
  <c r="N17" i="7"/>
  <c r="J17" i="7"/>
  <c r="H13" i="2"/>
  <c r="H14" i="2"/>
  <c r="H10" i="2"/>
  <c r="H9" i="2"/>
  <c r="H5" i="2"/>
  <c r="H15" i="2"/>
  <c r="H11" i="2"/>
  <c r="H7" i="2"/>
  <c r="H8" i="2"/>
  <c r="H6" i="2"/>
  <c r="H16" i="2"/>
  <c r="C25" i="19" l="1"/>
  <c r="C26" i="19" s="1"/>
  <c r="D17" i="19" s="1"/>
  <c r="C22" i="19"/>
  <c r="E20" i="19"/>
  <c r="F20" i="19"/>
  <c r="D22" i="19"/>
  <c r="D25" i="19"/>
  <c r="D12" i="19"/>
  <c r="E3" i="19" s="1"/>
  <c r="E6" i="19"/>
  <c r="F8" i="19"/>
  <c r="F9" i="19" s="1"/>
  <c r="F10" i="19" s="1"/>
  <c r="D8" i="19"/>
  <c r="D9" i="19" s="1"/>
  <c r="D10" i="19" s="1"/>
  <c r="C11" i="19"/>
  <c r="C12" i="19" s="1"/>
  <c r="D3" i="19" s="1"/>
  <c r="C8" i="19"/>
  <c r="B9" i="19"/>
  <c r="B10" i="19" s="1"/>
  <c r="L5" i="18"/>
  <c r="M5" i="18"/>
  <c r="I6" i="18" s="1"/>
  <c r="K6" i="18" s="1"/>
  <c r="L6" i="18" s="1"/>
  <c r="K5" i="18"/>
  <c r="K13" i="18"/>
  <c r="M13" i="18" s="1"/>
  <c r="I14" i="18" s="1"/>
  <c r="D23" i="19" l="1"/>
  <c r="D24" i="19" s="1"/>
  <c r="D26" i="19"/>
  <c r="E17" i="19" s="1"/>
  <c r="F22" i="19"/>
  <c r="F25" i="19"/>
  <c r="E22" i="19"/>
  <c r="E25" i="19"/>
  <c r="C23" i="19"/>
  <c r="C24" i="19" s="1"/>
  <c r="E12" i="19"/>
  <c r="F3" i="19" s="1"/>
  <c r="F12" i="19" s="1"/>
  <c r="C10" i="19"/>
  <c r="C9" i="19"/>
  <c r="E8" i="19"/>
  <c r="E9" i="19" s="1"/>
  <c r="E10" i="19" s="1"/>
  <c r="E11" i="19"/>
  <c r="L13" i="18"/>
  <c r="K14" i="18"/>
  <c r="M14" i="18" s="1"/>
  <c r="I15" i="18" s="1"/>
  <c r="M6" i="18"/>
  <c r="I7" i="18" s="1"/>
  <c r="E23" i="19" l="1"/>
  <c r="E24" i="19" s="1"/>
  <c r="E26" i="19"/>
  <c r="F17" i="19" s="1"/>
  <c r="F26" i="19" s="1"/>
  <c r="F23" i="19"/>
  <c r="F24" i="19" s="1"/>
  <c r="L14" i="18"/>
  <c r="K15" i="18"/>
  <c r="M15" i="18" s="1"/>
  <c r="K7" i="18"/>
  <c r="L7" i="18" s="1"/>
  <c r="M7" i="18" l="1"/>
  <c r="L15" i="18"/>
</calcChain>
</file>

<file path=xl/sharedStrings.xml><?xml version="1.0" encoding="utf-8"?>
<sst xmlns="http://schemas.openxmlformats.org/spreadsheetml/2006/main" count="888" uniqueCount="471">
  <si>
    <t>Name</t>
  </si>
  <si>
    <t>Type</t>
  </si>
  <si>
    <t>Min Price</t>
  </si>
  <si>
    <t>Cars</t>
  </si>
  <si>
    <t>Int.</t>
  </si>
  <si>
    <t>Electro</t>
  </si>
  <si>
    <t>Deposit</t>
  </si>
  <si>
    <t>Deposit helds</t>
  </si>
  <si>
    <t>Rentalcars</t>
  </si>
  <si>
    <t>service</t>
  </si>
  <si>
    <t>yes</t>
  </si>
  <si>
    <t>AVIS</t>
  </si>
  <si>
    <t>rent</t>
  </si>
  <si>
    <t>15 types</t>
  </si>
  <si>
    <t>2560 +</t>
  </si>
  <si>
    <t>https://www.avis.cz</t>
  </si>
  <si>
    <t>Budget</t>
  </si>
  <si>
    <t>Rent Plus</t>
  </si>
  <si>
    <t>Alamo</t>
  </si>
  <si>
    <t>Enterprise</t>
  </si>
  <si>
    <t>Hertz</t>
  </si>
  <si>
    <t>5120 +</t>
  </si>
  <si>
    <t>Sixt</t>
  </si>
  <si>
    <t>Europcar</t>
  </si>
  <si>
    <t>vozidloprotebe</t>
  </si>
  <si>
    <t>no</t>
  </si>
  <si>
    <t>https://www.vozidloprotebe.cz</t>
  </si>
  <si>
    <t>easyrent</t>
  </si>
  <si>
    <t>3000 +</t>
  </si>
  <si>
    <t>https://easyrent.cz</t>
  </si>
  <si>
    <t>Divis</t>
  </si>
  <si>
    <t>http://www.autopujcovna-divis.cz</t>
  </si>
  <si>
    <t>car4way</t>
  </si>
  <si>
    <t>rent/carsharing</t>
  </si>
  <si>
    <t>500-700</t>
  </si>
  <si>
    <t>1000/2000</t>
  </si>
  <si>
    <t>https://www.car4way.cz</t>
  </si>
  <si>
    <t>autonapul</t>
  </si>
  <si>
    <t>carsharing</t>
  </si>
  <si>
    <t>73+</t>
  </si>
  <si>
    <t>https://www.autonapul.cz</t>
  </si>
  <si>
    <t>ajo</t>
  </si>
  <si>
    <t>288/552</t>
  </si>
  <si>
    <t>3900/2500</t>
  </si>
  <si>
    <t>https://www.ajo.cz/</t>
  </si>
  <si>
    <t>vecar</t>
  </si>
  <si>
    <t>https://vecar.cz</t>
  </si>
  <si>
    <t>trend</t>
  </si>
  <si>
    <t>http://autopujcovnatrend.cz</t>
  </si>
  <si>
    <t>popojedu</t>
  </si>
  <si>
    <t>https://www.popojedu.cz</t>
  </si>
  <si>
    <t>emuj</t>
  </si>
  <si>
    <t>продано в 2017</t>
  </si>
  <si>
    <t>http://www.hybrid.cz/carsharing-emuj-ukoncuje-cinnost-rozprodava-elektromobily</t>
  </si>
  <si>
    <t>primapujcovna</t>
  </si>
  <si>
    <t>https://www.primapujcovna.cz/</t>
  </si>
  <si>
    <t>autokrejcarek</t>
  </si>
  <si>
    <t>https://autokrejcarek.cz/</t>
  </si>
  <si>
    <t>s-car</t>
  </si>
  <si>
    <t>http://www.s-car.cz/</t>
  </si>
  <si>
    <t>barth-rent</t>
  </si>
  <si>
    <t>https://www.barth-rent.cz</t>
  </si>
  <si>
    <t>autonemam</t>
  </si>
  <si>
    <t>https://www.autonemam.cz</t>
  </si>
  <si>
    <t>taggart</t>
  </si>
  <si>
    <t>10000+</t>
  </si>
  <si>
    <t>https://www.taggart.cz</t>
  </si>
  <si>
    <t>arservis</t>
  </si>
  <si>
    <t>https://www.arservis.cz/autopujcovna/</t>
  </si>
  <si>
    <t>cng</t>
  </si>
  <si>
    <t>http://cng.ppas.cz/cng-autopujcovna</t>
  </si>
  <si>
    <t>drive-services</t>
  </si>
  <si>
    <t>https://www.drive-services.cz/</t>
  </si>
  <si>
    <t>autokrnepo</t>
  </si>
  <si>
    <t>https://autokrnepo.cz</t>
  </si>
  <si>
    <t>automoc</t>
  </si>
  <si>
    <t>https://automoc.eu</t>
  </si>
  <si>
    <t>Anytime</t>
  </si>
  <si>
    <t>100 (500 in the end of 2019)</t>
  </si>
  <si>
    <t>https://anytimecar.cz/</t>
  </si>
  <si>
    <t>https://www.ceskatelevize.cz/porady/1097429889-cerne-ovce/219452801080121/0/63578-autopujcovna/</t>
  </si>
  <si>
    <t xml:space="preserve">HoppyGo </t>
  </si>
  <si>
    <t>https://tyinternety.cz/startupy/infografika-carsharing-hoppygo-loni-vyrostl-na-ctyrnasobek/</t>
  </si>
  <si>
    <t>Total</t>
  </si>
  <si>
    <t>42000 clients</t>
  </si>
  <si>
    <t>Praha</t>
  </si>
  <si>
    <t>1500 cars</t>
  </si>
  <si>
    <t>km/day per auto</t>
  </si>
  <si>
    <t>Brno</t>
  </si>
  <si>
    <t>160 kn/day</t>
  </si>
  <si>
    <t>CE</t>
  </si>
  <si>
    <t>Ostrava</t>
  </si>
  <si>
    <t xml:space="preserve"> 10 000 000 CZK totally paid</t>
  </si>
  <si>
    <t>average payment for car per year</t>
  </si>
  <si>
    <t>České Budějovice</t>
  </si>
  <si>
    <t>68 years of rent</t>
  </si>
  <si>
    <t>average days of rent for 1 car</t>
  </si>
  <si>
    <t>Hradec Králové</t>
  </si>
  <si>
    <t>Jihlava</t>
  </si>
  <si>
    <t>Brands:</t>
  </si>
  <si>
    <t>Karlovy Vary</t>
  </si>
  <si>
    <t>Most popular cars</t>
  </si>
  <si>
    <t>Skoda</t>
  </si>
  <si>
    <t>Liberec</t>
  </si>
  <si>
    <t>Skoda Octavia</t>
  </si>
  <si>
    <t>VW</t>
  </si>
  <si>
    <t>Olomouc</t>
  </si>
  <si>
    <t>Skoda Fabia</t>
  </si>
  <si>
    <t>BMW</t>
  </si>
  <si>
    <t>Pardubice</t>
  </si>
  <si>
    <t>VW Transporter</t>
  </si>
  <si>
    <t>Toyota</t>
  </si>
  <si>
    <t>Plzeň</t>
  </si>
  <si>
    <t>Ford</t>
  </si>
  <si>
    <t>Ústí nad Labem</t>
  </si>
  <si>
    <t>Audi</t>
  </si>
  <si>
    <t>Zlín</t>
  </si>
  <si>
    <t>Price per day:</t>
  </si>
  <si>
    <t>Up to 700</t>
  </si>
  <si>
    <t>700 - 1200</t>
  </si>
  <si>
    <t>1200 - 1700</t>
  </si>
  <si>
    <t>1700 +</t>
  </si>
  <si>
    <t>Type:</t>
  </si>
  <si>
    <t>Van</t>
  </si>
  <si>
    <t>Light cars</t>
  </si>
  <si>
    <t>Minvans</t>
  </si>
  <si>
    <t>Jeeps</t>
  </si>
  <si>
    <t>https://tyinternety.cz/startupy/infografika-tom-carsharing-ceske-republice/</t>
  </si>
  <si>
    <t>https://finlord.cz/2017/04/fundlift-smilecar-lide-veri-leo-expressu/</t>
  </si>
  <si>
    <t>Age:</t>
  </si>
  <si>
    <t>Sex:</t>
  </si>
  <si>
    <t>18-24</t>
  </si>
  <si>
    <t>Woman</t>
  </si>
  <si>
    <t>25-34</t>
  </si>
  <si>
    <t>Men</t>
  </si>
  <si>
    <t>35-44</t>
  </si>
  <si>
    <t>45-54</t>
  </si>
  <si>
    <t>55-64</t>
  </si>
  <si>
    <t>official dealer</t>
  </si>
  <si>
    <t>Auto</t>
  </si>
  <si>
    <t>min Price</t>
  </si>
  <si>
    <t>km</t>
  </si>
  <si>
    <t>L/100km</t>
  </si>
  <si>
    <t>Fast charge</t>
  </si>
  <si>
    <t>Normal charge</t>
  </si>
  <si>
    <t>Warranty years|km</t>
  </si>
  <si>
    <t>TOYOTA Yaris</t>
  </si>
  <si>
    <t xml:space="preserve">Hybrid </t>
  </si>
  <si>
    <t xml:space="preserve">5|160k </t>
  </si>
  <si>
    <t>https://www.renault.cz/vozy/nove-vozy/zoe.html</t>
  </si>
  <si>
    <t>TOYOTA Corola HATCHBACK</t>
  </si>
  <si>
    <t>https://www.renault.cz/vozy/nove-vozy/kangoo-ze.html</t>
  </si>
  <si>
    <t>TOYOTA Corola SEDAN</t>
  </si>
  <si>
    <t>https://www.nissan.cz/vozidla/nova-vozidla/leaf.html</t>
  </si>
  <si>
    <t>TOYOTA CH-R</t>
  </si>
  <si>
    <t>Kia Niro</t>
  </si>
  <si>
    <t>7|150k or 3|~</t>
  </si>
  <si>
    <t>https://www.nissan.cz/vozidla/nova-vozidla/e-nv200-combi.html</t>
  </si>
  <si>
    <t>Renault KANGOO Z.E.</t>
  </si>
  <si>
    <t>electro</t>
  </si>
  <si>
    <t>Hyundai IONIQ Plug-in Hybrid</t>
  </si>
  <si>
    <t>2h15min</t>
  </si>
  <si>
    <t>8|200k or 5|~</t>
  </si>
  <si>
    <t>https://www.honda.cz/content/dam/local/czech-republic/cars/katalogy-ceniky/CZ%20cen%c3%adk%20CR-V%20MR19%2020190507.pdf</t>
  </si>
  <si>
    <t>HONDA CR-V 2.0 i-MMD Hybrid</t>
  </si>
  <si>
    <t>https://www.hyundai.cz/modely/kona-electric</t>
  </si>
  <si>
    <t>Hyundai IONIQ Electric</t>
  </si>
  <si>
    <t>30min</t>
  </si>
  <si>
    <t>https://domansky.hyundai.cz/modely/ioniq-hybrid</t>
  </si>
  <si>
    <t>Renault ZOE</t>
  </si>
  <si>
    <t>200-300</t>
  </si>
  <si>
    <t>https://domansky.hyundai.cz/modely/ioniq-electric</t>
  </si>
  <si>
    <t>TOYOTA RAV4</t>
  </si>
  <si>
    <t>https://domansky.hyundai.cz/modely/ioniq-plug-in-hybrid</t>
  </si>
  <si>
    <t>VW Golf GTE</t>
  </si>
  <si>
    <t>https://www.volvocars.com/cz/vozy/modely/s90-hybrid</t>
  </si>
  <si>
    <t>Hyundai Kona Electric</t>
  </si>
  <si>
    <t>54min</t>
  </si>
  <si>
    <t>9h35min</t>
  </si>
  <si>
    <t>https://www.kia.com/cz/modely/soul-ev/objevte/</t>
  </si>
  <si>
    <t>TOYOTA Camry</t>
  </si>
  <si>
    <t>https://www.kia.com/cz/modely/niro/objevte/</t>
  </si>
  <si>
    <t>NISSAN LEAF</t>
  </si>
  <si>
    <t>https://www.toyota-domansky.cz/cs/imported-article/yaris</t>
  </si>
  <si>
    <t>FORD MONDEO HYBRID</t>
  </si>
  <si>
    <t>https://pdf.sites.toyota.cz/cenik_chr.pdf</t>
  </si>
  <si>
    <t>TOYOTA Prius Plug-In</t>
  </si>
  <si>
    <t>https://pdf.sites.toyota.cz/cenik_camry.pdf</t>
  </si>
  <si>
    <t>VW e-Golf</t>
  </si>
  <si>
    <t>1h</t>
  </si>
  <si>
    <t>https://pdf.sites.toyota.cz/cenik_corolla_sedan.pdf</t>
  </si>
  <si>
    <t>NISSAN e-NV200</t>
  </si>
  <si>
    <t>https://pdf.sites.toyota.cz/cenik_corolla_hatchback.pdf</t>
  </si>
  <si>
    <t>NISSAN E-NV200 EVALIA</t>
  </si>
  <si>
    <t>https://pdf.sites.toyota.cz/cenik_rav4.pdf</t>
  </si>
  <si>
    <t>NISSAN LEAF Е+</t>
  </si>
  <si>
    <t>https://pdf.sites.toyota.cz/cenik_prius_plug_in.pdf</t>
  </si>
  <si>
    <t>Volvo S90 Hybrid</t>
  </si>
  <si>
    <t>https://www.ford.cz/content/dam/guxeu/cz/cs_cz/documents/pricelists/cars/PL-ford_mondeo_2019.pdf</t>
  </si>
  <si>
    <t>Kia Soul EV</t>
  </si>
  <si>
    <t>869 980</t>
  </si>
  <si>
    <t>40min</t>
  </si>
  <si>
    <t>7|150k</t>
  </si>
  <si>
    <t>http://www.hybrid.cz/skoda-auto-predstavuje-elektromobil-citigo-iv-dojezd-265-km-wltp</t>
  </si>
  <si>
    <t>Hyundai IONIQ Hybrid</t>
  </si>
  <si>
    <t>https://www.volkswagen.cz/e-golf</t>
  </si>
  <si>
    <t>Škoda Citigo-e iV 2020</t>
  </si>
  <si>
    <t>https://www.volkswagen.cz/golf-gte</t>
  </si>
  <si>
    <t>Carismo</t>
  </si>
  <si>
    <t>https://www.carismo.cz</t>
  </si>
  <si>
    <t>Suzuki Swift from 9/2019</t>
  </si>
  <si>
    <t>https://www.carismo.cz/nabidky/prodej/suzuki/swift/elegance-1-2-dualjet-svhs/16947</t>
  </si>
  <si>
    <t>Toyota Yaris</t>
  </si>
  <si>
    <t>https://www.carismo.cz/nabidky/prodej/toyota/yaris/live-1-5-vvt-i-hybrid-e-cvt/17121</t>
  </si>
  <si>
    <t>Suzuki Baleno</t>
  </si>
  <si>
    <t>https://www.carismo.cz/nabidky/prodej/suzuki/baleno/elegance-1-2-dualjet-shvs/16940</t>
  </si>
  <si>
    <t>Toyota Auris</t>
  </si>
  <si>
    <t>https://www.carismo.cz/nabidky/prodej/toyota/auris/active-trend-1-8-hybrid/16998</t>
  </si>
  <si>
    <t>Mazda 3 hatchback</t>
  </si>
  <si>
    <t>https://www.carismo.cz/nabidky/prodej/mazda/3/seriove-provedeni-2-0-sky-g-90-kw/29402</t>
  </si>
  <si>
    <t>Mazda 3 sedan</t>
  </si>
  <si>
    <t>https://www.carismo.cz/nabidky/prodej/mazda/3/seriove-provedeni-2-0-skyactiv-g-90-kw/29412</t>
  </si>
  <si>
    <t>Toyota Corolla</t>
  </si>
  <si>
    <t>https://www.carismo.cz/nabidky/prodej/toyota/corolla/active-1-8-hybrid-72-kw-e-cvt/19484</t>
  </si>
  <si>
    <t>Toyota Corolla sedan</t>
  </si>
  <si>
    <t>https://www.carismo.cz/nabidky/prodej/toyota/corolla/active-1-8-hybrid-72-kw-e-cvt/19496</t>
  </si>
  <si>
    <t>Toyota C-HR</t>
  </si>
  <si>
    <t>https://www.carismo.cz/nabidky/prodej/toyota/c-hr/prime-1-8-hybrid/36262</t>
  </si>
  <si>
    <t>https://www.carismo.cz/nabidky/prodej/kia/niro/comfort-1-6-gdi-hev/19326</t>
  </si>
  <si>
    <t>Toyota Prius</t>
  </si>
  <si>
    <t>https://www.carismo.cz/nabidky/prodej/toyota/prius/live-1-8-e-cvt/17060</t>
  </si>
  <si>
    <t>Lexus CT</t>
  </si>
  <si>
    <t>https://www.carismo.cz/nabidky/prodej/lexus/ct/elegance-200h/18819</t>
  </si>
  <si>
    <t>Ford Mondeo HEV</t>
  </si>
  <si>
    <t>https://www.carismo.cz/nabidky/prodej/ford/mondeo/titanium-hev-2-0-hybrid/31095</t>
  </si>
  <si>
    <t>Honda CR-V</t>
  </si>
  <si>
    <t>https://www.carismo.cz/nabidky/prodej/honda/cr-v/elegance-2-0-i-vtec/17352</t>
  </si>
  <si>
    <t>Toyota RAV4</t>
  </si>
  <si>
    <t>https://www.carismo.cz/nabidky/prodej/toyota/rav4/active-2-5-hybrid-at/17092</t>
  </si>
  <si>
    <t>Lexus UX</t>
  </si>
  <si>
    <t>https://www.carismo.cz/nabidky/prodej/lexus/ux/comfort-top-250h-2wd/31236</t>
  </si>
  <si>
    <t>Hyundai Ioniq PHEV</t>
  </si>
  <si>
    <t>https://www.carismo.cz/nabidky/prodej/hyundai/ioniq/phev-future-1-6-gdi-104-kw-hybrid/34618</t>
  </si>
  <si>
    <t>BMW 2 Active Tourer</t>
  </si>
  <si>
    <t>https://www.carismo.cz/nabidky/prodej/bmw/rada-2/seriove-provedeni-225xe-iperformance/15478</t>
  </si>
  <si>
    <t>Volkswagen Golf GTE</t>
  </si>
  <si>
    <t>https://www.carismo.cz/nabidky/prodej/volkswagen/golf/gte-1-4-tsi-plug-in-hybrid/13551</t>
  </si>
  <si>
    <t>Audi A3 Sportback e-tron</t>
  </si>
  <si>
    <t>https://www.carismo.cz/nabidky/prodej/audi/a3/a3-40-e-tron-110-kw/14530</t>
  </si>
  <si>
    <t>Mini Countryman</t>
  </si>
  <si>
    <t>https://www.carismo.cz/nabidky/prodej/mini/countryman/cooper-s-cooper-s-e-all4/16492</t>
  </si>
  <si>
    <t>Volkswagen Passat GTE</t>
  </si>
  <si>
    <t>https://www.carismo.cz/nabidky/prodej/volkswagen/passat/gte-1-4-tsi-plug-in-hybrid/13515</t>
  </si>
  <si>
    <t>Land Rover Discovery Sport</t>
  </si>
  <si>
    <t>https://www.carismo.cz/nabidky/prodej/land-rover/discovery/discovery-sport-2-0-d-110-kw-mhev-awd-at/42161</t>
  </si>
  <si>
    <t>Volkswagen E-Up!</t>
  </si>
  <si>
    <t>https://www.carismo.cz/nabidky/prodej/volkswagen/up/e-up-60-kw/22060</t>
  </si>
  <si>
    <t>Smart Fortwo</t>
  </si>
  <si>
    <t>https://www.carismo.cz/nabidky/prodej/smart/fortwo/zakladni-electric-drive/41652</t>
  </si>
  <si>
    <t>Smart EQ forfour electric drive</t>
  </si>
  <si>
    <t>https://www.carismo.cz/nabidky/prodej/smart/forfour/eq-electric-drive/17305</t>
  </si>
  <si>
    <t>Renault Kangoo Z.E.</t>
  </si>
  <si>
    <t>https://www.carismo.cz/nabidky/prodej/renault/kangoo/2-mistny-33-kwh/31642</t>
  </si>
  <si>
    <t>Volkswagen ID.3</t>
  </si>
  <si>
    <t>https://www.carismo.cz/nabidky/prodej/volkswagen/id/standardni-vybava-45-kwh/38952</t>
  </si>
  <si>
    <t>Renault Zoe</t>
  </si>
  <si>
    <t>https://www.carismo.cz/nabidky/prodej/renault/zoe/life-r90/31702</t>
  </si>
  <si>
    <t>Volkswagen E-Golf</t>
  </si>
  <si>
    <t>https://www.carismo.cz/nabidky/prodej/volkswagen/golf/e-golf-100-kw/13526</t>
  </si>
  <si>
    <t>Hyundai Ioniq EV</t>
  </si>
  <si>
    <t>https://www.carismo.cz/nabidky/prodej/hyundai/ioniq/future-ev/29736</t>
  </si>
  <si>
    <t>https://www.carismo.cz/nabidky/prodej/kia/soul/premium-ac-elektromotor-81-kw/19381</t>
  </si>
  <si>
    <t>https://www.carismo.cz/nabidky/prodej/hyundai/kona/future-ev-eco-39-2-kwh/29718</t>
  </si>
  <si>
    <t>Nissan Leaf</t>
  </si>
  <si>
    <t>https://www.carismo.cz/nabidky/prodej/nissan/leaf/acenta-40-kwh/31284</t>
  </si>
  <si>
    <t>engine kW</t>
  </si>
  <si>
    <t>weight kg</t>
  </si>
  <si>
    <t>engine cm3</t>
  </si>
  <si>
    <t>CSOB Pojistova</t>
  </si>
  <si>
    <t>Povinné ručení</t>
  </si>
  <si>
    <t>Standard</t>
  </si>
  <si>
    <t>Dominant</t>
  </si>
  <si>
    <t>Premiant</t>
  </si>
  <si>
    <t>Zaviněné škody na majetku a věcech</t>
  </si>
  <si>
    <t>mil. Kč</t>
  </si>
  <si>
    <t>Zaviněné škody na zdraví</t>
  </si>
  <si>
    <t>Úrazové pojištění řidiče</t>
  </si>
  <si>
    <t>Kč</t>
  </si>
  <si>
    <t>Pojištění osobních věcí v případě nehody</t>
  </si>
  <si>
    <t>Oprava na místě nebo odtah osobního automobilu</t>
  </si>
  <si>
    <t>Náhradní doprava nebo ubytování při poruše nebo nehodě osobního automobilu</t>
  </si>
  <si>
    <t>Pojištění škod na vlastním vozidle při zaviněné nehodě</t>
  </si>
  <si>
    <t xml:space="preserve"> - </t>
  </si>
  <si>
    <t>Zapůjčení náhradního vozidla při zaviněné nehodě</t>
  </si>
  <si>
    <t>Cena za rok</t>
  </si>
  <si>
    <t>Havarijní pojištění</t>
  </si>
  <si>
    <t>Škody na vlastním vozidle při jakékoli nehodě včetně střetu se zvěří</t>
  </si>
  <si>
    <t>Hodnota vozu v den škody</t>
  </si>
  <si>
    <t>Garance dnešní hodnoty vozu max. 5 let stáří vozidla</t>
  </si>
  <si>
    <t>Pojištění proti všem živlům</t>
  </si>
  <si>
    <t>Oprava na místě nebo odtah při jakékoli poruše nebo nehodě vozidla</t>
  </si>
  <si>
    <t>Náhradní doprava nebo ubytování při jakékoli poruše nebo nehodě</t>
  </si>
  <si>
    <t>Pojištění vozu proti odcizení</t>
  </si>
  <si>
    <t>Spoluúčast: při škodě zaplatíte ze své kapsy</t>
  </si>
  <si>
    <t>10 %, min. 10 000 Kč</t>
  </si>
  <si>
    <t>Transmission</t>
  </si>
  <si>
    <t>Month (min)</t>
  </si>
  <si>
    <t>Price</t>
  </si>
  <si>
    <t>Period</t>
  </si>
  <si>
    <t>km/year</t>
  </si>
  <si>
    <t>Service</t>
  </si>
  <si>
    <t xml:space="preserve">Insurance </t>
  </si>
  <si>
    <t>Accident insurance</t>
  </si>
  <si>
    <t>Winter tires</t>
  </si>
  <si>
    <t>TOYOTA YARIS 1.5 HYBRID</t>
  </si>
  <si>
    <t>Hybrid</t>
  </si>
  <si>
    <t>https://www.olfincarshop.cz/detail/toyota/osobni/1609/ico/</t>
  </si>
  <si>
    <t>ŠKODA FABIA 1.0 TSI</t>
  </si>
  <si>
    <t>Gasoline</t>
  </si>
  <si>
    <t>https://www.olfincarshop.cz/detail/skoda/osobni/1563/ico/</t>
  </si>
  <si>
    <t>ŠKODA FABIA 1.0 MPI</t>
  </si>
  <si>
    <t>Manual</t>
  </si>
  <si>
    <t>https://www.olfincarshop.cz/detail/skoda/osobni/1539/ico/</t>
  </si>
  <si>
    <t>VOLKSWAGEN TRANSPORTER KOMBI 2,0</t>
  </si>
  <si>
    <t>https://www.olfincarshop.cz/detail/volkswagen/uzitkove/122/ico/</t>
  </si>
  <si>
    <t>Hyundai i30 1.4</t>
  </si>
  <si>
    <t xml:space="preserve"> + </t>
  </si>
  <si>
    <t>https://www.driveto.cz/operativni-leasing/hyundai/i30/i30-2017/1-4-73-kw-benzinovy-predni-manualni/trikolor-komfort/2fb7a4bf6/?radit-od=nejlevnejsi#mileage:10000;contractLength:48;priceOffer:49c74e15-002d-4a56-8001-e9230861d06b</t>
  </si>
  <si>
    <t>KIA Ceed 1.4</t>
  </si>
  <si>
    <t>https://www.driveto.cz/operativni-leasing/kia/cee-d/ceed-2018/1-4-73-kw-benzinovy/cool/a14c08f7/?radit-od=nejlevnejsi#mileage:8000;contractLength:60;priceOffer:7a99845e-7bc5-4e49-88b2-3d1a41d8e1cc</t>
  </si>
  <si>
    <t>Volkswagen Golf VII e-Golf</t>
  </si>
  <si>
    <t>5%, min. 5000</t>
  </si>
  <si>
    <t>https://www.driveto.cz/operativni-leasing/volkswagen/golf/golf-vii-e-golf-2017/100kw-100-kw-elektricky-predni-automaticka-robotizovana/zakladni/ca2309cb/?radit-od=nejlevnejsi#mileage:20000;contractLength:34;priceOffer:59de7d6d-cc41-4ad5-8968-119d32c96b73</t>
  </si>
  <si>
    <t>BMW i3</t>
  </si>
  <si>
    <t>10%, min. 10000</t>
  </si>
  <si>
    <t>https://www.driveto.cz/operativni-leasing/bmw/i3/i3-2013/125kw-125-kw-elektricky-zadni-automaticka-robotizovana/120-ah/1a330bf6/?palivo=electricity#mileage:15000;contractLength:48;priceOffer:063f0df2-4f99-474b-ab8a-3cd93143580b</t>
  </si>
  <si>
    <t>https://www.rl.cz/predmety-financovani/osobni-a-uzitkova-auta/</t>
  </si>
  <si>
    <t>Fiat 500e</t>
  </si>
  <si>
    <t>https://www.naoperak.cz/operativni-leasing/fiat-500e-elektromobil76261016f8e00998ae034b8735a3386a</t>
  </si>
  <si>
    <t>https://www.naoperak.cz/operativni-leasing/bmw-i3-13996</t>
  </si>
  <si>
    <t>Nissan Leaf N-Connecta</t>
  </si>
  <si>
    <t>https://www.naoperak.cz/operativni-leasing/nissan-leaf-n-connecta-40-kwh-68168</t>
  </si>
  <si>
    <t>Toyota Corolla SD 1.8</t>
  </si>
  <si>
    <t>https://www.naoperak.cz/operativni-leasing/toyota-corolla-sd-1.8-hybrid-cvt-executive-vip</t>
  </si>
  <si>
    <t>Toyota C-hr 1.8</t>
  </si>
  <si>
    <t>https://www.premobilita.cz/cs/elektromobily/leasing-elektromobilu/</t>
  </si>
  <si>
    <t>Toyota Proace</t>
  </si>
  <si>
    <t>Diesel</t>
  </si>
  <si>
    <t>https://www.driveto.cz/operativni-leasing/toyota/proace/proace-verso-2016/2-0-130-kw-naftovy-predni-automaticka-robotizovana/family-l2/ad8318821/#mileage:20000;contractLength:24;priceOffer:82d8e7fd-714b-47a0-8339-554bc8bb4808</t>
  </si>
  <si>
    <t>Price for 1 day</t>
  </si>
  <si>
    <t>Max coef. Rent</t>
  </si>
  <si>
    <t>Year #</t>
  </si>
  <si>
    <t>Year</t>
  </si>
  <si>
    <t>Month</t>
  </si>
  <si>
    <t>Coef from start</t>
  </si>
  <si>
    <t>Seasons</t>
  </si>
  <si>
    <t>Day off</t>
  </si>
  <si>
    <t>Weekends</t>
  </si>
  <si>
    <t>Days</t>
  </si>
  <si>
    <t>Rent days</t>
  </si>
  <si>
    <t>Revenue</t>
  </si>
  <si>
    <t>September</t>
  </si>
  <si>
    <t>October</t>
  </si>
  <si>
    <t>November</t>
  </si>
  <si>
    <t>Decemver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</si>
  <si>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</si>
  <si>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</si>
  <si>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</si>
  <si>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</si>
  <si>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</si>
  <si>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</si>
  <si>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</si>
  <si>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</si>
  <si>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ROI</t>
  </si>
  <si>
    <t>NPV</t>
  </si>
  <si>
    <t>IRR</t>
  </si>
  <si>
    <t>0.76</t>
  </si>
  <si>
    <t>Hub Group, Inc.</t>
  </si>
  <si>
    <t>NASDAQGS:HUBG</t>
  </si>
  <si>
    <t>Old Dominion Freight Line, Inc.</t>
  </si>
  <si>
    <t>NASDAQGS:ODFL</t>
  </si>
  <si>
    <t>Industrials</t>
  </si>
  <si>
    <t>SECTOR:IND.US</t>
  </si>
  <si>
    <t>Ford Motor Company</t>
  </si>
  <si>
    <t>NYSE:F</t>
  </si>
  <si>
    <t>Penske Automotive Group, Inc.</t>
  </si>
  <si>
    <t>NYSE:PAG</t>
  </si>
  <si>
    <t>Sixt SE</t>
  </si>
  <si>
    <t>OTCPK:SIXG.F</t>
  </si>
  <si>
    <t>Ryder System, Inc.</t>
  </si>
  <si>
    <t>NYSE:R</t>
  </si>
  <si>
    <t>Daseke, Inc.</t>
  </si>
  <si>
    <t>NASDAQCM:DSKE</t>
  </si>
  <si>
    <t>Avis Budget Group, Inc.</t>
  </si>
  <si>
    <t>NASDAQGS:CAR</t>
  </si>
  <si>
    <t>Herc Holdings Inc.</t>
  </si>
  <si>
    <t>DB:H9B1</t>
  </si>
  <si>
    <t>Web</t>
  </si>
  <si>
    <t>Additional info:</t>
  </si>
  <si>
    <t>On 1.02.2020 available at the website HoppyGo</t>
  </si>
  <si>
    <t>Total cars</t>
  </si>
  <si>
    <t>lPG/CNG/Other</t>
  </si>
  <si>
    <t>Total # of cars in Prague</t>
  </si>
  <si>
    <t>9750 clients</t>
  </si>
  <si>
    <t>Amount of driver licences in Prague</t>
  </si>
  <si>
    <t>Car</t>
  </si>
  <si>
    <t>1 year</t>
  </si>
  <si>
    <t>Full load without inflation</t>
  </si>
  <si>
    <t>Initial cost</t>
  </si>
  <si>
    <t>Amount (CZK)</t>
  </si>
  <si>
    <t>Administrative costs</t>
  </si>
  <si>
    <t>Toyota Yaris Hybrid (x10)</t>
  </si>
  <si>
    <t>ŠKODA Citigo iV (x10)</t>
  </si>
  <si>
    <t>Remote car control (x20)</t>
  </si>
  <si>
    <t>Baby chair (x5)</t>
  </si>
  <si>
    <t>GPS Navigator (x10)</t>
  </si>
  <si>
    <t>Promotion</t>
  </si>
  <si>
    <t>Vignette CR (x20)</t>
  </si>
  <si>
    <t>Parking (x20)</t>
  </si>
  <si>
    <t>Initial cash for operations</t>
  </si>
  <si>
    <t>Job Title</t>
  </si>
  <si>
    <t>Amount per month (CZK)</t>
  </si>
  <si>
    <t>Executive Director</t>
  </si>
  <si>
    <t>Marketing/Sales Associates (x2)</t>
  </si>
  <si>
    <t>Customer &amp; Technical Support (x2)</t>
  </si>
  <si>
    <t>Total Fix</t>
  </si>
  <si>
    <t>Beginning Book Value</t>
  </si>
  <si>
    <t>Depreciation Percent</t>
  </si>
  <si>
    <t>Depreciation Amount</t>
  </si>
  <si>
    <t>Accumulated Depreciation Amount</t>
  </si>
  <si>
    <t>Ending Book Value</t>
  </si>
  <si>
    <t>1.</t>
  </si>
  <si>
    <t>2.</t>
  </si>
  <si>
    <t>3.</t>
  </si>
  <si>
    <t>4.</t>
  </si>
  <si>
    <t>5.</t>
  </si>
  <si>
    <t>Skoda Citigo iV</t>
  </si>
  <si>
    <t>1st year</t>
  </si>
  <si>
    <t>2nd year</t>
  </si>
  <si>
    <t>3rd year</t>
  </si>
  <si>
    <t>4th year</t>
  </si>
  <si>
    <t>5th year</t>
  </si>
  <si>
    <t>Initial state of cash</t>
  </si>
  <si>
    <t>Expenses</t>
  </si>
  <si>
    <t>Gross Profit</t>
  </si>
  <si>
    <t>Depreciation</t>
  </si>
  <si>
    <t>EBT</t>
  </si>
  <si>
    <t>TAX</t>
  </si>
  <si>
    <t>Net Earnings</t>
  </si>
  <si>
    <t>EBITDA</t>
  </si>
  <si>
    <t>Final state of cash</t>
  </si>
  <si>
    <t>Strategy 1</t>
  </si>
  <si>
    <t>Strategy 2</t>
  </si>
  <si>
    <t>0 year</t>
  </si>
  <si>
    <t>Cash Flow</t>
  </si>
  <si>
    <t>r</t>
  </si>
  <si>
    <t>Invested amount</t>
  </si>
  <si>
    <t>Returned amount</t>
  </si>
  <si>
    <t>Gain or loss</t>
  </si>
  <si>
    <t>Ticker</t>
  </si>
  <si>
    <t>Beta (5 Year)</t>
  </si>
  <si>
    <t>Risk free rate of return</t>
  </si>
  <si>
    <t>Market rate of return</t>
  </si>
  <si>
    <t>Beta</t>
  </si>
  <si>
    <t>Cost of equity</t>
  </si>
  <si>
    <t>Total equity</t>
  </si>
  <si>
    <t>Cost of debt</t>
  </si>
  <si>
    <t>Total debt</t>
  </si>
  <si>
    <t>Corporate tax rate</t>
  </si>
  <si>
    <t>WACC</t>
  </si>
  <si>
    <t>(average)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</si>
</sst>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0.0%"/>
  </numFmts>
  <fonts count="12" x14ac:knownFonts="1">
    <font>
      <sz val="11"/>
      <color theme="1"/>
      <name val="Arial"/>
    </font>
    <font>
      <sz val="11"/>
      <color theme="1"/>
      <name val="Calibri"/>
    </font>
    <font>
      <u/>
      <sz val="11"/>
      <color theme="10"/>
      <name val="Arial"/>
    </font>
    <font>
      <sz val="11"/>
      <color theme="1"/>
      <name val="Calibri"/>
    </font>
    <font>
      <b/>
      <sz val="11"/>
      <color theme="1"/>
      <name val="Calibri"/>
    </font>
    <font>
      <u/>
      <sz val="11"/>
      <color theme="10"/>
      <name val="Calibri"/>
    </font>
    <font>
      <sz val="11"/>
      <color theme="1"/>
      <name val="Arial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wrapText="1"/>
    </xf>
    <xf numFmtId="3" fontId="3" fillId="0" borderId="0" xfId="0" applyNumberFormat="1" applyFont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3" fontId="4" fillId="0" borderId="3" xfId="0" applyNumberFormat="1" applyFont="1" applyBorder="1" applyAlignment="1">
      <alignment horizontal="center"/>
    </xf>
    <xf numFmtId="0" fontId="4" fillId="0" borderId="4" xfId="0" applyFont="1" applyBorder="1"/>
    <xf numFmtId="0" fontId="3" fillId="0" borderId="7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3" xfId="0" applyFont="1" applyBorder="1"/>
    <xf numFmtId="0" fontId="3" fillId="0" borderId="8" xfId="0" applyFont="1" applyBorder="1"/>
    <xf numFmtId="0" fontId="3" fillId="0" borderId="9" xfId="0" applyFont="1" applyBorder="1" applyAlignment="1">
      <alignment wrapText="1"/>
    </xf>
    <xf numFmtId="0" fontId="3" fillId="0" borderId="10" xfId="0" applyFont="1" applyBorder="1"/>
    <xf numFmtId="0" fontId="3" fillId="0" borderId="11" xfId="0" applyFont="1" applyBorder="1" applyAlignment="1">
      <alignment wrapText="1"/>
    </xf>
    <xf numFmtId="0" fontId="3" fillId="0" borderId="12" xfId="0" applyFont="1" applyBorder="1"/>
    <xf numFmtId="0" fontId="4" fillId="0" borderId="11" xfId="0" applyFont="1" applyBorder="1" applyAlignment="1">
      <alignment wrapText="1"/>
    </xf>
    <xf numFmtId="0" fontId="4" fillId="0" borderId="8" xfId="0" applyFont="1" applyBorder="1"/>
    <xf numFmtId="0" fontId="4" fillId="0" borderId="12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4" fillId="0" borderId="14" xfId="0" applyFont="1" applyBorder="1"/>
    <xf numFmtId="16" fontId="0" fillId="0" borderId="0" xfId="0" applyNumberFormat="1" applyFont="1" applyAlignment="1"/>
    <xf numFmtId="17" fontId="0" fillId="0" borderId="0" xfId="0" applyNumberFormat="1" applyFont="1" applyAlignment="1"/>
    <xf numFmtId="2" fontId="0" fillId="0" borderId="0" xfId="0" applyNumberFormat="1" applyFont="1" applyAlignment="1"/>
    <xf numFmtId="0" fontId="9" fillId="0" borderId="0" xfId="0" applyFont="1"/>
    <xf numFmtId="0" fontId="7" fillId="0" borderId="0" xfId="0" applyFont="1" applyAlignment="1"/>
    <xf numFmtId="0" fontId="10" fillId="0" borderId="0" xfId="0" applyFont="1"/>
    <xf numFmtId="0" fontId="9" fillId="0" borderId="19" xfId="0" applyFont="1" applyBorder="1"/>
    <xf numFmtId="0" fontId="9" fillId="0" borderId="20" xfId="0" applyFont="1" applyBorder="1"/>
    <xf numFmtId="9" fontId="3" fillId="0" borderId="20" xfId="0" applyNumberFormat="1" applyFont="1" applyBorder="1"/>
    <xf numFmtId="0" fontId="1" fillId="0" borderId="20" xfId="0" applyFont="1" applyBorder="1"/>
    <xf numFmtId="9" fontId="3" fillId="0" borderId="21" xfId="0" applyNumberFormat="1" applyFont="1" applyBorder="1"/>
    <xf numFmtId="0" fontId="1" fillId="0" borderId="22" xfId="0" applyFont="1" applyBorder="1"/>
    <xf numFmtId="0" fontId="1" fillId="0" borderId="18" xfId="0" applyFont="1" applyBorder="1"/>
    <xf numFmtId="9" fontId="3" fillId="0" borderId="18" xfId="0" applyNumberFormat="1" applyFont="1" applyBorder="1"/>
    <xf numFmtId="9" fontId="3" fillId="0" borderId="23" xfId="0" applyNumberFormat="1" applyFont="1" applyBorder="1"/>
    <xf numFmtId="0" fontId="1" fillId="0" borderId="24" xfId="0" applyFont="1" applyBorder="1"/>
    <xf numFmtId="0" fontId="1" fillId="0" borderId="25" xfId="0" applyFont="1" applyBorder="1"/>
    <xf numFmtId="9" fontId="3" fillId="0" borderId="25" xfId="0" applyNumberFormat="1" applyFont="1" applyBorder="1"/>
    <xf numFmtId="9" fontId="3" fillId="0" borderId="26" xfId="0" applyNumberFormat="1" applyFont="1" applyBorder="1"/>
    <xf numFmtId="0" fontId="10" fillId="0" borderId="19" xfId="0" applyFont="1" applyBorder="1"/>
    <xf numFmtId="0" fontId="10" fillId="0" borderId="20" xfId="0" applyFont="1" applyBorder="1"/>
    <xf numFmtId="0" fontId="1" fillId="0" borderId="19" xfId="0" applyFont="1" applyBorder="1"/>
    <xf numFmtId="0" fontId="0" fillId="0" borderId="21" xfId="0" applyFont="1" applyBorder="1" applyAlignment="1"/>
    <xf numFmtId="0" fontId="10" fillId="0" borderId="24" xfId="0" applyFont="1" applyBorder="1"/>
    <xf numFmtId="0" fontId="0" fillId="0" borderId="20" xfId="0" applyFont="1" applyBorder="1" applyAlignment="1"/>
    <xf numFmtId="0" fontId="1" fillId="0" borderId="21" xfId="0" applyFont="1" applyBorder="1"/>
    <xf numFmtId="0" fontId="10" fillId="0" borderId="22" xfId="0" applyFont="1" applyBorder="1"/>
    <xf numFmtId="0" fontId="1" fillId="0" borderId="23" xfId="0" applyFont="1" applyBorder="1"/>
    <xf numFmtId="0" fontId="0" fillId="0" borderId="22" xfId="0" applyFont="1" applyBorder="1" applyAlignment="1"/>
    <xf numFmtId="0" fontId="0" fillId="0" borderId="24" xfId="0" applyFont="1" applyBorder="1" applyAlignment="1"/>
    <xf numFmtId="0" fontId="1" fillId="0" borderId="26" xfId="0" applyFont="1" applyBorder="1"/>
    <xf numFmtId="0" fontId="9" fillId="0" borderId="21" xfId="0" applyFont="1" applyBorder="1"/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3" xfId="0" applyFont="1" applyBorder="1" applyAlignment="1"/>
    <xf numFmtId="0" fontId="11" fillId="0" borderId="22" xfId="0" applyFont="1" applyBorder="1" applyAlignment="1"/>
    <xf numFmtId="0" fontId="9" fillId="0" borderId="22" xfId="0" applyFont="1" applyBorder="1"/>
    <xf numFmtId="0" fontId="9" fillId="0" borderId="24" xfId="0" applyFont="1" applyBorder="1"/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0" fontId="3" fillId="0" borderId="23" xfId="0" applyNumberFormat="1" applyFont="1" applyBorder="1"/>
    <xf numFmtId="10" fontId="3" fillId="0" borderId="26" xfId="0" applyNumberFormat="1" applyFont="1" applyBorder="1"/>
    <xf numFmtId="0" fontId="7" fillId="0" borderId="21" xfId="0" applyFont="1" applyBorder="1" applyAlignment="1"/>
    <xf numFmtId="164" fontId="10" fillId="0" borderId="23" xfId="0" applyNumberFormat="1" applyFont="1" applyBorder="1"/>
    <xf numFmtId="164" fontId="10" fillId="0" borderId="26" xfId="0" applyNumberFormat="1" applyFont="1" applyBorder="1"/>
    <xf numFmtId="0" fontId="1" fillId="0" borderId="28" xfId="0" applyFont="1" applyBorder="1"/>
    <xf numFmtId="0" fontId="9" fillId="0" borderId="27" xfId="0" applyFont="1" applyBorder="1"/>
    <xf numFmtId="0" fontId="4" fillId="0" borderId="19" xfId="0" applyFont="1" applyBorder="1"/>
    <xf numFmtId="0" fontId="4" fillId="0" borderId="20" xfId="0" applyFont="1" applyBorder="1"/>
    <xf numFmtId="3" fontId="3" fillId="0" borderId="18" xfId="0" applyNumberFormat="1" applyFont="1" applyBorder="1"/>
    <xf numFmtId="0" fontId="0" fillId="0" borderId="18" xfId="0" applyFont="1" applyBorder="1" applyAlignment="1"/>
    <xf numFmtId="3" fontId="3" fillId="0" borderId="18" xfId="0" applyNumberFormat="1" applyFont="1" applyBorder="1" applyAlignment="1">
      <alignment horizontal="right"/>
    </xf>
    <xf numFmtId="0" fontId="0" fillId="0" borderId="25" xfId="0" applyFont="1" applyBorder="1" applyAlignment="1"/>
    <xf numFmtId="0" fontId="0" fillId="0" borderId="26" xfId="0" applyFont="1" applyBorder="1" applyAlignment="1"/>
    <xf numFmtId="0" fontId="4" fillId="0" borderId="21" xfId="0" applyFont="1" applyBorder="1"/>
    <xf numFmtId="3" fontId="3" fillId="0" borderId="25" xfId="0" applyNumberFormat="1" applyFont="1" applyBorder="1"/>
    <xf numFmtId="3" fontId="3" fillId="0" borderId="20" xfId="0" applyNumberFormat="1" applyFont="1" applyBorder="1"/>
    <xf numFmtId="0" fontId="3" fillId="0" borderId="18" xfId="0" applyFont="1" applyBorder="1"/>
    <xf numFmtId="0" fontId="0" fillId="0" borderId="19" xfId="0" applyFont="1" applyBorder="1" applyAlignment="1"/>
    <xf numFmtId="0" fontId="5" fillId="0" borderId="23" xfId="0" applyFont="1" applyBorder="1"/>
    <xf numFmtId="0" fontId="3" fillId="0" borderId="18" xfId="0" applyFont="1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1" fillId="0" borderId="29" xfId="0" applyFont="1" applyBorder="1"/>
    <xf numFmtId="0" fontId="1" fillId="0" borderId="30" xfId="0" applyFont="1" applyBorder="1"/>
    <xf numFmtId="0" fontId="0" fillId="0" borderId="30" xfId="0" applyFont="1" applyBorder="1" applyAlignment="1"/>
    <xf numFmtId="0" fontId="1" fillId="0" borderId="31" xfId="0" applyFont="1" applyBorder="1"/>
    <xf numFmtId="0" fontId="3" fillId="0" borderId="19" xfId="0" applyFont="1" applyBorder="1"/>
    <xf numFmtId="0" fontId="3" fillId="0" borderId="21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9" fillId="0" borderId="19" xfId="0" applyFont="1" applyBorder="1" applyAlignment="1"/>
    <xf numFmtId="0" fontId="9" fillId="0" borderId="20" xfId="0" applyFont="1" applyBorder="1" applyAlignment="1"/>
    <xf numFmtId="0" fontId="9" fillId="0" borderId="13" xfId="0" applyFont="1" applyBorder="1"/>
    <xf numFmtId="0" fontId="9" fillId="0" borderId="10" xfId="0" applyFont="1" applyBorder="1"/>
    <xf numFmtId="3" fontId="0" fillId="0" borderId="0" xfId="0" applyNumberFormat="1" applyFont="1" applyAlignment="1"/>
    <xf numFmtId="0" fontId="10" fillId="0" borderId="18" xfId="0" applyFont="1" applyBorder="1"/>
    <xf numFmtId="0" fontId="8" fillId="0" borderId="0" xfId="0" applyFont="1" applyAlignment="1"/>
    <xf numFmtId="0" fontId="10" fillId="0" borderId="25" xfId="0" applyFont="1" applyBorder="1"/>
    <xf numFmtId="3" fontId="0" fillId="0" borderId="18" xfId="0" applyNumberFormat="1" applyFont="1" applyBorder="1" applyAlignment="1"/>
    <xf numFmtId="3" fontId="0" fillId="0" borderId="23" xfId="0" applyNumberFormat="1" applyFont="1" applyBorder="1" applyAlignment="1"/>
    <xf numFmtId="10" fontId="7" fillId="0" borderId="18" xfId="1" applyNumberFormat="1" applyFont="1" applyBorder="1" applyAlignment="1"/>
    <xf numFmtId="0" fontId="11" fillId="0" borderId="18" xfId="0" applyFont="1" applyBorder="1" applyAlignment="1"/>
    <xf numFmtId="6" fontId="11" fillId="0" borderId="23" xfId="0" applyNumberFormat="1" applyFont="1" applyBorder="1" applyAlignment="1"/>
    <xf numFmtId="3" fontId="0" fillId="0" borderId="25" xfId="0" applyNumberFormat="1" applyFont="1" applyBorder="1" applyAlignment="1"/>
    <xf numFmtId="0" fontId="11" fillId="0" borderId="25" xfId="0" applyFont="1" applyBorder="1" applyAlignment="1"/>
    <xf numFmtId="10" fontId="11" fillId="0" borderId="26" xfId="0" applyNumberFormat="1" applyFont="1" applyBorder="1" applyAlignment="1"/>
    <xf numFmtId="3" fontId="0" fillId="0" borderId="20" xfId="0" applyNumberFormat="1" applyFont="1" applyBorder="1" applyAlignment="1"/>
    <xf numFmtId="0" fontId="11" fillId="0" borderId="20" xfId="0" applyFont="1" applyBorder="1" applyAlignment="1"/>
    <xf numFmtId="0" fontId="11" fillId="0" borderId="21" xfId="0" applyFont="1" applyBorder="1" applyAlignment="1"/>
    <xf numFmtId="0" fontId="7" fillId="0" borderId="18" xfId="0" applyFont="1" applyBorder="1" applyAlignment="1"/>
    <xf numFmtId="10" fontId="0" fillId="0" borderId="23" xfId="1" applyNumberFormat="1" applyFont="1" applyBorder="1" applyAlignment="1"/>
    <xf numFmtId="0" fontId="11" fillId="0" borderId="24" xfId="0" applyFont="1" applyBorder="1" applyAlignment="1"/>
    <xf numFmtId="0" fontId="7" fillId="0" borderId="25" xfId="0" applyFont="1" applyBorder="1" applyAlignment="1"/>
    <xf numFmtId="10" fontId="0" fillId="0" borderId="26" xfId="1" applyNumberFormat="1" applyFont="1" applyBorder="1" applyAlignment="1"/>
    <xf numFmtId="0" fontId="11" fillId="0" borderId="19" xfId="0" applyFont="1" applyBorder="1" applyAlignment="1"/>
    <xf numFmtId="2" fontId="0" fillId="0" borderId="23" xfId="0" applyNumberFormat="1" applyFont="1" applyBorder="1" applyAlignment="1"/>
    <xf numFmtId="2" fontId="0" fillId="0" borderId="26" xfId="0" applyNumberFormat="1" applyFont="1" applyBorder="1" applyAlignment="1"/>
    <xf numFmtId="2" fontId="0" fillId="0" borderId="29" xfId="0" applyNumberFormat="1" applyFont="1" applyBorder="1" applyAlignment="1"/>
    <xf numFmtId="0" fontId="7" fillId="0" borderId="31" xfId="0" applyFont="1" applyBorder="1" applyAlignment="1"/>
    <xf numFmtId="10" fontId="0" fillId="0" borderId="24" xfId="0" applyNumberFormat="1" applyFont="1" applyBorder="1" applyAlignment="1"/>
    <xf numFmtId="10" fontId="0" fillId="0" borderId="25" xfId="0" applyNumberFormat="1" applyFont="1" applyBorder="1" applyAlignment="1"/>
    <xf numFmtId="2" fontId="0" fillId="0" borderId="25" xfId="0" applyNumberFormat="1" applyFont="1" applyBorder="1" applyAlignment="1"/>
    <xf numFmtId="10" fontId="7" fillId="0" borderId="26" xfId="1" applyNumberFormat="1" applyFont="1" applyBorder="1" applyAlignment="1"/>
    <xf numFmtId="9" fontId="0" fillId="0" borderId="18" xfId="0" applyNumberFormat="1" applyFont="1" applyBorder="1" applyAlignment="1"/>
    <xf numFmtId="9" fontId="0" fillId="0" borderId="25" xfId="0" applyNumberFormat="1" applyFont="1" applyBorder="1" applyAlignment="1"/>
    <xf numFmtId="10" fontId="0" fillId="0" borderId="23" xfId="1" applyNumberFormat="1" applyFont="1" applyBorder="1" applyAlignment="1">
      <alignment horizontal="left" indent="2"/>
    </xf>
    <xf numFmtId="10" fontId="0" fillId="0" borderId="26" xfId="1" applyNumberFormat="1" applyFont="1" applyBorder="1" applyAlignment="1">
      <alignment horizontal="left" indent="2"/>
    </xf>
    <xf numFmtId="10" fontId="0" fillId="0" borderId="18" xfId="1" applyNumberFormat="1" applyFont="1" applyBorder="1" applyAlignment="1"/>
    <xf numFmtId="10" fontId="0" fillId="0" borderId="25" xfId="1" applyNumberFormat="1" applyFont="1" applyBorder="1" applyAlignment="1"/>
    <xf numFmtId="0" fontId="9" fillId="0" borderId="26" xfId="0" applyFont="1" applyBorder="1"/>
    <xf numFmtId="3" fontId="0" fillId="0" borderId="26" xfId="0" applyNumberFormat="1" applyFont="1" applyBorder="1" applyAlignment="1"/>
    <xf numFmtId="3" fontId="0" fillId="0" borderId="21" xfId="0" applyNumberFormat="1" applyFont="1" applyBorder="1" applyAlignment="1"/>
    <xf numFmtId="0" fontId="7" fillId="0" borderId="22" xfId="0" applyFont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9CD9-4518-9643-47262CE5AC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9CD9-4518-9643-47262CE5AC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9CD9-4518-9643-47262CE5AC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9CD9-4518-9643-47262CE5AC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9CD9-4518-9643-47262CE5ACE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'SmileCar (HoppyGo)'!$B$7:$B$11</c:f>
              <c:strCache>
                <c:ptCount val="5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</c:strCache>
            </c:strRef>
          </c:cat>
          <c:val>
            <c:numRef>
              <c:f>'SmileCar (HoppyGo)'!$C$7:$C$11</c:f>
              <c:numCache>
                <c:formatCode>0.0%</c:formatCode>
                <c:ptCount val="5"/>
                <c:pt idx="0">
                  <c:v>0.27500000000000002</c:v>
                </c:pt>
                <c:pt idx="1">
                  <c:v>0.434</c:v>
                </c:pt>
                <c:pt idx="2">
                  <c:v>0.19700000000000001</c:v>
                </c:pt>
                <c:pt idx="3">
                  <c:v>6.9000000000000006E-2</c:v>
                </c:pt>
                <c:pt idx="4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D9-4518-9643-47262CE5A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3</xdr:row>
      <xdr:rowOff>123825</xdr:rowOff>
    </xdr:from>
    <xdr:ext cx="4371975" cy="2714625"/>
    <xdr:graphicFrame macro="">
      <xdr:nvGraphicFramePr>
        <xdr:cNvPr id="1063074990" name="Chart 1">
          <a:extLst>
            <a:ext uri="{FF2B5EF4-FFF2-40B4-BE49-F238E27FC236}">
              <a16:creationId xmlns:a16="http://schemas.microsoft.com/office/drawing/2014/main" id="{00000000-0008-0000-0200-0000AE3C5D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ecar.cz/" TargetMode="External"/><Relationship Id="rId13" Type="http://schemas.openxmlformats.org/officeDocument/2006/relationships/hyperlink" Target="https://autokrejcarek.cz/" TargetMode="External"/><Relationship Id="rId18" Type="http://schemas.openxmlformats.org/officeDocument/2006/relationships/hyperlink" Target="https://www.arservis.cz/autopujcovna/" TargetMode="External"/><Relationship Id="rId3" Type="http://schemas.openxmlformats.org/officeDocument/2006/relationships/hyperlink" Target="https://easyrent.cz/" TargetMode="External"/><Relationship Id="rId21" Type="http://schemas.openxmlformats.org/officeDocument/2006/relationships/hyperlink" Target="https://autokrnepo.cz/" TargetMode="External"/><Relationship Id="rId7" Type="http://schemas.openxmlformats.org/officeDocument/2006/relationships/hyperlink" Target="https://www.ajo.cz/" TargetMode="External"/><Relationship Id="rId12" Type="http://schemas.openxmlformats.org/officeDocument/2006/relationships/hyperlink" Target="https://www.primapujcovna.cz/" TargetMode="External"/><Relationship Id="rId17" Type="http://schemas.openxmlformats.org/officeDocument/2006/relationships/hyperlink" Target="https://www.taggart.cz/" TargetMode="External"/><Relationship Id="rId2" Type="http://schemas.openxmlformats.org/officeDocument/2006/relationships/hyperlink" Target="https://www.vozidloprotebe.cz/" TargetMode="External"/><Relationship Id="rId16" Type="http://schemas.openxmlformats.org/officeDocument/2006/relationships/hyperlink" Target="https://www.autonemam.cz/" TargetMode="External"/><Relationship Id="rId20" Type="http://schemas.openxmlformats.org/officeDocument/2006/relationships/hyperlink" Target="https://www.drive-services.cz/" TargetMode="External"/><Relationship Id="rId1" Type="http://schemas.openxmlformats.org/officeDocument/2006/relationships/hyperlink" Target="https://www.avis.cz/" TargetMode="External"/><Relationship Id="rId6" Type="http://schemas.openxmlformats.org/officeDocument/2006/relationships/hyperlink" Target="https://www.autonapul.cz/" TargetMode="External"/><Relationship Id="rId11" Type="http://schemas.openxmlformats.org/officeDocument/2006/relationships/hyperlink" Target="http://www.hybrid.cz/carsharing-emuj-ukoncuje-cinnost-rozprodava-elektromobily" TargetMode="External"/><Relationship Id="rId24" Type="http://schemas.openxmlformats.org/officeDocument/2006/relationships/hyperlink" Target="https://www.ceskatelevize.cz/porady/1097429889-cerne-ovce/219452801080121/0/63578-autopujcovna/" TargetMode="External"/><Relationship Id="rId5" Type="http://schemas.openxmlformats.org/officeDocument/2006/relationships/hyperlink" Target="https://www.car4way.cz/" TargetMode="External"/><Relationship Id="rId15" Type="http://schemas.openxmlformats.org/officeDocument/2006/relationships/hyperlink" Target="https://www.barth-rent.cz/" TargetMode="External"/><Relationship Id="rId23" Type="http://schemas.openxmlformats.org/officeDocument/2006/relationships/hyperlink" Target="https://anytimecar.cz/" TargetMode="External"/><Relationship Id="rId10" Type="http://schemas.openxmlformats.org/officeDocument/2006/relationships/hyperlink" Target="https://www.popojedu.cz/" TargetMode="External"/><Relationship Id="rId19" Type="http://schemas.openxmlformats.org/officeDocument/2006/relationships/hyperlink" Target="http://cng.ppas.cz/cng-autopujcovna" TargetMode="External"/><Relationship Id="rId4" Type="http://schemas.openxmlformats.org/officeDocument/2006/relationships/hyperlink" Target="http://www.autopujcovna-divis.cz/" TargetMode="External"/><Relationship Id="rId9" Type="http://schemas.openxmlformats.org/officeDocument/2006/relationships/hyperlink" Target="http://autopujcovnatrend.cz/" TargetMode="External"/><Relationship Id="rId14" Type="http://schemas.openxmlformats.org/officeDocument/2006/relationships/hyperlink" Target="http://www.s-car.cz/" TargetMode="External"/><Relationship Id="rId22" Type="http://schemas.openxmlformats.org/officeDocument/2006/relationships/hyperlink" Target="https://automoc.e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tyinternety.cz/startupy/infografika-carsharing-hoppygo-loni-vyrostl-na-ctyrnasobek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inlord.cz/2017/04/fundlift-smilecar-lide-veri-leo-expressu/" TargetMode="External"/><Relationship Id="rId1" Type="http://schemas.openxmlformats.org/officeDocument/2006/relationships/hyperlink" Target="https://tyinternety.cz/startupy/infografika-tom-carsharing-ceske-republice/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yundai.cz/modely/kona-electric" TargetMode="External"/><Relationship Id="rId13" Type="http://schemas.openxmlformats.org/officeDocument/2006/relationships/hyperlink" Target="https://www.kia.com/cz/modely/soul-ev/objevte/" TargetMode="External"/><Relationship Id="rId18" Type="http://schemas.openxmlformats.org/officeDocument/2006/relationships/hyperlink" Target="https://pdf.sites.toyota.cz/cenik_corolla_sedan.pdf" TargetMode="External"/><Relationship Id="rId3" Type="http://schemas.openxmlformats.org/officeDocument/2006/relationships/hyperlink" Target="https://www.nissan.cz/vozidla/nova-vozidla/leaf.html" TargetMode="External"/><Relationship Id="rId21" Type="http://schemas.openxmlformats.org/officeDocument/2006/relationships/hyperlink" Target="https://pdf.sites.toyota.cz/cenik_prius_plug_in.pdf" TargetMode="External"/><Relationship Id="rId7" Type="http://schemas.openxmlformats.org/officeDocument/2006/relationships/hyperlink" Target="https://www.honda.cz/content/dam/local/czech-republic/cars/katalogy-ceniky/CZ%20cen%c3%adk%20CR-V%20MR19%2020190507.pdf" TargetMode="External"/><Relationship Id="rId12" Type="http://schemas.openxmlformats.org/officeDocument/2006/relationships/hyperlink" Target="https://www.volvocars.com/cz/vozy/modely/s90-hybrid" TargetMode="External"/><Relationship Id="rId17" Type="http://schemas.openxmlformats.org/officeDocument/2006/relationships/hyperlink" Target="https://pdf.sites.toyota.cz/cenik_camry.pdf" TargetMode="External"/><Relationship Id="rId25" Type="http://schemas.openxmlformats.org/officeDocument/2006/relationships/hyperlink" Target="https://www.volkswagen.cz/golf-gte" TargetMode="External"/><Relationship Id="rId2" Type="http://schemas.openxmlformats.org/officeDocument/2006/relationships/hyperlink" Target="https://www.renault.cz/vozy/nove-vozy/kangoo-ze.html" TargetMode="External"/><Relationship Id="rId16" Type="http://schemas.openxmlformats.org/officeDocument/2006/relationships/hyperlink" Target="https://pdf.sites.toyota.cz/cenik_chr.pdf" TargetMode="External"/><Relationship Id="rId20" Type="http://schemas.openxmlformats.org/officeDocument/2006/relationships/hyperlink" Target="https://pdf.sites.toyota.cz/cenik_rav4.pdf" TargetMode="External"/><Relationship Id="rId1" Type="http://schemas.openxmlformats.org/officeDocument/2006/relationships/hyperlink" Target="https://www.renault.cz/vozy/nove-vozy/zoe.html" TargetMode="External"/><Relationship Id="rId6" Type="http://schemas.openxmlformats.org/officeDocument/2006/relationships/hyperlink" Target="https://www.nissan.cz/vozidla/nova-vozidla/e-nv200-combi.html" TargetMode="External"/><Relationship Id="rId11" Type="http://schemas.openxmlformats.org/officeDocument/2006/relationships/hyperlink" Target="https://domansky.hyundai.cz/modely/ioniq-plug-in-hybrid" TargetMode="External"/><Relationship Id="rId24" Type="http://schemas.openxmlformats.org/officeDocument/2006/relationships/hyperlink" Target="https://www.volkswagen.cz/e-golf" TargetMode="External"/><Relationship Id="rId5" Type="http://schemas.openxmlformats.org/officeDocument/2006/relationships/hyperlink" Target="https://www.nissan.cz/vozidla/nova-vozidla/e-nv200-combi.html" TargetMode="External"/><Relationship Id="rId15" Type="http://schemas.openxmlformats.org/officeDocument/2006/relationships/hyperlink" Target="https://www.toyota-domansky.cz/cs/imported-article/yaris" TargetMode="External"/><Relationship Id="rId23" Type="http://schemas.openxmlformats.org/officeDocument/2006/relationships/hyperlink" Target="http://www.hybrid.cz/skoda-auto-predstavuje-elektromobil-citigo-iv-dojezd-265-km-wltp" TargetMode="External"/><Relationship Id="rId10" Type="http://schemas.openxmlformats.org/officeDocument/2006/relationships/hyperlink" Target="https://domansky.hyundai.cz/modely/ioniq-electric" TargetMode="External"/><Relationship Id="rId19" Type="http://schemas.openxmlformats.org/officeDocument/2006/relationships/hyperlink" Target="https://pdf.sites.toyota.cz/cenik_corolla_hatchback.pdf" TargetMode="External"/><Relationship Id="rId4" Type="http://schemas.openxmlformats.org/officeDocument/2006/relationships/hyperlink" Target="https://www.nissan.cz/vozidla/nova-vozidla/leaf.html" TargetMode="External"/><Relationship Id="rId9" Type="http://schemas.openxmlformats.org/officeDocument/2006/relationships/hyperlink" Target="https://domansky.hyundai.cz/modely/ioniq-hybrid" TargetMode="External"/><Relationship Id="rId14" Type="http://schemas.openxmlformats.org/officeDocument/2006/relationships/hyperlink" Target="https://www.kia.com/cz/modely/niro/objevte/" TargetMode="External"/><Relationship Id="rId22" Type="http://schemas.openxmlformats.org/officeDocument/2006/relationships/hyperlink" Target="https://www.ford.cz/content/dam/guxeu/cz/cs_cz/documents/pricelists/cars/PL-ford_mondeo_2019.pdf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rismo.cz/nabidky/prodej/lexus/ct/elegance-200h/18819" TargetMode="External"/><Relationship Id="rId18" Type="http://schemas.openxmlformats.org/officeDocument/2006/relationships/hyperlink" Target="https://www.carismo.cz/nabidky/prodej/hyundai/ioniq/phev-future-1-6-gdi-104-kw-hybrid/34618" TargetMode="External"/><Relationship Id="rId26" Type="http://schemas.openxmlformats.org/officeDocument/2006/relationships/hyperlink" Target="https://www.carismo.cz/nabidky/prodej/smart/fortwo/zakladni-electric-drive/41652" TargetMode="External"/><Relationship Id="rId3" Type="http://schemas.openxmlformats.org/officeDocument/2006/relationships/hyperlink" Target="https://www.carismo.cz/nabidky/prodej/toyota/yaris/live-1-5-vvt-i-hybrid-e-cvt/17121" TargetMode="External"/><Relationship Id="rId21" Type="http://schemas.openxmlformats.org/officeDocument/2006/relationships/hyperlink" Target="https://www.carismo.cz/nabidky/prodej/audi/a3/a3-40-e-tron-110-kw/14530" TargetMode="External"/><Relationship Id="rId34" Type="http://schemas.openxmlformats.org/officeDocument/2006/relationships/hyperlink" Target="https://www.carismo.cz/nabidky/prodej/hyundai/kona/future-ev-eco-39-2-kwh/29718" TargetMode="External"/><Relationship Id="rId7" Type="http://schemas.openxmlformats.org/officeDocument/2006/relationships/hyperlink" Target="https://www.carismo.cz/nabidky/prodej/mazda/3/seriove-provedeni-2-0-skyactiv-g-90-kw/29412" TargetMode="External"/><Relationship Id="rId12" Type="http://schemas.openxmlformats.org/officeDocument/2006/relationships/hyperlink" Target="https://www.carismo.cz/nabidky/prodej/toyota/prius/live-1-8-e-cvt/17060" TargetMode="External"/><Relationship Id="rId17" Type="http://schemas.openxmlformats.org/officeDocument/2006/relationships/hyperlink" Target="https://www.carismo.cz/nabidky/prodej/lexus/ux/comfort-top-250h-2wd/31236" TargetMode="External"/><Relationship Id="rId25" Type="http://schemas.openxmlformats.org/officeDocument/2006/relationships/hyperlink" Target="https://www.carismo.cz/nabidky/prodej/volkswagen/up/e-up-60-kw/22060" TargetMode="External"/><Relationship Id="rId33" Type="http://schemas.openxmlformats.org/officeDocument/2006/relationships/hyperlink" Target="https://www.carismo.cz/nabidky/prodej/kia/soul/premium-ac-elektromotor-81-kw/19381" TargetMode="External"/><Relationship Id="rId2" Type="http://schemas.openxmlformats.org/officeDocument/2006/relationships/hyperlink" Target="https://www.carismo.cz/nabidky/prodej/suzuki/swift/elegance-1-2-dualjet-svhs/16947" TargetMode="External"/><Relationship Id="rId16" Type="http://schemas.openxmlformats.org/officeDocument/2006/relationships/hyperlink" Target="https://www.carismo.cz/nabidky/prodej/toyota/rav4/active-2-5-hybrid-at/17092" TargetMode="External"/><Relationship Id="rId20" Type="http://schemas.openxmlformats.org/officeDocument/2006/relationships/hyperlink" Target="https://www.carismo.cz/nabidky/prodej/volkswagen/golf/gte-1-4-tsi-plug-in-hybrid/13551" TargetMode="External"/><Relationship Id="rId29" Type="http://schemas.openxmlformats.org/officeDocument/2006/relationships/hyperlink" Target="https://www.carismo.cz/nabidky/prodej/volkswagen/id/standardni-vybava-45-kwh/38952" TargetMode="External"/><Relationship Id="rId1" Type="http://schemas.openxmlformats.org/officeDocument/2006/relationships/hyperlink" Target="https://www.carismo.cz/" TargetMode="External"/><Relationship Id="rId6" Type="http://schemas.openxmlformats.org/officeDocument/2006/relationships/hyperlink" Target="https://www.carismo.cz/nabidky/prodej/mazda/3/seriove-provedeni-2-0-sky-g-90-kw/29402" TargetMode="External"/><Relationship Id="rId11" Type="http://schemas.openxmlformats.org/officeDocument/2006/relationships/hyperlink" Target="https://www.carismo.cz/nabidky/prodej/kia/niro/comfort-1-6-gdi-hev/19326" TargetMode="External"/><Relationship Id="rId24" Type="http://schemas.openxmlformats.org/officeDocument/2006/relationships/hyperlink" Target="https://www.carismo.cz/nabidky/prodej/land-rover/discovery/discovery-sport-2-0-d-110-kw-mhev-awd-at/42161" TargetMode="External"/><Relationship Id="rId32" Type="http://schemas.openxmlformats.org/officeDocument/2006/relationships/hyperlink" Target="https://www.carismo.cz/nabidky/prodej/hyundai/ioniq/future-ev/29736" TargetMode="External"/><Relationship Id="rId5" Type="http://schemas.openxmlformats.org/officeDocument/2006/relationships/hyperlink" Target="https://www.carismo.cz/nabidky/prodej/toyota/auris/active-trend-1-8-hybrid/16998" TargetMode="External"/><Relationship Id="rId15" Type="http://schemas.openxmlformats.org/officeDocument/2006/relationships/hyperlink" Target="https://www.carismo.cz/nabidky/prodej/honda/cr-v/elegance-2-0-i-vtec/17352" TargetMode="External"/><Relationship Id="rId23" Type="http://schemas.openxmlformats.org/officeDocument/2006/relationships/hyperlink" Target="https://www.carismo.cz/nabidky/prodej/volkswagen/passat/gte-1-4-tsi-plug-in-hybrid/13515" TargetMode="External"/><Relationship Id="rId28" Type="http://schemas.openxmlformats.org/officeDocument/2006/relationships/hyperlink" Target="https://www.carismo.cz/nabidky/prodej/renault/kangoo/2-mistny-33-kwh/31642" TargetMode="External"/><Relationship Id="rId10" Type="http://schemas.openxmlformats.org/officeDocument/2006/relationships/hyperlink" Target="https://www.carismo.cz/nabidky/prodej/toyota/c-hr/prime-1-8-hybrid/36262" TargetMode="External"/><Relationship Id="rId19" Type="http://schemas.openxmlformats.org/officeDocument/2006/relationships/hyperlink" Target="https://www.carismo.cz/nabidky/prodej/bmw/rada-2/seriove-provedeni-225xe-iperformance/15478" TargetMode="External"/><Relationship Id="rId31" Type="http://schemas.openxmlformats.org/officeDocument/2006/relationships/hyperlink" Target="https://www.carismo.cz/nabidky/prodej/volkswagen/golf/e-golf-100-kw/13526" TargetMode="External"/><Relationship Id="rId4" Type="http://schemas.openxmlformats.org/officeDocument/2006/relationships/hyperlink" Target="https://www.carismo.cz/nabidky/prodej/suzuki/baleno/elegance-1-2-dualjet-shvs/16940" TargetMode="External"/><Relationship Id="rId9" Type="http://schemas.openxmlformats.org/officeDocument/2006/relationships/hyperlink" Target="https://www.carismo.cz/nabidky/prodej/toyota/corolla/active-1-8-hybrid-72-kw-e-cvt/19496" TargetMode="External"/><Relationship Id="rId14" Type="http://schemas.openxmlformats.org/officeDocument/2006/relationships/hyperlink" Target="https://www.carismo.cz/nabidky/prodej/ford/mondeo/titanium-hev-2-0-hybrid/31095" TargetMode="External"/><Relationship Id="rId22" Type="http://schemas.openxmlformats.org/officeDocument/2006/relationships/hyperlink" Target="https://www.carismo.cz/nabidky/prodej/mini/countryman/cooper-s-cooper-s-e-all4/16492" TargetMode="External"/><Relationship Id="rId27" Type="http://schemas.openxmlformats.org/officeDocument/2006/relationships/hyperlink" Target="https://www.carismo.cz/nabidky/prodej/smart/forfour/eq-electric-drive/17305" TargetMode="External"/><Relationship Id="rId30" Type="http://schemas.openxmlformats.org/officeDocument/2006/relationships/hyperlink" Target="https://www.carismo.cz/nabidky/prodej/renault/zoe/life-r90/31702" TargetMode="External"/><Relationship Id="rId35" Type="http://schemas.openxmlformats.org/officeDocument/2006/relationships/hyperlink" Target="https://www.carismo.cz/nabidky/prodej/nissan/leaf/acenta-40-kwh/31284" TargetMode="External"/><Relationship Id="rId8" Type="http://schemas.openxmlformats.org/officeDocument/2006/relationships/hyperlink" Target="https://www.carismo.cz/nabidky/prodej/toyota/corolla/active-1-8-hybrid-72-kw-e-cvt/19484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iveto.cz/operativni-leasing/bmw/i3/i3-2013/125kw-125-kw-elektricky-zadni-automaticka-robotizovana/120-ah/1a330bf6/?palivo=electricity" TargetMode="External"/><Relationship Id="rId13" Type="http://schemas.openxmlformats.org/officeDocument/2006/relationships/hyperlink" Target="https://www.naoperak.cz/operativni-leasing/toyota-corolla-sd-1.8-hybrid-cvt-executive-vip" TargetMode="External"/><Relationship Id="rId3" Type="http://schemas.openxmlformats.org/officeDocument/2006/relationships/hyperlink" Target="https://www.olfincarshop.cz/detail/skoda/osobni/1539/ico/" TargetMode="External"/><Relationship Id="rId7" Type="http://schemas.openxmlformats.org/officeDocument/2006/relationships/hyperlink" Target="https://www.driveto.cz/operativni-leasing/volkswagen/golf/golf-vii-e-golf-2017/100kw-100-kw-elektricky-predni-automaticka-robotizovana/zakladni/ca2309cb/?radit-od=nejlevnejsi" TargetMode="External"/><Relationship Id="rId12" Type="http://schemas.openxmlformats.org/officeDocument/2006/relationships/hyperlink" Target="https://www.naoperak.cz/operativni-leasing/nissan-leaf-n-connecta-40-kwh-68168" TargetMode="External"/><Relationship Id="rId2" Type="http://schemas.openxmlformats.org/officeDocument/2006/relationships/hyperlink" Target="https://www.olfincarshop.cz/detail/skoda/osobni/1563/ico/" TargetMode="External"/><Relationship Id="rId16" Type="http://schemas.openxmlformats.org/officeDocument/2006/relationships/hyperlink" Target="https://www.driveto.cz/operativni-leasing/toyota/proace/proace-verso-2016/2-0-130-kw-naftovy-predni-automaticka-robotizovana/family-l2/ad8318821/" TargetMode="External"/><Relationship Id="rId1" Type="http://schemas.openxmlformats.org/officeDocument/2006/relationships/hyperlink" Target="https://www.olfincarshop.cz/detail/toyota/osobni/1609/ico/" TargetMode="External"/><Relationship Id="rId6" Type="http://schemas.openxmlformats.org/officeDocument/2006/relationships/hyperlink" Target="https://www.driveto.cz/operativni-leasing/kia/cee-d/ceed-2018/1-4-73-kw-benzinovy/cool/a14c08f7/?radit-od=nejlevnejsi" TargetMode="External"/><Relationship Id="rId11" Type="http://schemas.openxmlformats.org/officeDocument/2006/relationships/hyperlink" Target="https://www.naoperak.cz/operativni-leasing/bmw-i3-13996" TargetMode="External"/><Relationship Id="rId5" Type="http://schemas.openxmlformats.org/officeDocument/2006/relationships/hyperlink" Target="https://www.driveto.cz/operativni-leasing/hyundai/i30/i30-2017/1-4-73-kw-benzinovy-predni-manualni/trikolor-komfort/2fb7a4bf6/?radit-od=nejlevnejsi" TargetMode="External"/><Relationship Id="rId15" Type="http://schemas.openxmlformats.org/officeDocument/2006/relationships/hyperlink" Target="https://www.premobilita.cz/cs/elektromobily/leasing-elektromobilu/" TargetMode="External"/><Relationship Id="rId10" Type="http://schemas.openxmlformats.org/officeDocument/2006/relationships/hyperlink" Target="https://www.naoperak.cz/operativni-leasing/fiat-500e-elektromobil76261016f8e00998ae034b8735a3386a" TargetMode="External"/><Relationship Id="rId4" Type="http://schemas.openxmlformats.org/officeDocument/2006/relationships/hyperlink" Target="https://www.olfincarshop.cz/detail/volkswagen/uzitkove/122/ico/" TargetMode="External"/><Relationship Id="rId9" Type="http://schemas.openxmlformats.org/officeDocument/2006/relationships/hyperlink" Target="https://www.rl.cz/predmety-financovani/osobni-a-uzitkova-auta/" TargetMode="External"/><Relationship Id="rId14" Type="http://schemas.openxmlformats.org/officeDocument/2006/relationships/hyperlink" Target="https://www.naoperak.cz/operativni-leasing/toyota-corolla-sd-1.8-hybrid-cvt-executive-v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opLeftCell="A19" workbookViewId="0">
      <selection activeCell="F11" sqref="F11"/>
    </sheetView>
  </sheetViews>
  <sheetFormatPr defaultColWidth="12.59765625" defaultRowHeight="15" customHeight="1" x14ac:dyDescent="0.25"/>
  <cols>
    <col min="1" max="1" width="13.296875" customWidth="1"/>
    <col min="2" max="2" width="12.09765625" bestFit="1" customWidth="1"/>
    <col min="3" max="3" width="8" bestFit="1" customWidth="1"/>
    <col min="4" max="8" width="7.59765625" customWidth="1"/>
    <col min="9" max="9" width="12.59765625" customWidth="1"/>
    <col min="10" max="26" width="7.59765625" customWidth="1"/>
  </cols>
  <sheetData>
    <row r="1" spans="1:10" ht="14.25" customHeight="1" x14ac:dyDescent="0.3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397</v>
      </c>
    </row>
    <row r="2" spans="1:10" ht="14.25" customHeight="1" x14ac:dyDescent="0.3">
      <c r="A2" s="1" t="s">
        <v>8</v>
      </c>
      <c r="B2" s="1" t="s">
        <v>9</v>
      </c>
      <c r="C2" s="1">
        <v>710.79</v>
      </c>
      <c r="D2" s="1">
        <v>233</v>
      </c>
      <c r="E2" s="1" t="s">
        <v>10</v>
      </c>
      <c r="J2" s="1"/>
    </row>
    <row r="3" spans="1:10" ht="14.25" customHeight="1" x14ac:dyDescent="0.3">
      <c r="A3" s="1" t="s">
        <v>11</v>
      </c>
      <c r="B3" s="1" t="s">
        <v>12</v>
      </c>
      <c r="C3" s="1">
        <v>1381</v>
      </c>
      <c r="D3" s="1" t="s">
        <v>13</v>
      </c>
      <c r="E3" s="1" t="s">
        <v>10</v>
      </c>
      <c r="G3" s="1" t="s">
        <v>14</v>
      </c>
      <c r="H3" s="1">
        <v>14</v>
      </c>
      <c r="I3" s="2" t="s">
        <v>15</v>
      </c>
    </row>
    <row r="4" spans="1:10" ht="14.25" customHeight="1" x14ac:dyDescent="0.3">
      <c r="A4" s="1" t="s">
        <v>16</v>
      </c>
      <c r="B4" s="1" t="s">
        <v>12</v>
      </c>
      <c r="C4" s="1">
        <v>689</v>
      </c>
      <c r="E4" s="1" t="s">
        <v>10</v>
      </c>
      <c r="G4" s="1">
        <f>800*25.6</f>
        <v>20480</v>
      </c>
    </row>
    <row r="5" spans="1:10" ht="14.25" customHeight="1" x14ac:dyDescent="0.3">
      <c r="A5" s="1" t="s">
        <v>17</v>
      </c>
      <c r="B5" s="1" t="s">
        <v>12</v>
      </c>
      <c r="C5" s="1">
        <v>844</v>
      </c>
      <c r="E5" s="1" t="s">
        <v>10</v>
      </c>
      <c r="G5" s="1">
        <f>535*25.6</f>
        <v>13696</v>
      </c>
    </row>
    <row r="6" spans="1:10" ht="14.25" customHeight="1" x14ac:dyDescent="0.3">
      <c r="A6" s="1" t="s">
        <v>18</v>
      </c>
      <c r="B6" s="1" t="s">
        <v>12</v>
      </c>
      <c r="C6" s="1">
        <v>1197</v>
      </c>
      <c r="E6" s="1" t="s">
        <v>10</v>
      </c>
      <c r="G6" s="1">
        <v>25600</v>
      </c>
    </row>
    <row r="7" spans="1:10" ht="14.25" customHeight="1" x14ac:dyDescent="0.3">
      <c r="A7" s="1" t="s">
        <v>19</v>
      </c>
      <c r="B7" s="1" t="s">
        <v>12</v>
      </c>
      <c r="C7" s="1">
        <v>1303</v>
      </c>
      <c r="E7" s="1" t="s">
        <v>10</v>
      </c>
      <c r="G7" s="1">
        <v>10000</v>
      </c>
    </row>
    <row r="8" spans="1:10" ht="14.25" customHeight="1" x14ac:dyDescent="0.3">
      <c r="A8" s="1" t="s">
        <v>20</v>
      </c>
      <c r="B8" s="1" t="s">
        <v>12</v>
      </c>
      <c r="C8" s="1">
        <v>1772</v>
      </c>
      <c r="E8" s="1" t="s">
        <v>10</v>
      </c>
      <c r="G8" s="1" t="s">
        <v>21</v>
      </c>
    </row>
    <row r="9" spans="1:10" ht="14.25" customHeight="1" x14ac:dyDescent="0.3">
      <c r="A9" s="1" t="s">
        <v>22</v>
      </c>
      <c r="B9" s="1" t="s">
        <v>12</v>
      </c>
      <c r="C9" s="1">
        <v>2052</v>
      </c>
      <c r="E9" s="1" t="s">
        <v>10</v>
      </c>
      <c r="G9" s="1">
        <v>25000</v>
      </c>
    </row>
    <row r="10" spans="1:10" ht="14.25" customHeight="1" x14ac:dyDescent="0.3">
      <c r="A10" s="1" t="s">
        <v>23</v>
      </c>
      <c r="B10" s="1" t="s">
        <v>12</v>
      </c>
      <c r="C10" s="1">
        <v>2213</v>
      </c>
      <c r="E10" s="1" t="s">
        <v>10</v>
      </c>
      <c r="G10" s="1">
        <f>25.6*600</f>
        <v>15360</v>
      </c>
    </row>
    <row r="11" spans="1:10" ht="14.25" customHeight="1" x14ac:dyDescent="0.3">
      <c r="A11" s="1" t="s">
        <v>24</v>
      </c>
      <c r="B11" s="1" t="s">
        <v>12</v>
      </c>
      <c r="C11" s="1">
        <v>300</v>
      </c>
      <c r="D11" s="1">
        <v>54</v>
      </c>
      <c r="E11" s="1" t="s">
        <v>25</v>
      </c>
      <c r="F11" s="1" t="s">
        <v>25</v>
      </c>
      <c r="G11" s="1">
        <v>5000</v>
      </c>
      <c r="I11" s="2" t="s">
        <v>26</v>
      </c>
    </row>
    <row r="12" spans="1:10" ht="14.25" customHeight="1" x14ac:dyDescent="0.3">
      <c r="A12" s="1" t="s">
        <v>27</v>
      </c>
      <c r="B12" s="1" t="s">
        <v>12</v>
      </c>
      <c r="C12" s="1">
        <f>725*0.79</f>
        <v>572.75</v>
      </c>
      <c r="D12" s="1">
        <v>86</v>
      </c>
      <c r="E12" s="1" t="s">
        <v>25</v>
      </c>
      <c r="F12" s="1" t="s">
        <v>25</v>
      </c>
      <c r="G12" s="1" t="s">
        <v>28</v>
      </c>
      <c r="I12" s="2" t="s">
        <v>29</v>
      </c>
    </row>
    <row r="13" spans="1:10" ht="14.25" customHeight="1" x14ac:dyDescent="0.3">
      <c r="A13" s="1" t="s">
        <v>30</v>
      </c>
      <c r="B13" s="1" t="s">
        <v>12</v>
      </c>
      <c r="C13" s="1">
        <v>480</v>
      </c>
      <c r="D13" s="1">
        <v>5</v>
      </c>
      <c r="E13" s="1" t="s">
        <v>25</v>
      </c>
      <c r="F13" s="1" t="s">
        <v>25</v>
      </c>
      <c r="I13" s="2" t="s">
        <v>31</v>
      </c>
    </row>
    <row r="14" spans="1:10" ht="14.25" customHeight="1" x14ac:dyDescent="0.3">
      <c r="A14" s="1" t="s">
        <v>32</v>
      </c>
      <c r="B14" s="1" t="s">
        <v>33</v>
      </c>
      <c r="C14" s="1" t="s">
        <v>34</v>
      </c>
      <c r="E14" s="1" t="s">
        <v>25</v>
      </c>
      <c r="F14" s="1" t="s">
        <v>10</v>
      </c>
      <c r="G14" s="1" t="s">
        <v>35</v>
      </c>
      <c r="I14" s="2" t="s">
        <v>36</v>
      </c>
    </row>
    <row r="15" spans="1:10" ht="14.25" customHeight="1" x14ac:dyDescent="0.3">
      <c r="A15" s="1" t="s">
        <v>37</v>
      </c>
      <c r="B15" s="1" t="s">
        <v>38</v>
      </c>
      <c r="C15" s="1">
        <v>408</v>
      </c>
      <c r="D15" s="1" t="s">
        <v>39</v>
      </c>
      <c r="E15" s="1" t="s">
        <v>25</v>
      </c>
      <c r="F15" s="1" t="s">
        <v>10</v>
      </c>
      <c r="G15" s="1">
        <v>5000</v>
      </c>
      <c r="I15" s="2" t="s">
        <v>40</v>
      </c>
    </row>
    <row r="16" spans="1:10" ht="14.25" customHeight="1" x14ac:dyDescent="0.3">
      <c r="A16" s="1" t="s">
        <v>41</v>
      </c>
      <c r="B16" s="1" t="s">
        <v>38</v>
      </c>
      <c r="C16" s="1" t="s">
        <v>42</v>
      </c>
      <c r="E16" s="1" t="s">
        <v>25</v>
      </c>
      <c r="F16" s="1" t="s">
        <v>25</v>
      </c>
      <c r="G16" s="1" t="s">
        <v>43</v>
      </c>
      <c r="I16" s="2" t="s">
        <v>44</v>
      </c>
    </row>
    <row r="17" spans="1:10" ht="14.25" customHeight="1" x14ac:dyDescent="0.3">
      <c r="A17" s="1" t="s">
        <v>45</v>
      </c>
      <c r="B17" s="1" t="s">
        <v>12</v>
      </c>
      <c r="C17" s="1">
        <v>580</v>
      </c>
      <c r="D17" s="1">
        <v>12</v>
      </c>
      <c r="E17" s="1" t="s">
        <v>25</v>
      </c>
      <c r="F17" s="1" t="s">
        <v>25</v>
      </c>
      <c r="I17" s="2" t="s">
        <v>46</v>
      </c>
    </row>
    <row r="18" spans="1:10" ht="14.25" customHeight="1" x14ac:dyDescent="0.3">
      <c r="A18" s="1" t="s">
        <v>47</v>
      </c>
      <c r="B18" s="1" t="s">
        <v>12</v>
      </c>
      <c r="C18" s="1">
        <v>787</v>
      </c>
      <c r="D18" s="1">
        <v>5</v>
      </c>
      <c r="E18" s="1" t="s">
        <v>25</v>
      </c>
      <c r="F18" s="1" t="s">
        <v>25</v>
      </c>
      <c r="I18" s="2" t="s">
        <v>48</v>
      </c>
    </row>
    <row r="19" spans="1:10" ht="14.25" customHeight="1" x14ac:dyDescent="0.3">
      <c r="A19" s="1" t="s">
        <v>49</v>
      </c>
      <c r="B19" s="1" t="s">
        <v>12</v>
      </c>
      <c r="C19" s="1">
        <f>334*1.15</f>
        <v>384.09999999999997</v>
      </c>
      <c r="D19" s="1">
        <v>16</v>
      </c>
      <c r="E19" s="1" t="s">
        <v>25</v>
      </c>
      <c r="F19" s="1" t="s">
        <v>25</v>
      </c>
      <c r="I19" s="2" t="s">
        <v>50</v>
      </c>
    </row>
    <row r="20" spans="1:10" ht="14.25" customHeight="1" x14ac:dyDescent="0.3">
      <c r="A20" s="1" t="s">
        <v>51</v>
      </c>
      <c r="B20" s="1" t="s">
        <v>38</v>
      </c>
      <c r="C20" s="1">
        <v>400</v>
      </c>
      <c r="D20" s="1">
        <v>23</v>
      </c>
      <c r="E20" s="1" t="s">
        <v>10</v>
      </c>
      <c r="F20" s="1" t="s">
        <v>10</v>
      </c>
      <c r="I20" s="1" t="s">
        <v>52</v>
      </c>
      <c r="J20" s="2" t="s">
        <v>53</v>
      </c>
    </row>
    <row r="21" spans="1:10" ht="14.25" customHeight="1" x14ac:dyDescent="0.3">
      <c r="A21" s="1" t="s">
        <v>54</v>
      </c>
      <c r="B21" s="1" t="s">
        <v>12</v>
      </c>
      <c r="C21" s="1">
        <v>740</v>
      </c>
      <c r="D21" s="1">
        <v>12</v>
      </c>
      <c r="E21" s="1" t="s">
        <v>25</v>
      </c>
      <c r="F21" s="1" t="s">
        <v>25</v>
      </c>
      <c r="I21" s="2" t="s">
        <v>55</v>
      </c>
    </row>
    <row r="22" spans="1:10" ht="14.25" customHeight="1" x14ac:dyDescent="0.3">
      <c r="A22" s="1" t="s">
        <v>56</v>
      </c>
      <c r="B22" s="1" t="s">
        <v>12</v>
      </c>
      <c r="C22" s="1">
        <f>370*1.15</f>
        <v>425.49999999999994</v>
      </c>
      <c r="D22" s="1">
        <v>3</v>
      </c>
      <c r="E22" s="1" t="s">
        <v>25</v>
      </c>
      <c r="F22" s="1" t="s">
        <v>25</v>
      </c>
      <c r="I22" s="2" t="s">
        <v>57</v>
      </c>
    </row>
    <row r="23" spans="1:10" ht="14.25" customHeight="1" x14ac:dyDescent="0.3">
      <c r="A23" s="1" t="s">
        <v>58</v>
      </c>
      <c r="B23" s="1" t="s">
        <v>12</v>
      </c>
      <c r="C23" s="1">
        <v>850</v>
      </c>
      <c r="D23" s="1">
        <v>5</v>
      </c>
      <c r="E23" s="1" t="s">
        <v>25</v>
      </c>
      <c r="F23" s="1" t="s">
        <v>25</v>
      </c>
      <c r="G23" s="1">
        <v>5000</v>
      </c>
      <c r="I23" s="2" t="s">
        <v>59</v>
      </c>
    </row>
    <row r="24" spans="1:10" ht="14.25" customHeight="1" x14ac:dyDescent="0.3">
      <c r="A24" s="1" t="s">
        <v>60</v>
      </c>
      <c r="B24" s="1" t="s">
        <v>12</v>
      </c>
      <c r="C24" s="1">
        <v>899</v>
      </c>
      <c r="D24" s="1">
        <v>31</v>
      </c>
      <c r="E24" s="1" t="s">
        <v>25</v>
      </c>
      <c r="F24" s="1" t="s">
        <v>25</v>
      </c>
      <c r="I24" s="2" t="s">
        <v>61</v>
      </c>
    </row>
    <row r="25" spans="1:10" ht="14.25" customHeight="1" x14ac:dyDescent="0.3">
      <c r="A25" s="1" t="s">
        <v>62</v>
      </c>
      <c r="B25" s="1" t="s">
        <v>12</v>
      </c>
      <c r="C25" s="1">
        <v>900</v>
      </c>
      <c r="D25" s="1">
        <v>12</v>
      </c>
      <c r="E25" s="1" t="s">
        <v>25</v>
      </c>
      <c r="F25" s="1" t="s">
        <v>10</v>
      </c>
      <c r="I25" s="2" t="s">
        <v>63</v>
      </c>
    </row>
    <row r="26" spans="1:10" ht="14.25" customHeight="1" x14ac:dyDescent="0.3">
      <c r="A26" s="1" t="s">
        <v>64</v>
      </c>
      <c r="B26" s="1" t="s">
        <v>12</v>
      </c>
      <c r="C26" s="1">
        <v>1500</v>
      </c>
      <c r="D26" s="1">
        <v>32</v>
      </c>
      <c r="E26" s="1" t="s">
        <v>25</v>
      </c>
      <c r="F26" s="1" t="s">
        <v>25</v>
      </c>
      <c r="G26" s="1" t="s">
        <v>65</v>
      </c>
      <c r="I26" s="2" t="s">
        <v>66</v>
      </c>
    </row>
    <row r="27" spans="1:10" ht="14.25" customHeight="1" x14ac:dyDescent="0.3">
      <c r="A27" s="1" t="s">
        <v>67</v>
      </c>
      <c r="B27" s="1" t="s">
        <v>12</v>
      </c>
      <c r="C27" s="1">
        <v>970</v>
      </c>
      <c r="D27" s="1">
        <v>3</v>
      </c>
      <c r="E27" s="1" t="s">
        <v>25</v>
      </c>
      <c r="F27" s="1" t="s">
        <v>25</v>
      </c>
      <c r="I27" s="2" t="s">
        <v>68</v>
      </c>
    </row>
    <row r="28" spans="1:10" ht="14.25" customHeight="1" x14ac:dyDescent="0.3">
      <c r="A28" s="1" t="s">
        <v>69</v>
      </c>
      <c r="B28" s="1" t="s">
        <v>12</v>
      </c>
      <c r="C28" s="1">
        <v>822</v>
      </c>
      <c r="D28" s="1">
        <v>11</v>
      </c>
      <c r="E28" s="1" t="s">
        <v>25</v>
      </c>
      <c r="F28" s="1" t="s">
        <v>10</v>
      </c>
      <c r="I28" s="2" t="s">
        <v>70</v>
      </c>
    </row>
    <row r="29" spans="1:10" ht="14.25" customHeight="1" x14ac:dyDescent="0.3">
      <c r="A29" s="1" t="s">
        <v>71</v>
      </c>
      <c r="B29" s="1" t="s">
        <v>12</v>
      </c>
      <c r="C29" s="1">
        <v>770</v>
      </c>
      <c r="D29" s="1">
        <v>3</v>
      </c>
      <c r="E29" s="1" t="s">
        <v>25</v>
      </c>
      <c r="F29" s="1" t="s">
        <v>25</v>
      </c>
      <c r="I29" s="2" t="s">
        <v>72</v>
      </c>
    </row>
    <row r="30" spans="1:10" ht="14.25" customHeight="1" x14ac:dyDescent="0.3">
      <c r="A30" s="1" t="s">
        <v>73</v>
      </c>
      <c r="B30" s="1" t="s">
        <v>12</v>
      </c>
      <c r="C30" s="1">
        <v>990</v>
      </c>
      <c r="D30" s="1">
        <v>6</v>
      </c>
      <c r="E30" s="1" t="s">
        <v>25</v>
      </c>
      <c r="F30" s="1" t="s">
        <v>25</v>
      </c>
      <c r="G30" s="1">
        <v>7500</v>
      </c>
      <c r="I30" s="2" t="s">
        <v>74</v>
      </c>
    </row>
    <row r="31" spans="1:10" ht="14.25" customHeight="1" x14ac:dyDescent="0.3">
      <c r="A31" s="1" t="s">
        <v>75</v>
      </c>
      <c r="B31" s="1" t="s">
        <v>12</v>
      </c>
      <c r="C31" s="1">
        <v>490</v>
      </c>
      <c r="D31" s="1">
        <v>9</v>
      </c>
      <c r="E31" s="1" t="s">
        <v>25</v>
      </c>
      <c r="F31" s="1" t="s">
        <v>25</v>
      </c>
      <c r="I31" s="2" t="s">
        <v>76</v>
      </c>
    </row>
    <row r="32" spans="1:10" ht="14.25" customHeight="1" x14ac:dyDescent="0.3">
      <c r="A32" s="1" t="s">
        <v>77</v>
      </c>
      <c r="B32" s="1" t="s">
        <v>38</v>
      </c>
      <c r="C32" s="1">
        <v>790</v>
      </c>
      <c r="D32" s="1" t="s">
        <v>78</v>
      </c>
      <c r="E32" s="1" t="s">
        <v>10</v>
      </c>
      <c r="F32" s="1" t="s">
        <v>10</v>
      </c>
      <c r="G32" s="1">
        <v>0</v>
      </c>
      <c r="I32" s="2" t="s">
        <v>79</v>
      </c>
    </row>
    <row r="33" spans="1:1" ht="14.25" customHeight="1" x14ac:dyDescent="0.25"/>
    <row r="34" spans="1:1" ht="14.25" customHeight="1" x14ac:dyDescent="0.25"/>
    <row r="35" spans="1:1" ht="14.25" customHeight="1" x14ac:dyDescent="0.25">
      <c r="A35" s="36" t="s">
        <v>398</v>
      </c>
    </row>
    <row r="36" spans="1:1" ht="14.25" customHeight="1" x14ac:dyDescent="0.25">
      <c r="A36" s="2" t="s">
        <v>80</v>
      </c>
    </row>
    <row r="37" spans="1:1" ht="14.25" customHeight="1" x14ac:dyDescent="0.25"/>
    <row r="38" spans="1:1" ht="14.25" customHeight="1" x14ac:dyDescent="0.25"/>
    <row r="39" spans="1:1" ht="14.25" customHeight="1" x14ac:dyDescent="0.25"/>
    <row r="40" spans="1:1" ht="14.25" customHeight="1" x14ac:dyDescent="0.25"/>
    <row r="41" spans="1:1" ht="14.25" customHeight="1" x14ac:dyDescent="0.25"/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hyperlinks>
    <hyperlink ref="I3" r:id="rId1" xr:uid="{00000000-0004-0000-0000-000000000000}"/>
    <hyperlink ref="I11" r:id="rId2" xr:uid="{00000000-0004-0000-0000-000001000000}"/>
    <hyperlink ref="I12" r:id="rId3" xr:uid="{00000000-0004-0000-0000-000002000000}"/>
    <hyperlink ref="I13" r:id="rId4" xr:uid="{00000000-0004-0000-0000-000003000000}"/>
    <hyperlink ref="I14" r:id="rId5" xr:uid="{00000000-0004-0000-0000-000004000000}"/>
    <hyperlink ref="I15" r:id="rId6" xr:uid="{00000000-0004-0000-0000-000005000000}"/>
    <hyperlink ref="I16" r:id="rId7" xr:uid="{00000000-0004-0000-0000-000006000000}"/>
    <hyperlink ref="I17" r:id="rId8" xr:uid="{00000000-0004-0000-0000-000007000000}"/>
    <hyperlink ref="I18" r:id="rId9" xr:uid="{00000000-0004-0000-0000-000008000000}"/>
    <hyperlink ref="I19" r:id="rId10" xr:uid="{00000000-0004-0000-0000-000009000000}"/>
    <hyperlink ref="J20" r:id="rId11" xr:uid="{00000000-0004-0000-0000-00000A000000}"/>
    <hyperlink ref="I21" r:id="rId12" xr:uid="{00000000-0004-0000-0000-00000B000000}"/>
    <hyperlink ref="I22" r:id="rId13" xr:uid="{00000000-0004-0000-0000-00000C000000}"/>
    <hyperlink ref="I23" r:id="rId14" xr:uid="{00000000-0004-0000-0000-00000D000000}"/>
    <hyperlink ref="I24" r:id="rId15" xr:uid="{00000000-0004-0000-0000-00000E000000}"/>
    <hyperlink ref="I25" r:id="rId16" xr:uid="{00000000-0004-0000-0000-00000F000000}"/>
    <hyperlink ref="I26" r:id="rId17" xr:uid="{00000000-0004-0000-0000-000010000000}"/>
    <hyperlink ref="I27" r:id="rId18" xr:uid="{00000000-0004-0000-0000-000011000000}"/>
    <hyperlink ref="I28" r:id="rId19" xr:uid="{00000000-0004-0000-0000-000012000000}"/>
    <hyperlink ref="I29" r:id="rId20" xr:uid="{00000000-0004-0000-0000-000013000000}"/>
    <hyperlink ref="I30" r:id="rId21" xr:uid="{00000000-0004-0000-0000-000014000000}"/>
    <hyperlink ref="I31" r:id="rId22" xr:uid="{00000000-0004-0000-0000-000015000000}"/>
    <hyperlink ref="I32" r:id="rId23" xr:uid="{00000000-0004-0000-0000-000016000000}"/>
    <hyperlink ref="A36" r:id="rId24" xr:uid="{00000000-0004-0000-0000-000017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533A-9432-4194-96BF-82E20BE02FD9}">
  <dimension ref="A1:B5"/>
  <sheetViews>
    <sheetView workbookViewId="0">
      <selection activeCell="G11" sqref="G11"/>
    </sheetView>
  </sheetViews>
  <sheetFormatPr defaultRowHeight="13.8" x14ac:dyDescent="0.25"/>
  <cols>
    <col min="1" max="1" width="26.5" bestFit="1" customWidth="1"/>
    <col min="2" max="2" width="19" bestFit="1" customWidth="1"/>
  </cols>
  <sheetData>
    <row r="1" spans="1:2" ht="14.4" x14ac:dyDescent="0.3">
      <c r="A1" s="53" t="s">
        <v>420</v>
      </c>
      <c r="B1" s="57" t="s">
        <v>421</v>
      </c>
    </row>
    <row r="2" spans="1:2" ht="14.4" x14ac:dyDescent="0.3">
      <c r="A2" s="43" t="s">
        <v>422</v>
      </c>
      <c r="B2" s="59">
        <v>35000</v>
      </c>
    </row>
    <row r="3" spans="1:2" ht="14.4" x14ac:dyDescent="0.3">
      <c r="A3" s="43" t="s">
        <v>423</v>
      </c>
      <c r="B3" s="59">
        <v>23000</v>
      </c>
    </row>
    <row r="4" spans="1:2" ht="14.4" x14ac:dyDescent="0.3">
      <c r="A4" s="43" t="s">
        <v>424</v>
      </c>
      <c r="B4" s="59">
        <v>20000</v>
      </c>
    </row>
    <row r="5" spans="1:2" ht="15" thickBot="1" x14ac:dyDescent="0.35">
      <c r="A5" s="69" t="s">
        <v>425</v>
      </c>
      <c r="B5" s="146">
        <f>B2+B3*2+B4*2</f>
        <v>121000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00A6-D33D-44A8-B6A7-10B1C81C66E4}">
  <dimension ref="A1:M15"/>
  <sheetViews>
    <sheetView workbookViewId="0">
      <selection activeCell="E19" sqref="E19:F19"/>
    </sheetView>
  </sheetViews>
  <sheetFormatPr defaultRowHeight="13.8" x14ac:dyDescent="0.25"/>
  <cols>
    <col min="1" max="1" width="3.8984375" customWidth="1"/>
    <col min="2" max="2" width="16.69921875" bestFit="1" customWidth="1"/>
    <col min="3" max="3" width="16.3984375" bestFit="1" customWidth="1"/>
    <col min="4" max="4" width="16.59765625" bestFit="1" customWidth="1"/>
    <col min="5" max="5" width="26.796875" bestFit="1" customWidth="1"/>
    <col min="6" max="6" width="14.5" bestFit="1" customWidth="1"/>
    <col min="8" max="8" width="4.69921875" customWidth="1"/>
  </cols>
  <sheetData>
    <row r="1" spans="1:13" ht="14.4" thickBot="1" x14ac:dyDescent="0.3">
      <c r="A1" t="s">
        <v>436</v>
      </c>
    </row>
    <row r="2" spans="1:13" ht="14.4" x14ac:dyDescent="0.3">
      <c r="A2" s="53" t="s">
        <v>352</v>
      </c>
      <c r="B2" s="41" t="s">
        <v>426</v>
      </c>
      <c r="C2" s="41" t="s">
        <v>427</v>
      </c>
      <c r="D2" s="41" t="s">
        <v>428</v>
      </c>
      <c r="E2" s="41" t="s">
        <v>429</v>
      </c>
      <c r="F2" s="57" t="s">
        <v>430</v>
      </c>
      <c r="H2" s="53" t="s">
        <v>352</v>
      </c>
      <c r="I2" s="41" t="s">
        <v>426</v>
      </c>
      <c r="J2" s="41" t="s">
        <v>427</v>
      </c>
      <c r="K2" s="41" t="s">
        <v>428</v>
      </c>
      <c r="L2" s="41" t="s">
        <v>429</v>
      </c>
      <c r="M2" s="57" t="s">
        <v>430</v>
      </c>
    </row>
    <row r="3" spans="1:13" ht="14.4" x14ac:dyDescent="0.3">
      <c r="A3" s="43" t="s">
        <v>431</v>
      </c>
      <c r="B3" s="44">
        <v>451900</v>
      </c>
      <c r="C3" s="44">
        <v>0.2</v>
      </c>
      <c r="D3" s="112">
        <f>$B$3*C3</f>
        <v>90380</v>
      </c>
      <c r="E3" s="44">
        <f>D3</f>
        <v>90380</v>
      </c>
      <c r="F3" s="59">
        <f>B3-D3</f>
        <v>361520</v>
      </c>
      <c r="H3" s="43" t="s">
        <v>431</v>
      </c>
      <c r="I3" s="44">
        <v>451900</v>
      </c>
      <c r="J3" s="44">
        <v>0.25</v>
      </c>
      <c r="K3" s="112">
        <f>I3*J3</f>
        <v>112975</v>
      </c>
      <c r="L3" s="44">
        <f>K3</f>
        <v>112975</v>
      </c>
      <c r="M3" s="59">
        <f>I3-K3</f>
        <v>338925</v>
      </c>
    </row>
    <row r="4" spans="1:13" ht="14.4" x14ac:dyDescent="0.3">
      <c r="A4" s="43" t="s">
        <v>432</v>
      </c>
      <c r="B4" s="44">
        <f>F3</f>
        <v>361520</v>
      </c>
      <c r="C4" s="44">
        <v>0.2</v>
      </c>
      <c r="D4" s="112">
        <f>$B$3*C4</f>
        <v>90380</v>
      </c>
      <c r="E4" s="44">
        <f>E3+D4</f>
        <v>180760</v>
      </c>
      <c r="F4" s="59">
        <f>B4-D4</f>
        <v>271140</v>
      </c>
      <c r="H4" s="43" t="s">
        <v>432</v>
      </c>
      <c r="I4" s="44">
        <f>M3</f>
        <v>338925</v>
      </c>
      <c r="J4" s="44">
        <v>0.156</v>
      </c>
      <c r="K4" s="112">
        <f>I4*J4</f>
        <v>52872.3</v>
      </c>
      <c r="L4" s="44">
        <f>L3+K4</f>
        <v>165847.29999999999</v>
      </c>
      <c r="M4" s="59">
        <f>I4-K4</f>
        <v>286052.7</v>
      </c>
    </row>
    <row r="5" spans="1:13" ht="14.4" x14ac:dyDescent="0.3">
      <c r="A5" s="43" t="s">
        <v>433</v>
      </c>
      <c r="B5" s="44">
        <f t="shared" ref="B5:B7" si="0">F4</f>
        <v>271140</v>
      </c>
      <c r="C5" s="44">
        <v>0.2</v>
      </c>
      <c r="D5" s="112">
        <f>$B$3*C5</f>
        <v>90380</v>
      </c>
      <c r="E5" s="44">
        <f t="shared" ref="E5:E7" si="1">E4+D5</f>
        <v>271140</v>
      </c>
      <c r="F5" s="59">
        <f t="shared" ref="F5:F7" si="2">B5-D5</f>
        <v>180760</v>
      </c>
      <c r="H5" s="43" t="s">
        <v>433</v>
      </c>
      <c r="I5" s="44">
        <f t="shared" ref="I5:I7" si="3">M4</f>
        <v>286052.7</v>
      </c>
      <c r="J5" s="44">
        <v>0.156</v>
      </c>
      <c r="K5" s="112">
        <f t="shared" ref="K5:K7" si="4">I5*J5</f>
        <v>44624.2212</v>
      </c>
      <c r="L5" s="44">
        <f t="shared" ref="L5:L7" si="5">L4+K5</f>
        <v>210471.52119999999</v>
      </c>
      <c r="M5" s="59">
        <f t="shared" ref="M5:M7" si="6">I5-K5</f>
        <v>241428.47880000001</v>
      </c>
    </row>
    <row r="6" spans="1:13" ht="14.4" x14ac:dyDescent="0.3">
      <c r="A6" s="43" t="s">
        <v>434</v>
      </c>
      <c r="B6" s="44">
        <f t="shared" si="0"/>
        <v>180760</v>
      </c>
      <c r="C6" s="44">
        <v>0.2</v>
      </c>
      <c r="D6" s="112">
        <f>$B$3*C6</f>
        <v>90380</v>
      </c>
      <c r="E6" s="44">
        <f t="shared" si="1"/>
        <v>361520</v>
      </c>
      <c r="F6" s="59">
        <f t="shared" si="2"/>
        <v>90380</v>
      </c>
      <c r="H6" s="43" t="s">
        <v>434</v>
      </c>
      <c r="I6" s="44">
        <f t="shared" si="3"/>
        <v>241428.47880000001</v>
      </c>
      <c r="J6" s="44">
        <v>0.156</v>
      </c>
      <c r="K6" s="112">
        <f t="shared" si="4"/>
        <v>37662.842692800004</v>
      </c>
      <c r="L6" s="44">
        <f t="shared" si="5"/>
        <v>248134.3638928</v>
      </c>
      <c r="M6" s="59">
        <f t="shared" si="6"/>
        <v>203765.6361072</v>
      </c>
    </row>
    <row r="7" spans="1:13" ht="15" thickBot="1" x14ac:dyDescent="0.35">
      <c r="A7" s="47" t="s">
        <v>435</v>
      </c>
      <c r="B7" s="48">
        <f t="shared" si="0"/>
        <v>90380</v>
      </c>
      <c r="C7" s="48">
        <v>0.2</v>
      </c>
      <c r="D7" s="114">
        <f>$B$3*C7</f>
        <v>90380</v>
      </c>
      <c r="E7" s="48">
        <f t="shared" si="1"/>
        <v>451900</v>
      </c>
      <c r="F7" s="62">
        <f t="shared" si="2"/>
        <v>0</v>
      </c>
      <c r="H7" s="47" t="s">
        <v>435</v>
      </c>
      <c r="I7" s="48">
        <f t="shared" si="3"/>
        <v>203765.6361072</v>
      </c>
      <c r="J7" s="48">
        <v>0.156</v>
      </c>
      <c r="K7" s="114">
        <f t="shared" si="4"/>
        <v>31787.439232723202</v>
      </c>
      <c r="L7" s="48">
        <f t="shared" si="5"/>
        <v>279921.80312552321</v>
      </c>
      <c r="M7" s="62">
        <f t="shared" si="6"/>
        <v>171978.19687447679</v>
      </c>
    </row>
    <row r="9" spans="1:13" ht="14.4" thickBot="1" x14ac:dyDescent="0.3">
      <c r="A9" t="s">
        <v>212</v>
      </c>
    </row>
    <row r="10" spans="1:13" ht="14.4" x14ac:dyDescent="0.3">
      <c r="A10" s="53" t="s">
        <v>352</v>
      </c>
      <c r="B10" s="41" t="s">
        <v>426</v>
      </c>
      <c r="C10" s="41" t="s">
        <v>427</v>
      </c>
      <c r="D10" s="41" t="s">
        <v>428</v>
      </c>
      <c r="E10" s="41" t="s">
        <v>429</v>
      </c>
      <c r="F10" s="57" t="s">
        <v>430</v>
      </c>
      <c r="H10" s="53" t="s">
        <v>352</v>
      </c>
      <c r="I10" s="41" t="s">
        <v>426</v>
      </c>
      <c r="J10" s="41" t="s">
        <v>427</v>
      </c>
      <c r="K10" s="41" t="s">
        <v>428</v>
      </c>
      <c r="L10" s="41" t="s">
        <v>429</v>
      </c>
      <c r="M10" s="57" t="s">
        <v>430</v>
      </c>
    </row>
    <row r="11" spans="1:13" ht="14.4" x14ac:dyDescent="0.3">
      <c r="A11" s="43" t="s">
        <v>431</v>
      </c>
      <c r="B11" s="44">
        <v>380855</v>
      </c>
      <c r="C11" s="44">
        <v>0.2</v>
      </c>
      <c r="D11" s="112">
        <f>$B$11*C11</f>
        <v>76171</v>
      </c>
      <c r="E11" s="44">
        <f>D11</f>
        <v>76171</v>
      </c>
      <c r="F11" s="59">
        <f>B11-D11</f>
        <v>304684</v>
      </c>
      <c r="H11" s="43" t="s">
        <v>431</v>
      </c>
      <c r="I11" s="44">
        <v>380855</v>
      </c>
      <c r="J11" s="44">
        <v>0.25</v>
      </c>
      <c r="K11" s="112">
        <f>I11*J11</f>
        <v>95213.75</v>
      </c>
      <c r="L11" s="44">
        <f>K11</f>
        <v>95213.75</v>
      </c>
      <c r="M11" s="59">
        <f>I11-K11</f>
        <v>285641.25</v>
      </c>
    </row>
    <row r="12" spans="1:13" ht="14.4" x14ac:dyDescent="0.3">
      <c r="A12" s="43" t="s">
        <v>432</v>
      </c>
      <c r="B12" s="44">
        <f>F11</f>
        <v>304684</v>
      </c>
      <c r="C12" s="44">
        <v>0.2</v>
      </c>
      <c r="D12" s="112">
        <f>$B$11*C12</f>
        <v>76171</v>
      </c>
      <c r="E12" s="44">
        <f>E11+D12</f>
        <v>152342</v>
      </c>
      <c r="F12" s="59">
        <f>B12-D12</f>
        <v>228513</v>
      </c>
      <c r="H12" s="43" t="s">
        <v>432</v>
      </c>
      <c r="I12" s="44">
        <f>M11</f>
        <v>285641.25</v>
      </c>
      <c r="J12" s="44">
        <v>0.156</v>
      </c>
      <c r="K12" s="112">
        <f>I12*J12</f>
        <v>44560.035000000003</v>
      </c>
      <c r="L12" s="44">
        <f>L11+K12</f>
        <v>139773.785</v>
      </c>
      <c r="M12" s="59">
        <f>I12-K12</f>
        <v>241081.215</v>
      </c>
    </row>
    <row r="13" spans="1:13" ht="14.4" x14ac:dyDescent="0.3">
      <c r="A13" s="43" t="s">
        <v>433</v>
      </c>
      <c r="B13" s="44">
        <f t="shared" ref="B13:B15" si="7">F12</f>
        <v>228513</v>
      </c>
      <c r="C13" s="44">
        <v>0.2</v>
      </c>
      <c r="D13" s="112">
        <f>$B$11*C13</f>
        <v>76171</v>
      </c>
      <c r="E13" s="44">
        <f t="shared" ref="E13:E15" si="8">E12+D13</f>
        <v>228513</v>
      </c>
      <c r="F13" s="59">
        <f t="shared" ref="F13:F15" si="9">B13-D13</f>
        <v>152342</v>
      </c>
      <c r="H13" s="43" t="s">
        <v>433</v>
      </c>
      <c r="I13" s="44">
        <f t="shared" ref="I13:I15" si="10">M12</f>
        <v>241081.215</v>
      </c>
      <c r="J13" s="44">
        <v>0.156</v>
      </c>
      <c r="K13" s="112">
        <f t="shared" ref="K13:K15" si="11">I13*J13</f>
        <v>37608.669540000003</v>
      </c>
      <c r="L13" s="44">
        <f t="shared" ref="L13:L15" si="12">L12+K13</f>
        <v>177382.45454000001</v>
      </c>
      <c r="M13" s="59">
        <f t="shared" ref="M13:M15" si="13">I13-K13</f>
        <v>203472.54545999999</v>
      </c>
    </row>
    <row r="14" spans="1:13" ht="14.4" x14ac:dyDescent="0.3">
      <c r="A14" s="43" t="s">
        <v>434</v>
      </c>
      <c r="B14" s="44">
        <f t="shared" si="7"/>
        <v>152342</v>
      </c>
      <c r="C14" s="44">
        <v>0.2</v>
      </c>
      <c r="D14" s="112">
        <f>$B$11*C14</f>
        <v>76171</v>
      </c>
      <c r="E14" s="44">
        <f t="shared" si="8"/>
        <v>304684</v>
      </c>
      <c r="F14" s="59">
        <f t="shared" si="9"/>
        <v>76171</v>
      </c>
      <c r="H14" s="43" t="s">
        <v>434</v>
      </c>
      <c r="I14" s="44">
        <f t="shared" si="10"/>
        <v>203472.54545999999</v>
      </c>
      <c r="J14" s="44">
        <v>0.156</v>
      </c>
      <c r="K14" s="112">
        <f t="shared" si="11"/>
        <v>31741.717091759998</v>
      </c>
      <c r="L14" s="44">
        <f t="shared" si="12"/>
        <v>209124.17163175999</v>
      </c>
      <c r="M14" s="59">
        <f t="shared" si="13"/>
        <v>171730.82836824001</v>
      </c>
    </row>
    <row r="15" spans="1:13" ht="15" thickBot="1" x14ac:dyDescent="0.35">
      <c r="A15" s="47" t="s">
        <v>435</v>
      </c>
      <c r="B15" s="48">
        <f t="shared" si="7"/>
        <v>76171</v>
      </c>
      <c r="C15" s="48">
        <v>0.2</v>
      </c>
      <c r="D15" s="114">
        <f>$B$11*C15</f>
        <v>76171</v>
      </c>
      <c r="E15" s="48">
        <f t="shared" si="8"/>
        <v>380855</v>
      </c>
      <c r="F15" s="62">
        <f t="shared" si="9"/>
        <v>0</v>
      </c>
      <c r="H15" s="47" t="s">
        <v>435</v>
      </c>
      <c r="I15" s="48">
        <f t="shared" si="10"/>
        <v>171730.82836824001</v>
      </c>
      <c r="J15" s="48">
        <v>0.156</v>
      </c>
      <c r="K15" s="114">
        <f t="shared" si="11"/>
        <v>26790.009225445439</v>
      </c>
      <c r="L15" s="48">
        <f t="shared" si="12"/>
        <v>235914.18085720544</v>
      </c>
      <c r="M15" s="62">
        <f t="shared" si="13"/>
        <v>144940.81914279456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4750-480A-4F4A-ABE6-3A9CEA7DA310}">
  <dimension ref="A1:L26"/>
  <sheetViews>
    <sheetView workbookViewId="0">
      <selection activeCell="L8" sqref="L8"/>
    </sheetView>
  </sheetViews>
  <sheetFormatPr defaultRowHeight="13.8" x14ac:dyDescent="0.25"/>
  <cols>
    <col min="1" max="1" width="15.796875" bestFit="1" customWidth="1"/>
    <col min="2" max="2" width="9.5" bestFit="1" customWidth="1"/>
    <col min="3" max="5" width="8.8984375" bestFit="1" customWidth="1"/>
    <col min="6" max="6" width="9.5" bestFit="1" customWidth="1"/>
  </cols>
  <sheetData>
    <row r="1" spans="1:6" ht="14.4" thickBot="1" x14ac:dyDescent="0.3">
      <c r="A1" s="36" t="s">
        <v>451</v>
      </c>
    </row>
    <row r="2" spans="1:6" x14ac:dyDescent="0.25">
      <c r="A2" s="90"/>
      <c r="B2" s="56" t="s">
        <v>437</v>
      </c>
      <c r="C2" s="56" t="s">
        <v>438</v>
      </c>
      <c r="D2" s="56" t="s">
        <v>439</v>
      </c>
      <c r="E2" s="56" t="s">
        <v>440</v>
      </c>
      <c r="F2" s="54" t="s">
        <v>441</v>
      </c>
    </row>
    <row r="3" spans="1:6" x14ac:dyDescent="0.25">
      <c r="A3" s="60" t="s">
        <v>442</v>
      </c>
      <c r="B3" s="115">
        <v>400000</v>
      </c>
      <c r="C3" s="115">
        <f>B12</f>
        <v>819700</v>
      </c>
      <c r="D3" s="115">
        <f t="shared" ref="D3:F3" si="0">C12</f>
        <v>2097971</v>
      </c>
      <c r="E3" s="115">
        <f t="shared" si="0"/>
        <v>3671203.71</v>
      </c>
      <c r="F3" s="116">
        <f t="shared" si="0"/>
        <v>5251308.2512999997</v>
      </c>
    </row>
    <row r="4" spans="1:6" x14ac:dyDescent="0.25">
      <c r="A4" s="60" t="s">
        <v>360</v>
      </c>
      <c r="B4" s="115">
        <v>2737800</v>
      </c>
      <c r="C4" s="115">
        <v>3665914</v>
      </c>
      <c r="D4" s="115">
        <v>4032505</v>
      </c>
      <c r="E4" s="115">
        <v>4113155</v>
      </c>
      <c r="F4" s="116">
        <v>4195418</v>
      </c>
    </row>
    <row r="5" spans="1:6" x14ac:dyDescent="0.25">
      <c r="A5" s="60" t="s">
        <v>443</v>
      </c>
      <c r="B5" s="115">
        <v>2318100</v>
      </c>
      <c r="C5" s="115">
        <f>B5*1.03</f>
        <v>2387643</v>
      </c>
      <c r="D5" s="115">
        <f t="shared" ref="D5:F5" si="1">C5*1.03</f>
        <v>2459272.29</v>
      </c>
      <c r="E5" s="115">
        <f t="shared" si="1"/>
        <v>2533050.4587000003</v>
      </c>
      <c r="F5" s="116">
        <f t="shared" si="1"/>
        <v>2609041.9724610006</v>
      </c>
    </row>
    <row r="6" spans="1:6" x14ac:dyDescent="0.25">
      <c r="A6" s="60" t="s">
        <v>444</v>
      </c>
      <c r="B6" s="115">
        <f>B4-B5</f>
        <v>419700</v>
      </c>
      <c r="C6" s="115">
        <f t="shared" ref="C6:F6" si="2">C4-C5</f>
        <v>1278271</v>
      </c>
      <c r="D6" s="115">
        <f>D4-D5</f>
        <v>1573232.71</v>
      </c>
      <c r="E6" s="115">
        <f t="shared" si="2"/>
        <v>1580104.5412999997</v>
      </c>
      <c r="F6" s="116">
        <f t="shared" si="2"/>
        <v>1586376.0275389994</v>
      </c>
    </row>
    <row r="7" spans="1:6" x14ac:dyDescent="0.25">
      <c r="A7" s="60" t="s">
        <v>445</v>
      </c>
      <c r="B7" s="115">
        <v>1665516</v>
      </c>
      <c r="C7" s="115">
        <v>1665516</v>
      </c>
      <c r="D7" s="115">
        <v>1665516</v>
      </c>
      <c r="E7" s="115">
        <v>1665516</v>
      </c>
      <c r="F7" s="116">
        <v>1665516</v>
      </c>
    </row>
    <row r="8" spans="1:6" x14ac:dyDescent="0.25">
      <c r="A8" s="60" t="s">
        <v>446</v>
      </c>
      <c r="B8" s="115">
        <f>B6-B7</f>
        <v>-1245816</v>
      </c>
      <c r="C8" s="115">
        <f t="shared" ref="C8:F8" si="3">C6-C7</f>
        <v>-387245</v>
      </c>
      <c r="D8" s="115">
        <f t="shared" si="3"/>
        <v>-92283.290000000037</v>
      </c>
      <c r="E8" s="115">
        <f t="shared" si="3"/>
        <v>-85411.458700000308</v>
      </c>
      <c r="F8" s="116">
        <f t="shared" si="3"/>
        <v>-79139.972461000551</v>
      </c>
    </row>
    <row r="9" spans="1:6" x14ac:dyDescent="0.25">
      <c r="A9" s="60" t="s">
        <v>447</v>
      </c>
      <c r="B9" s="115">
        <f>IF(B8&gt;0,B8*0.19,0)</f>
        <v>0</v>
      </c>
      <c r="C9" s="115">
        <f>IF(C8&gt;0,C8*0.19,0)</f>
        <v>0</v>
      </c>
      <c r="D9" s="115">
        <f t="shared" ref="C9:F9" si="4">IF(D8&gt;0,D8*0.19,0)</f>
        <v>0</v>
      </c>
      <c r="E9" s="115">
        <f t="shared" si="4"/>
        <v>0</v>
      </c>
      <c r="F9" s="116">
        <f t="shared" si="4"/>
        <v>0</v>
      </c>
    </row>
    <row r="10" spans="1:6" x14ac:dyDescent="0.25">
      <c r="A10" s="60" t="s">
        <v>448</v>
      </c>
      <c r="B10" s="115">
        <f>B8-B9</f>
        <v>-1245816</v>
      </c>
      <c r="C10" s="115">
        <f t="shared" ref="C10:F10" si="5">C8-C9</f>
        <v>-387245</v>
      </c>
      <c r="D10" s="115">
        <f t="shared" si="5"/>
        <v>-92283.290000000037</v>
      </c>
      <c r="E10" s="115">
        <f t="shared" si="5"/>
        <v>-85411.458700000308</v>
      </c>
      <c r="F10" s="116">
        <f t="shared" si="5"/>
        <v>-79139.972461000551</v>
      </c>
    </row>
    <row r="11" spans="1:6" x14ac:dyDescent="0.25">
      <c r="A11" s="60" t="s">
        <v>449</v>
      </c>
      <c r="B11" s="115">
        <f>B6</f>
        <v>419700</v>
      </c>
      <c r="C11" s="115">
        <f t="shared" ref="C11:F11" si="6">C6</f>
        <v>1278271</v>
      </c>
      <c r="D11" s="115">
        <f t="shared" si="6"/>
        <v>1573232.71</v>
      </c>
      <c r="E11" s="115">
        <f t="shared" si="6"/>
        <v>1580104.5412999997</v>
      </c>
      <c r="F11" s="116">
        <f t="shared" si="6"/>
        <v>1586376.0275389994</v>
      </c>
    </row>
    <row r="12" spans="1:6" ht="14.4" thickBot="1" x14ac:dyDescent="0.3">
      <c r="A12" s="61" t="s">
        <v>450</v>
      </c>
      <c r="B12" s="120">
        <f>B11+B3</f>
        <v>819700</v>
      </c>
      <c r="C12" s="120">
        <f t="shared" ref="C12:F12" si="7">C11+C3</f>
        <v>2097971</v>
      </c>
      <c r="D12" s="120">
        <f t="shared" si="7"/>
        <v>3671203.71</v>
      </c>
      <c r="E12" s="120">
        <f t="shared" si="7"/>
        <v>5251308.2512999997</v>
      </c>
      <c r="F12" s="147">
        <f t="shared" si="7"/>
        <v>6837684.2788389996</v>
      </c>
    </row>
    <row r="14" spans="1:6" x14ac:dyDescent="0.25">
      <c r="C14" s="111"/>
    </row>
    <row r="15" spans="1:6" ht="14.4" thickBot="1" x14ac:dyDescent="0.3">
      <c r="A15" s="36" t="s">
        <v>452</v>
      </c>
    </row>
    <row r="16" spans="1:6" x14ac:dyDescent="0.25">
      <c r="A16" s="90"/>
      <c r="B16" s="123" t="s">
        <v>437</v>
      </c>
      <c r="C16" s="123" t="s">
        <v>438</v>
      </c>
      <c r="D16" s="123" t="s">
        <v>439</v>
      </c>
      <c r="E16" s="123" t="s">
        <v>440</v>
      </c>
      <c r="F16" s="148" t="s">
        <v>441</v>
      </c>
    </row>
    <row r="17" spans="1:12" ht="15.6" x14ac:dyDescent="0.3">
      <c r="A17" s="60" t="s">
        <v>442</v>
      </c>
      <c r="B17" s="115">
        <v>400000</v>
      </c>
      <c r="C17" s="115">
        <f>B26</f>
        <v>819700</v>
      </c>
      <c r="D17" s="115">
        <f t="shared" ref="D17:F17" si="8">C26</f>
        <v>2097971</v>
      </c>
      <c r="E17" s="115">
        <f t="shared" si="8"/>
        <v>3671203.71</v>
      </c>
      <c r="F17" s="116">
        <f t="shared" si="8"/>
        <v>5251308.2512999997</v>
      </c>
      <c r="L17" s="113"/>
    </row>
    <row r="18" spans="1:12" x14ac:dyDescent="0.25">
      <c r="A18" s="60" t="s">
        <v>360</v>
      </c>
      <c r="B18" s="115">
        <v>2737800</v>
      </c>
      <c r="C18" s="115">
        <v>3665914</v>
      </c>
      <c r="D18" s="115">
        <v>4032505</v>
      </c>
      <c r="E18" s="115">
        <v>4113155</v>
      </c>
      <c r="F18" s="116">
        <v>5873586</v>
      </c>
    </row>
    <row r="19" spans="1:12" x14ac:dyDescent="0.25">
      <c r="A19" s="60" t="s">
        <v>443</v>
      </c>
      <c r="B19" s="115">
        <v>2318100</v>
      </c>
      <c r="C19" s="115">
        <f>B19*1.03</f>
        <v>2387643</v>
      </c>
      <c r="D19" s="115">
        <f t="shared" ref="D19:F19" si="9">C19*1.03</f>
        <v>2459272.29</v>
      </c>
      <c r="E19" s="115">
        <f t="shared" si="9"/>
        <v>2533050.4587000003</v>
      </c>
      <c r="F19" s="116">
        <v>7128041</v>
      </c>
    </row>
    <row r="20" spans="1:12" x14ac:dyDescent="0.25">
      <c r="A20" s="60" t="s">
        <v>444</v>
      </c>
      <c r="B20" s="115">
        <f>B18-B19</f>
        <v>419700</v>
      </c>
      <c r="C20" s="115">
        <f t="shared" ref="C20" si="10">C18-C19</f>
        <v>1278271</v>
      </c>
      <c r="D20" s="115">
        <f>D18-D19</f>
        <v>1573232.71</v>
      </c>
      <c r="E20" s="115">
        <f t="shared" ref="E20" si="11">E18-E19</f>
        <v>1580104.5412999997</v>
      </c>
      <c r="F20" s="116">
        <f t="shared" ref="F20" si="12">F18-F19</f>
        <v>-1254455</v>
      </c>
    </row>
    <row r="21" spans="1:12" x14ac:dyDescent="0.25">
      <c r="A21" s="60" t="s">
        <v>445</v>
      </c>
      <c r="B21" s="115">
        <v>1665516</v>
      </c>
      <c r="C21" s="115">
        <v>1665516</v>
      </c>
      <c r="D21" s="115">
        <v>1665516</v>
      </c>
      <c r="E21" s="115">
        <v>1665516</v>
      </c>
      <c r="F21" s="116">
        <v>2569236</v>
      </c>
    </row>
    <row r="22" spans="1:12" x14ac:dyDescent="0.25">
      <c r="A22" s="60" t="s">
        <v>446</v>
      </c>
      <c r="B22" s="115">
        <f>B20-B21</f>
        <v>-1245816</v>
      </c>
      <c r="C22" s="115">
        <f t="shared" ref="C22" si="13">C20-C21</f>
        <v>-387245</v>
      </c>
      <c r="D22" s="115">
        <f t="shared" ref="D22" si="14">D20-D21</f>
        <v>-92283.290000000037</v>
      </c>
      <c r="E22" s="115">
        <f t="shared" ref="E22" si="15">E20-E21</f>
        <v>-85411.458700000308</v>
      </c>
      <c r="F22" s="116">
        <f t="shared" ref="F22" si="16">F20-F21</f>
        <v>-3823691</v>
      </c>
    </row>
    <row r="23" spans="1:12" x14ac:dyDescent="0.25">
      <c r="A23" s="60" t="s">
        <v>447</v>
      </c>
      <c r="B23" s="115">
        <f>IF(B22&gt;0,B22*0.19,0)</f>
        <v>0</v>
      </c>
      <c r="C23" s="115">
        <f>IF(C22&gt;0,C22*0.19,0)</f>
        <v>0</v>
      </c>
      <c r="D23" s="115">
        <f t="shared" ref="D23" si="17">IF(D22&gt;0,D22*0.19,0)</f>
        <v>0</v>
      </c>
      <c r="E23" s="115">
        <f t="shared" ref="E23" si="18">IF(E22&gt;0,E22*0.19,0)</f>
        <v>0</v>
      </c>
      <c r="F23" s="116">
        <f t="shared" ref="F23" si="19">IF(F22&gt;0,F22*0.19,0)</f>
        <v>0</v>
      </c>
    </row>
    <row r="24" spans="1:12" x14ac:dyDescent="0.25">
      <c r="A24" s="60" t="s">
        <v>448</v>
      </c>
      <c r="B24" s="115">
        <f>B22-B23</f>
        <v>-1245816</v>
      </c>
      <c r="C24" s="115">
        <f t="shared" ref="C24" si="20">C22-C23</f>
        <v>-387245</v>
      </c>
      <c r="D24" s="115">
        <f t="shared" ref="D24" si="21">D22-D23</f>
        <v>-92283.290000000037</v>
      </c>
      <c r="E24" s="115">
        <f t="shared" ref="E24" si="22">E22-E23</f>
        <v>-85411.458700000308</v>
      </c>
      <c r="F24" s="116">
        <f t="shared" ref="F24" si="23">F22-F23</f>
        <v>-3823691</v>
      </c>
    </row>
    <row r="25" spans="1:12" x14ac:dyDescent="0.25">
      <c r="A25" s="60" t="s">
        <v>449</v>
      </c>
      <c r="B25" s="115">
        <f>B20</f>
        <v>419700</v>
      </c>
      <c r="C25" s="115">
        <f t="shared" ref="C25:F25" si="24">C20</f>
        <v>1278271</v>
      </c>
      <c r="D25" s="115">
        <f t="shared" si="24"/>
        <v>1573232.71</v>
      </c>
      <c r="E25" s="115">
        <f t="shared" si="24"/>
        <v>1580104.5412999997</v>
      </c>
      <c r="F25" s="116">
        <f t="shared" si="24"/>
        <v>-1254455</v>
      </c>
    </row>
    <row r="26" spans="1:12" ht="14.4" thickBot="1" x14ac:dyDescent="0.3">
      <c r="A26" s="61" t="s">
        <v>450</v>
      </c>
      <c r="B26" s="120">
        <f>B25+B17</f>
        <v>819700</v>
      </c>
      <c r="C26" s="120">
        <f t="shared" ref="C26" si="25">C25+C17</f>
        <v>2097971</v>
      </c>
      <c r="D26" s="120">
        <f t="shared" ref="D26" si="26">D25+D17</f>
        <v>3671203.71</v>
      </c>
      <c r="E26" s="120">
        <f t="shared" ref="E26" si="27">E25+E17</f>
        <v>5251308.2512999997</v>
      </c>
      <c r="F26" s="147">
        <f t="shared" ref="F26" si="28">F25+F17</f>
        <v>3996853.2512999997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3FA3E-282D-4264-8EAB-CE1107AA50B2}">
  <dimension ref="A1:G11"/>
  <sheetViews>
    <sheetView workbookViewId="0">
      <selection activeCell="I9" sqref="I9"/>
    </sheetView>
  </sheetViews>
  <sheetFormatPr defaultRowHeight="13.8" x14ac:dyDescent="0.25"/>
  <cols>
    <col min="1" max="1" width="9.3984375" bestFit="1" customWidth="1"/>
    <col min="2" max="2" width="9.5" bestFit="1" customWidth="1"/>
    <col min="7" max="7" width="14.09765625" bestFit="1" customWidth="1"/>
  </cols>
  <sheetData>
    <row r="1" spans="1:7" ht="14.4" thickBot="1" x14ac:dyDescent="0.3">
      <c r="A1" s="36" t="s">
        <v>451</v>
      </c>
    </row>
    <row r="2" spans="1:7" x14ac:dyDescent="0.25">
      <c r="A2" s="90"/>
      <c r="B2" s="56" t="s">
        <v>453</v>
      </c>
      <c r="C2" s="56" t="s">
        <v>437</v>
      </c>
      <c r="D2" s="56" t="s">
        <v>438</v>
      </c>
      <c r="E2" s="56" t="s">
        <v>439</v>
      </c>
      <c r="F2" s="56" t="s">
        <v>440</v>
      </c>
      <c r="G2" s="54" t="s">
        <v>441</v>
      </c>
    </row>
    <row r="3" spans="1:7" x14ac:dyDescent="0.25">
      <c r="A3" s="60" t="s">
        <v>454</v>
      </c>
      <c r="B3" s="115">
        <v>-8902400</v>
      </c>
      <c r="C3" s="115">
        <v>419700</v>
      </c>
      <c r="D3" s="115">
        <v>1278271</v>
      </c>
      <c r="E3" s="115">
        <v>1573233</v>
      </c>
      <c r="F3" s="115">
        <v>1580105</v>
      </c>
      <c r="G3" s="116">
        <v>4755557</v>
      </c>
    </row>
    <row r="4" spans="1:7" x14ac:dyDescent="0.25">
      <c r="A4" s="149" t="s">
        <v>455</v>
      </c>
      <c r="B4" s="117">
        <v>3.8E-3</v>
      </c>
      <c r="C4" s="82"/>
      <c r="D4" s="82"/>
      <c r="E4" s="82"/>
      <c r="F4" s="118" t="s">
        <v>374</v>
      </c>
      <c r="G4" s="119">
        <f>NPV(B4,B3:G3)</f>
        <v>560163.63690104475</v>
      </c>
    </row>
    <row r="5" spans="1:7" ht="14.4" thickBot="1" x14ac:dyDescent="0.3">
      <c r="A5" s="61"/>
      <c r="B5" s="120"/>
      <c r="C5" s="84"/>
      <c r="D5" s="84"/>
      <c r="E5" s="84"/>
      <c r="F5" s="121" t="s">
        <v>375</v>
      </c>
      <c r="G5" s="122">
        <f>IRR(B3:G3)</f>
        <v>1.9624746459063314E-2</v>
      </c>
    </row>
    <row r="6" spans="1:7" x14ac:dyDescent="0.25">
      <c r="B6" s="111"/>
    </row>
    <row r="7" spans="1:7" ht="14.4" thickBot="1" x14ac:dyDescent="0.3">
      <c r="A7" s="36" t="s">
        <v>452</v>
      </c>
      <c r="B7" s="111"/>
    </row>
    <row r="8" spans="1:7" x14ac:dyDescent="0.25">
      <c r="A8" s="90"/>
      <c r="B8" s="123" t="s">
        <v>453</v>
      </c>
      <c r="C8" s="56" t="s">
        <v>437</v>
      </c>
      <c r="D8" s="56" t="s">
        <v>438</v>
      </c>
      <c r="E8" s="56" t="s">
        <v>439</v>
      </c>
      <c r="F8" s="56" t="s">
        <v>440</v>
      </c>
      <c r="G8" s="54" t="s">
        <v>441</v>
      </c>
    </row>
    <row r="9" spans="1:7" x14ac:dyDescent="0.25">
      <c r="A9" s="60" t="s">
        <v>454</v>
      </c>
      <c r="B9" s="115">
        <v>-8902400</v>
      </c>
      <c r="C9" s="115">
        <v>419700</v>
      </c>
      <c r="D9" s="115">
        <v>1278271</v>
      </c>
      <c r="E9" s="115">
        <v>1573233</v>
      </c>
      <c r="F9" s="115">
        <v>1580105</v>
      </c>
      <c r="G9" s="116">
        <v>5529924</v>
      </c>
    </row>
    <row r="10" spans="1:7" x14ac:dyDescent="0.25">
      <c r="A10" s="149" t="s">
        <v>455</v>
      </c>
      <c r="B10" s="117">
        <v>3.8E-3</v>
      </c>
      <c r="C10" s="82"/>
      <c r="D10" s="82"/>
      <c r="E10" s="82"/>
      <c r="F10" s="118" t="s">
        <v>374</v>
      </c>
      <c r="G10" s="119">
        <f>NPV(B10,B9:G9)</f>
        <v>1317107.5290415997</v>
      </c>
    </row>
    <row r="11" spans="1:7" ht="14.4" thickBot="1" x14ac:dyDescent="0.3">
      <c r="A11" s="61"/>
      <c r="B11" s="84"/>
      <c r="C11" s="84"/>
      <c r="D11" s="84"/>
      <c r="E11" s="84"/>
      <c r="F11" s="121" t="s">
        <v>375</v>
      </c>
      <c r="G11" s="122">
        <f>IRR(B9:G9)</f>
        <v>3.9333264939820811E-2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05EB7-861A-47DB-B45F-E240EA739FB3}">
  <dimension ref="A1:E3"/>
  <sheetViews>
    <sheetView workbookViewId="0">
      <selection activeCell="F8" sqref="F8"/>
    </sheetView>
  </sheetViews>
  <sheetFormatPr defaultRowHeight="13.8" x14ac:dyDescent="0.25"/>
  <cols>
    <col min="1" max="1" width="9.796875" bestFit="1" customWidth="1"/>
    <col min="2" max="2" width="15.69921875" bestFit="1" customWidth="1"/>
    <col min="3" max="3" width="16.19921875" bestFit="1" customWidth="1"/>
    <col min="4" max="4" width="11.296875" bestFit="1" customWidth="1"/>
  </cols>
  <sheetData>
    <row r="1" spans="1:5" x14ac:dyDescent="0.25">
      <c r="A1" s="90"/>
      <c r="B1" s="124" t="s">
        <v>456</v>
      </c>
      <c r="C1" s="124" t="s">
        <v>457</v>
      </c>
      <c r="D1" s="124" t="s">
        <v>458</v>
      </c>
      <c r="E1" s="125" t="s">
        <v>373</v>
      </c>
    </row>
    <row r="2" spans="1:5" x14ac:dyDescent="0.25">
      <c r="A2" s="67" t="s">
        <v>451</v>
      </c>
      <c r="B2" s="82">
        <v>8902400</v>
      </c>
      <c r="C2" s="126">
        <v>10006867</v>
      </c>
      <c r="D2" s="126">
        <f>C2-B2</f>
        <v>1104467</v>
      </c>
      <c r="E2" s="127">
        <f>D2/B2</f>
        <v>0.12406396028037384</v>
      </c>
    </row>
    <row r="3" spans="1:5" ht="14.4" thickBot="1" x14ac:dyDescent="0.3">
      <c r="A3" s="128" t="s">
        <v>452</v>
      </c>
      <c r="B3" s="84">
        <v>8902400</v>
      </c>
      <c r="C3" s="84">
        <v>11905104</v>
      </c>
      <c r="D3" s="129">
        <f>C3-B3</f>
        <v>3002704</v>
      </c>
      <c r="E3" s="130">
        <f>D3/B3</f>
        <v>0.33729151689432063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EBE06-A2FA-4556-A54D-5B81993C7231}">
  <dimension ref="A1:G14"/>
  <sheetViews>
    <sheetView tabSelected="1" workbookViewId="0">
      <selection activeCell="H6" sqref="H6"/>
    </sheetView>
  </sheetViews>
  <sheetFormatPr defaultRowHeight="13.8" x14ac:dyDescent="0.25"/>
  <cols>
    <col min="1" max="1" width="25.8984375" bestFit="1" customWidth="1"/>
    <col min="2" max="2" width="16.59765625" bestFit="1" customWidth="1"/>
    <col min="3" max="3" width="12.19921875" bestFit="1" customWidth="1"/>
    <col min="4" max="4" width="13.19921875" bestFit="1" customWidth="1"/>
    <col min="5" max="5" width="9.59765625" bestFit="1" customWidth="1"/>
    <col min="6" max="6" width="16.796875" bestFit="1" customWidth="1"/>
    <col min="7" max="7" width="10" bestFit="1" customWidth="1"/>
  </cols>
  <sheetData>
    <row r="1" spans="1:7" x14ac:dyDescent="0.25">
      <c r="A1" s="131" t="s">
        <v>0</v>
      </c>
      <c r="B1" s="124" t="s">
        <v>459</v>
      </c>
      <c r="C1" s="125" t="s">
        <v>460</v>
      </c>
    </row>
    <row r="2" spans="1:7" x14ac:dyDescent="0.25">
      <c r="A2" s="60" t="s">
        <v>385</v>
      </c>
      <c r="B2" s="82" t="s">
        <v>386</v>
      </c>
      <c r="C2" s="132">
        <v>1.65</v>
      </c>
    </row>
    <row r="3" spans="1:7" x14ac:dyDescent="0.25">
      <c r="A3" s="60" t="s">
        <v>387</v>
      </c>
      <c r="B3" s="82" t="s">
        <v>388</v>
      </c>
      <c r="C3" s="132">
        <v>1.88</v>
      </c>
    </row>
    <row r="4" spans="1:7" x14ac:dyDescent="0.25">
      <c r="A4" s="60" t="s">
        <v>389</v>
      </c>
      <c r="B4" s="82" t="s">
        <v>390</v>
      </c>
      <c r="C4" s="132">
        <v>1.88</v>
      </c>
    </row>
    <row r="5" spans="1:7" x14ac:dyDescent="0.25">
      <c r="A5" s="60" t="s">
        <v>391</v>
      </c>
      <c r="B5" s="82" t="s">
        <v>392</v>
      </c>
      <c r="C5" s="132">
        <v>2.4</v>
      </c>
    </row>
    <row r="6" spans="1:7" ht="14.4" thickBot="1" x14ac:dyDescent="0.3">
      <c r="A6" s="60" t="s">
        <v>393</v>
      </c>
      <c r="B6" s="82" t="s">
        <v>394</v>
      </c>
      <c r="C6" s="132">
        <v>2.4900000000000002</v>
      </c>
    </row>
    <row r="7" spans="1:7" ht="14.4" thickBot="1" x14ac:dyDescent="0.3">
      <c r="A7" s="61" t="s">
        <v>395</v>
      </c>
      <c r="B7" s="84" t="s">
        <v>396</v>
      </c>
      <c r="C7" s="133">
        <v>3.13</v>
      </c>
      <c r="D7" s="134">
        <f>AVERAGE(C2:C7)</f>
        <v>2.2383333333333333</v>
      </c>
      <c r="E7" s="135" t="s">
        <v>470</v>
      </c>
    </row>
    <row r="8" spans="1:7" ht="14.4" thickBot="1" x14ac:dyDescent="0.3"/>
    <row r="9" spans="1:7" x14ac:dyDescent="0.25">
      <c r="A9" s="131" t="s">
        <v>461</v>
      </c>
      <c r="B9" s="124" t="s">
        <v>462</v>
      </c>
      <c r="C9" s="124" t="s">
        <v>463</v>
      </c>
      <c r="D9" s="125" t="s">
        <v>464</v>
      </c>
    </row>
    <row r="10" spans="1:7" ht="14.4" thickBot="1" x14ac:dyDescent="0.3">
      <c r="A10" s="136">
        <v>1.26E-2</v>
      </c>
      <c r="B10" s="137">
        <v>9.1999999999999998E-2</v>
      </c>
      <c r="C10" s="138">
        <f>D7</f>
        <v>2.2383333333333333</v>
      </c>
      <c r="D10" s="139">
        <f>A10+C10*(B10-A10)</f>
        <v>0.19032366666666667</v>
      </c>
    </row>
    <row r="11" spans="1:7" ht="14.4" thickBot="1" x14ac:dyDescent="0.3"/>
    <row r="12" spans="1:7" x14ac:dyDescent="0.25">
      <c r="A12" s="90"/>
      <c r="B12" s="124" t="s">
        <v>464</v>
      </c>
      <c r="C12" s="124" t="s">
        <v>465</v>
      </c>
      <c r="D12" s="124" t="s">
        <v>466</v>
      </c>
      <c r="E12" s="124" t="s">
        <v>467</v>
      </c>
      <c r="F12" s="124" t="s">
        <v>468</v>
      </c>
      <c r="G12" s="125" t="s">
        <v>469</v>
      </c>
    </row>
    <row r="13" spans="1:7" x14ac:dyDescent="0.25">
      <c r="A13" s="67" t="s">
        <v>451</v>
      </c>
      <c r="B13" s="144">
        <f>D10</f>
        <v>0.19032366666666667</v>
      </c>
      <c r="C13" s="82">
        <v>10006867</v>
      </c>
      <c r="D13" s="82">
        <v>0</v>
      </c>
      <c r="E13" s="82">
        <v>8902400</v>
      </c>
      <c r="F13" s="140">
        <v>0.19</v>
      </c>
      <c r="G13" s="142">
        <f>C13/(C13+E13)*B13+E13/(C13+E13)*D13*F13</f>
        <v>0.1007201188330392</v>
      </c>
    </row>
    <row r="14" spans="1:7" ht="14.4" thickBot="1" x14ac:dyDescent="0.3">
      <c r="A14" s="128" t="s">
        <v>452</v>
      </c>
      <c r="B14" s="145">
        <f>D10</f>
        <v>0.19032366666666667</v>
      </c>
      <c r="C14" s="84">
        <v>11905104</v>
      </c>
      <c r="D14" s="84">
        <v>0</v>
      </c>
      <c r="E14" s="84">
        <v>8902400</v>
      </c>
      <c r="F14" s="141">
        <v>0.19</v>
      </c>
      <c r="G14" s="143">
        <f>C14/(C14+E14)*B14+E14/(C14+E14)*D14*F14</f>
        <v>0.10889451446593498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000"/>
  <sheetViews>
    <sheetView workbookViewId="0">
      <selection activeCell="P17" sqref="P17"/>
    </sheetView>
  </sheetViews>
  <sheetFormatPr defaultColWidth="12.59765625" defaultRowHeight="15" customHeight="1" x14ac:dyDescent="0.25"/>
  <cols>
    <col min="1" max="1" width="7.59765625" customWidth="1"/>
    <col min="2" max="2" width="20.296875" customWidth="1"/>
    <col min="3" max="5" width="7.59765625" customWidth="1"/>
    <col min="6" max="6" width="13.69921875" bestFit="1" customWidth="1"/>
    <col min="7" max="10" width="7.59765625" customWidth="1"/>
    <col min="11" max="11" width="3.296875" customWidth="1"/>
    <col min="12" max="12" width="7.59765625" customWidth="1"/>
    <col min="13" max="13" width="21.09765625" customWidth="1"/>
    <col min="14" max="14" width="6" customWidth="1"/>
    <col min="15" max="15" width="7.59765625" customWidth="1"/>
    <col min="16" max="16" width="25.59765625" bestFit="1" customWidth="1"/>
    <col min="17" max="17" width="7.59765625" customWidth="1"/>
    <col min="18" max="18" width="25.59765625" bestFit="1" customWidth="1"/>
    <col min="19" max="26" width="7.59765625" customWidth="1"/>
  </cols>
  <sheetData>
    <row r="1" spans="2:16" ht="14.25" customHeight="1" x14ac:dyDescent="0.3">
      <c r="B1" s="37" t="s">
        <v>399</v>
      </c>
      <c r="L1" s="1" t="s">
        <v>81</v>
      </c>
      <c r="M1" s="2" t="s">
        <v>82</v>
      </c>
    </row>
    <row r="2" spans="2:16" ht="14.25" customHeight="1" x14ac:dyDescent="0.3">
      <c r="F2" s="35" t="s">
        <v>400</v>
      </c>
      <c r="G2" s="35">
        <f>SUM(G4:G16)</f>
        <v>965</v>
      </c>
    </row>
    <row r="3" spans="2:16" ht="14.25" customHeight="1" thickBot="1" x14ac:dyDescent="0.3"/>
    <row r="4" spans="2:16" ht="14.25" customHeight="1" x14ac:dyDescent="0.3">
      <c r="B4" s="51" t="s">
        <v>402</v>
      </c>
      <c r="C4" s="41">
        <v>584</v>
      </c>
      <c r="D4" s="54"/>
      <c r="F4" s="51" t="s">
        <v>85</v>
      </c>
      <c r="G4" s="52">
        <v>584</v>
      </c>
      <c r="H4" s="40">
        <f>G4/$G$2</f>
        <v>0.60518134715025906</v>
      </c>
      <c r="I4" s="41" t="s">
        <v>85</v>
      </c>
      <c r="J4" s="42">
        <v>0.60518134715025906</v>
      </c>
      <c r="L4" s="70">
        <v>2017</v>
      </c>
      <c r="M4" s="71">
        <v>2018</v>
      </c>
      <c r="O4" s="38">
        <f>365*160/1500</f>
        <v>38.93333333333333</v>
      </c>
      <c r="P4" s="57" t="s">
        <v>87</v>
      </c>
    </row>
    <row r="5" spans="2:16" ht="14.25" customHeight="1" x14ac:dyDescent="0.3">
      <c r="B5" s="43" t="s">
        <v>5</v>
      </c>
      <c r="C5" s="44">
        <v>10</v>
      </c>
      <c r="D5" s="46">
        <f>C5/$C$4</f>
        <v>1.7123287671232876E-2</v>
      </c>
      <c r="F5" s="43" t="s">
        <v>88</v>
      </c>
      <c r="G5" s="44">
        <v>118</v>
      </c>
      <c r="H5" s="45">
        <f>G5/$G$2</f>
        <v>0.12227979274611399</v>
      </c>
      <c r="I5" s="44" t="s">
        <v>88</v>
      </c>
      <c r="J5" s="46">
        <v>0.12227979274611399</v>
      </c>
      <c r="L5" s="58" t="s">
        <v>403</v>
      </c>
      <c r="M5" s="59" t="s">
        <v>84</v>
      </c>
      <c r="O5" s="68">
        <f>10000000/700</f>
        <v>14285.714285714286</v>
      </c>
      <c r="P5" s="59" t="s">
        <v>93</v>
      </c>
    </row>
    <row r="6" spans="2:16" ht="14.25" customHeight="1" thickBot="1" x14ac:dyDescent="0.35">
      <c r="B6" s="43" t="s">
        <v>90</v>
      </c>
      <c r="C6" s="44">
        <v>550</v>
      </c>
      <c r="D6" s="46">
        <f>C6/$C$4</f>
        <v>0.94178082191780821</v>
      </c>
      <c r="F6" s="43" t="s">
        <v>91</v>
      </c>
      <c r="G6" s="44">
        <v>61</v>
      </c>
      <c r="H6" s="45">
        <f>G6/$G$2</f>
        <v>6.3212435233160627E-2</v>
      </c>
      <c r="I6" s="44" t="s">
        <v>91</v>
      </c>
      <c r="J6" s="46">
        <v>6.3212435233160627E-2</v>
      </c>
      <c r="L6" s="60"/>
      <c r="M6" s="59" t="s">
        <v>86</v>
      </c>
      <c r="O6" s="69">
        <f>68*365/1500</f>
        <v>16.546666666666667</v>
      </c>
      <c r="P6" s="62" t="s">
        <v>96</v>
      </c>
    </row>
    <row r="7" spans="2:16" ht="14.25" customHeight="1" thickBot="1" x14ac:dyDescent="0.35">
      <c r="B7" s="55" t="s">
        <v>401</v>
      </c>
      <c r="C7" s="48">
        <v>24</v>
      </c>
      <c r="D7" s="50">
        <f>C7/$C$4</f>
        <v>4.1095890410958902E-2</v>
      </c>
      <c r="F7" s="43" t="s">
        <v>94</v>
      </c>
      <c r="G7" s="44">
        <v>10</v>
      </c>
      <c r="H7" s="45">
        <f>G7/$G$2</f>
        <v>1.0362694300518135E-2</v>
      </c>
      <c r="I7" s="44" t="s">
        <v>94</v>
      </c>
      <c r="J7" s="46">
        <v>1.0362694300518135E-2</v>
      </c>
      <c r="L7" s="60"/>
      <c r="M7" s="59" t="s">
        <v>89</v>
      </c>
    </row>
    <row r="8" spans="2:16" ht="14.25" customHeight="1" x14ac:dyDescent="0.3">
      <c r="F8" s="43" t="s">
        <v>97</v>
      </c>
      <c r="G8" s="44">
        <v>27</v>
      </c>
      <c r="H8" s="45">
        <f>G8/$G$2</f>
        <v>2.7979274611398965E-2</v>
      </c>
      <c r="I8" s="44" t="s">
        <v>97</v>
      </c>
      <c r="J8" s="46">
        <v>2.7979274611398965E-2</v>
      </c>
      <c r="L8" s="60"/>
      <c r="M8" s="59" t="s">
        <v>92</v>
      </c>
    </row>
    <row r="9" spans="2:16" ht="14.25" customHeight="1" thickBot="1" x14ac:dyDescent="0.35">
      <c r="F9" s="43" t="s">
        <v>98</v>
      </c>
      <c r="G9" s="44">
        <v>9</v>
      </c>
      <c r="H9" s="45">
        <f>G9/$G$2</f>
        <v>9.3264248704663204E-3</v>
      </c>
      <c r="I9" s="44" t="s">
        <v>98</v>
      </c>
      <c r="J9" s="46">
        <v>9.3264248704663204E-3</v>
      </c>
      <c r="L9" s="61"/>
      <c r="M9" s="62" t="s">
        <v>95</v>
      </c>
    </row>
    <row r="10" spans="2:16" ht="14.25" customHeight="1" x14ac:dyDescent="0.3">
      <c r="B10" s="38" t="s">
        <v>99</v>
      </c>
      <c r="C10" s="56"/>
      <c r="D10" s="54"/>
      <c r="F10" s="43" t="s">
        <v>100</v>
      </c>
      <c r="G10" s="44">
        <v>6</v>
      </c>
      <c r="H10" s="45">
        <f>G10/$G$2</f>
        <v>6.2176165803108805E-3</v>
      </c>
      <c r="I10" s="44" t="s">
        <v>100</v>
      </c>
      <c r="J10" s="46">
        <v>6.2176165803108805E-3</v>
      </c>
    </row>
    <row r="11" spans="2:16" ht="14.25" customHeight="1" thickBot="1" x14ac:dyDescent="0.35">
      <c r="B11" s="43" t="s">
        <v>102</v>
      </c>
      <c r="C11" s="44">
        <v>141</v>
      </c>
      <c r="D11" s="46">
        <f>C11/$C$4</f>
        <v>0.24143835616438356</v>
      </c>
      <c r="F11" s="43" t="s">
        <v>103</v>
      </c>
      <c r="G11" s="44">
        <v>21</v>
      </c>
      <c r="H11" s="45">
        <f>G11/$G$2</f>
        <v>2.1761658031088083E-2</v>
      </c>
      <c r="I11" s="44" t="s">
        <v>103</v>
      </c>
      <c r="J11" s="46">
        <v>2.1761658031088083E-2</v>
      </c>
    </row>
    <row r="12" spans="2:16" ht="14.25" customHeight="1" x14ac:dyDescent="0.3">
      <c r="B12" s="43" t="s">
        <v>105</v>
      </c>
      <c r="C12" s="44">
        <v>52</v>
      </c>
      <c r="D12" s="46">
        <f>C12/$C$4</f>
        <v>8.9041095890410954E-2</v>
      </c>
      <c r="F12" s="43" t="s">
        <v>106</v>
      </c>
      <c r="G12" s="44">
        <v>38</v>
      </c>
      <c r="H12" s="45">
        <f>G12/$G$2</f>
        <v>3.9378238341968914E-2</v>
      </c>
      <c r="I12" s="44" t="s">
        <v>106</v>
      </c>
      <c r="J12" s="46">
        <v>3.9378238341968914E-2</v>
      </c>
      <c r="L12" s="64" t="s">
        <v>101</v>
      </c>
      <c r="M12" s="65"/>
    </row>
    <row r="13" spans="2:16" ht="14.25" customHeight="1" x14ac:dyDescent="0.3">
      <c r="B13" s="43" t="s">
        <v>108</v>
      </c>
      <c r="C13" s="44">
        <v>45</v>
      </c>
      <c r="D13" s="46">
        <f>C13/$C$4</f>
        <v>7.7054794520547948E-2</v>
      </c>
      <c r="F13" s="43" t="s">
        <v>109</v>
      </c>
      <c r="G13" s="44">
        <v>23</v>
      </c>
      <c r="H13" s="45">
        <f>G13/$G$2</f>
        <v>2.3834196891191709E-2</v>
      </c>
      <c r="I13" s="44" t="s">
        <v>109</v>
      </c>
      <c r="J13" s="46">
        <v>2.3834196891191709E-2</v>
      </c>
      <c r="L13" s="60"/>
      <c r="M13" s="59" t="s">
        <v>104</v>
      </c>
    </row>
    <row r="14" spans="2:16" ht="14.25" customHeight="1" x14ac:dyDescent="0.3">
      <c r="B14" s="43" t="s">
        <v>111</v>
      </c>
      <c r="C14" s="44">
        <v>15</v>
      </c>
      <c r="D14" s="46">
        <f>C14/$C$4</f>
        <v>2.5684931506849314E-2</v>
      </c>
      <c r="F14" s="43" t="s">
        <v>112</v>
      </c>
      <c r="G14" s="44">
        <v>18</v>
      </c>
      <c r="H14" s="45">
        <f>G14/$G$2</f>
        <v>1.8652849740932641E-2</v>
      </c>
      <c r="I14" s="44" t="s">
        <v>112</v>
      </c>
      <c r="J14" s="46">
        <v>1.8652849740932641E-2</v>
      </c>
      <c r="L14" s="60"/>
      <c r="M14" s="59" t="s">
        <v>107</v>
      </c>
    </row>
    <row r="15" spans="2:16" ht="14.25" customHeight="1" thickBot="1" x14ac:dyDescent="0.35">
      <c r="B15" s="43" t="s">
        <v>113</v>
      </c>
      <c r="C15" s="44">
        <v>40</v>
      </c>
      <c r="D15" s="46">
        <f>C15/$C$4</f>
        <v>6.8493150684931503E-2</v>
      </c>
      <c r="F15" s="43" t="s">
        <v>114</v>
      </c>
      <c r="G15" s="44">
        <v>21</v>
      </c>
      <c r="H15" s="45">
        <f>G15/$G$2</f>
        <v>2.1761658031088083E-2</v>
      </c>
      <c r="I15" s="44" t="s">
        <v>114</v>
      </c>
      <c r="J15" s="46">
        <v>2.1761658031088083E-2</v>
      </c>
      <c r="L15" s="61"/>
      <c r="M15" s="62" t="s">
        <v>110</v>
      </c>
    </row>
    <row r="16" spans="2:16" ht="14.25" customHeight="1" thickBot="1" x14ac:dyDescent="0.35">
      <c r="B16" s="47" t="s">
        <v>115</v>
      </c>
      <c r="C16" s="48">
        <v>26</v>
      </c>
      <c r="D16" s="50">
        <f>C16/$C$4</f>
        <v>4.4520547945205477E-2</v>
      </c>
      <c r="F16" s="47" t="s">
        <v>116</v>
      </c>
      <c r="G16" s="48">
        <v>29</v>
      </c>
      <c r="H16" s="49">
        <f>G16/$G$2</f>
        <v>3.0051813471502591E-2</v>
      </c>
      <c r="I16" s="48" t="s">
        <v>116</v>
      </c>
      <c r="J16" s="50">
        <v>3.0051813471502591E-2</v>
      </c>
    </row>
    <row r="17" spans="2:8" ht="14.25" customHeight="1" x14ac:dyDescent="0.25"/>
    <row r="18" spans="2:8" ht="14.25" customHeight="1" thickBot="1" x14ac:dyDescent="0.3"/>
    <row r="19" spans="2:8" ht="14.25" customHeight="1" thickBot="1" x14ac:dyDescent="0.35">
      <c r="B19" s="38" t="s">
        <v>117</v>
      </c>
      <c r="C19" s="56"/>
      <c r="D19" s="54"/>
    </row>
    <row r="20" spans="2:8" ht="14.25" customHeight="1" x14ac:dyDescent="0.3">
      <c r="B20" s="43" t="s">
        <v>118</v>
      </c>
      <c r="C20" s="44">
        <v>196</v>
      </c>
      <c r="D20" s="46">
        <f>C20/$C$4</f>
        <v>0.33561643835616439</v>
      </c>
      <c r="F20" s="53" t="s">
        <v>118</v>
      </c>
      <c r="G20" s="42">
        <v>0.33561643835616439</v>
      </c>
    </row>
    <row r="21" spans="2:8" ht="14.25" customHeight="1" x14ac:dyDescent="0.3">
      <c r="B21" s="43" t="s">
        <v>119</v>
      </c>
      <c r="C21" s="44">
        <v>191</v>
      </c>
      <c r="D21" s="46">
        <f>C21/$C$4</f>
        <v>0.32705479452054792</v>
      </c>
      <c r="F21" s="43" t="s">
        <v>119</v>
      </c>
      <c r="G21" s="46">
        <v>0.32705479452054792</v>
      </c>
    </row>
    <row r="22" spans="2:8" ht="14.25" customHeight="1" x14ac:dyDescent="0.3">
      <c r="B22" s="43" t="s">
        <v>120</v>
      </c>
      <c r="C22" s="44">
        <v>75</v>
      </c>
      <c r="D22" s="46">
        <f>C22/$C$4</f>
        <v>0.12842465753424659</v>
      </c>
      <c r="F22" s="43" t="s">
        <v>120</v>
      </c>
      <c r="G22" s="46">
        <v>0.12842465753424659</v>
      </c>
    </row>
    <row r="23" spans="2:8" ht="14.25" customHeight="1" thickBot="1" x14ac:dyDescent="0.35">
      <c r="B23" s="47" t="s">
        <v>121</v>
      </c>
      <c r="C23" s="48">
        <v>82</v>
      </c>
      <c r="D23" s="50">
        <f>C23/$C$4</f>
        <v>0.1404109589041096</v>
      </c>
      <c r="F23" s="47" t="s">
        <v>121</v>
      </c>
      <c r="G23" s="50">
        <v>0.1404109589041096</v>
      </c>
    </row>
    <row r="24" spans="2:8" ht="14.25" customHeight="1" x14ac:dyDescent="0.25"/>
    <row r="25" spans="2:8" ht="14.25" customHeight="1" thickBot="1" x14ac:dyDescent="0.3"/>
    <row r="26" spans="2:8" ht="14.25" customHeight="1" x14ac:dyDescent="0.3">
      <c r="B26" s="38" t="s">
        <v>122</v>
      </c>
      <c r="C26" s="56"/>
      <c r="D26" s="54"/>
      <c r="F26" s="53" t="s">
        <v>104</v>
      </c>
      <c r="G26" s="41">
        <v>46</v>
      </c>
      <c r="H26" s="42">
        <f>G26/$C$4</f>
        <v>7.8767123287671229E-2</v>
      </c>
    </row>
    <row r="27" spans="2:8" ht="14.25" customHeight="1" x14ac:dyDescent="0.3">
      <c r="B27" s="43" t="s">
        <v>123</v>
      </c>
      <c r="C27" s="44">
        <v>52</v>
      </c>
      <c r="D27" s="46">
        <f>C27/$C$4</f>
        <v>8.9041095890410954E-2</v>
      </c>
      <c r="F27" s="43" t="s">
        <v>107</v>
      </c>
      <c r="G27" s="44">
        <v>28</v>
      </c>
      <c r="H27" s="46">
        <f>G27/$C$4</f>
        <v>4.7945205479452052E-2</v>
      </c>
    </row>
    <row r="28" spans="2:8" ht="14.25" customHeight="1" thickBot="1" x14ac:dyDescent="0.35">
      <c r="B28" s="43" t="s">
        <v>124</v>
      </c>
      <c r="C28" s="44">
        <v>420</v>
      </c>
      <c r="D28" s="46">
        <f>C28/$C$4</f>
        <v>0.71917808219178081</v>
      </c>
      <c r="F28" s="47" t="s">
        <v>110</v>
      </c>
      <c r="G28" s="48">
        <v>10</v>
      </c>
      <c r="H28" s="50">
        <f>G28/$C$4</f>
        <v>1.7123287671232876E-2</v>
      </c>
    </row>
    <row r="29" spans="2:8" ht="14.25" customHeight="1" x14ac:dyDescent="0.3">
      <c r="B29" s="43" t="s">
        <v>125</v>
      </c>
      <c r="C29" s="44">
        <v>41</v>
      </c>
      <c r="D29" s="46">
        <f>C29/$C$4</f>
        <v>7.0205479452054798E-2</v>
      </c>
    </row>
    <row r="30" spans="2:8" ht="14.25" customHeight="1" thickBot="1" x14ac:dyDescent="0.35">
      <c r="B30" s="47" t="s">
        <v>126</v>
      </c>
      <c r="C30" s="48">
        <v>44</v>
      </c>
      <c r="D30" s="50">
        <f>C30/$C$4</f>
        <v>7.5342465753424653E-2</v>
      </c>
    </row>
    <row r="31" spans="2:8" ht="14.25" customHeight="1" x14ac:dyDescent="0.25"/>
    <row r="32" spans="2: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L12:M12"/>
  </mergeCells>
  <hyperlinks>
    <hyperlink ref="M1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1000"/>
  <sheetViews>
    <sheetView workbookViewId="0">
      <selection activeCell="H17" sqref="H17"/>
    </sheetView>
  </sheetViews>
  <sheetFormatPr defaultColWidth="12.59765625" defaultRowHeight="15" customHeight="1" x14ac:dyDescent="0.25"/>
  <cols>
    <col min="1" max="3" width="7.59765625" customWidth="1"/>
    <col min="4" max="4" width="3.3984375" customWidth="1"/>
    <col min="5" max="6" width="7.59765625" customWidth="1"/>
    <col min="7" max="7" width="2.796875" customWidth="1"/>
    <col min="8" max="8" width="28.09765625" bestFit="1" customWidth="1"/>
    <col min="9" max="26" width="7.59765625" customWidth="1"/>
  </cols>
  <sheetData>
    <row r="1" spans="2:21" ht="14.25" customHeight="1" x14ac:dyDescent="0.25">
      <c r="B1" s="2" t="s">
        <v>127</v>
      </c>
    </row>
    <row r="2" spans="2:21" ht="14.25" customHeight="1" x14ac:dyDescent="0.25">
      <c r="B2" s="2" t="s">
        <v>128</v>
      </c>
    </row>
    <row r="3" spans="2:21" ht="14.25" customHeight="1" x14ac:dyDescent="0.25"/>
    <row r="4" spans="2:21" ht="14.25" customHeight="1" x14ac:dyDescent="0.25"/>
    <row r="5" spans="2:21" ht="14.25" customHeight="1" thickBot="1" x14ac:dyDescent="0.3"/>
    <row r="6" spans="2:21" ht="14.25" customHeight="1" x14ac:dyDescent="0.3">
      <c r="B6" s="38" t="s">
        <v>129</v>
      </c>
      <c r="C6" s="74"/>
      <c r="E6" s="38" t="s">
        <v>130</v>
      </c>
      <c r="F6" s="54"/>
      <c r="H6" s="78" t="s">
        <v>404</v>
      </c>
    </row>
    <row r="7" spans="2:21" ht="14.25" customHeight="1" thickBot="1" x14ac:dyDescent="0.35">
      <c r="B7" s="58" t="s">
        <v>131</v>
      </c>
      <c r="C7" s="75">
        <v>0.27500000000000002</v>
      </c>
      <c r="E7" s="43" t="s">
        <v>132</v>
      </c>
      <c r="F7" s="72">
        <v>0.1045</v>
      </c>
      <c r="H7" s="77">
        <v>745064</v>
      </c>
    </row>
    <row r="8" spans="2:21" ht="14.25" customHeight="1" thickBot="1" x14ac:dyDescent="0.35">
      <c r="B8" s="58" t="s">
        <v>133</v>
      </c>
      <c r="C8" s="75">
        <v>0.434</v>
      </c>
      <c r="E8" s="47" t="s">
        <v>134</v>
      </c>
      <c r="F8" s="73">
        <v>0.89549999999999996</v>
      </c>
    </row>
    <row r="9" spans="2:21" ht="14.25" customHeight="1" x14ac:dyDescent="0.3">
      <c r="B9" s="58" t="s">
        <v>135</v>
      </c>
      <c r="C9" s="75">
        <v>0.19700000000000001</v>
      </c>
    </row>
    <row r="10" spans="2:21" ht="14.25" customHeight="1" x14ac:dyDescent="0.3">
      <c r="B10" s="58" t="s">
        <v>136</v>
      </c>
      <c r="C10" s="75">
        <v>6.9000000000000006E-2</v>
      </c>
    </row>
    <row r="11" spans="2:21" ht="14.25" customHeight="1" thickBot="1" x14ac:dyDescent="0.35">
      <c r="B11" s="55" t="s">
        <v>137</v>
      </c>
      <c r="C11" s="76">
        <v>2.5000000000000001E-2</v>
      </c>
    </row>
    <row r="12" spans="2:21" ht="14.25" customHeight="1" x14ac:dyDescent="0.25"/>
    <row r="13" spans="2:21" ht="14.25" customHeight="1" x14ac:dyDescent="0.25">
      <c r="U13" s="34"/>
    </row>
    <row r="14" spans="2:21" ht="14.25" customHeight="1" x14ac:dyDescent="0.25">
      <c r="S14" s="34"/>
    </row>
    <row r="15" spans="2:21" ht="14.25" customHeight="1" x14ac:dyDescent="0.25">
      <c r="S15" s="34"/>
    </row>
    <row r="16" spans="2:21" ht="14.25" customHeight="1" x14ac:dyDescent="0.25"/>
    <row r="17" spans="19:19" ht="14.25" customHeight="1" x14ac:dyDescent="0.25">
      <c r="S17" s="34"/>
    </row>
    <row r="18" spans="19:19" ht="14.25" customHeight="1" x14ac:dyDescent="0.25">
      <c r="S18" s="34"/>
    </row>
    <row r="19" spans="19:19" ht="14.25" customHeight="1" x14ac:dyDescent="0.25">
      <c r="S19" s="34"/>
    </row>
    <row r="20" spans="19:19" ht="14.25" customHeight="1" x14ac:dyDescent="0.25">
      <c r="S20" s="34"/>
    </row>
    <row r="21" spans="19:19" ht="14.25" customHeight="1" x14ac:dyDescent="0.25">
      <c r="S21" s="34"/>
    </row>
    <row r="22" spans="19:19" ht="14.25" customHeight="1" x14ac:dyDescent="0.25">
      <c r="S22" s="34"/>
    </row>
    <row r="23" spans="19:19" ht="14.25" customHeight="1" x14ac:dyDescent="0.25">
      <c r="S23" s="34"/>
    </row>
    <row r="24" spans="19:19" ht="14.25" customHeight="1" x14ac:dyDescent="0.25">
      <c r="S24" s="34"/>
    </row>
    <row r="25" spans="19:19" ht="14.25" customHeight="1" x14ac:dyDescent="0.25">
      <c r="S25" s="34"/>
    </row>
    <row r="26" spans="19:19" ht="14.25" customHeight="1" x14ac:dyDescent="0.25"/>
    <row r="27" spans="19:19" ht="14.25" customHeight="1" x14ac:dyDescent="0.25"/>
    <row r="28" spans="19:19" ht="14.25" customHeight="1" x14ac:dyDescent="0.25"/>
    <row r="29" spans="19:19" ht="14.25" customHeight="1" x14ac:dyDescent="0.25"/>
    <row r="30" spans="19:19" ht="14.25" customHeight="1" x14ac:dyDescent="0.25"/>
    <row r="31" spans="19:19" ht="14.25" customHeight="1" x14ac:dyDescent="0.25"/>
    <row r="32" spans="19:19" ht="14.25" customHeight="1" x14ac:dyDescent="0.25"/>
    <row r="33" spans="7:9" ht="14.25" customHeight="1" x14ac:dyDescent="0.25"/>
    <row r="34" spans="7:9" ht="14.25" customHeight="1" x14ac:dyDescent="0.25"/>
    <row r="35" spans="7:9" ht="14.25" customHeight="1" x14ac:dyDescent="0.25"/>
    <row r="36" spans="7:9" ht="14.25" customHeight="1" x14ac:dyDescent="0.25"/>
    <row r="37" spans="7:9" ht="14.25" customHeight="1" x14ac:dyDescent="0.25"/>
    <row r="38" spans="7:9" ht="14.25" customHeight="1" x14ac:dyDescent="0.25"/>
    <row r="39" spans="7:9" ht="14.25" customHeight="1" x14ac:dyDescent="0.25"/>
    <row r="40" spans="7:9" ht="14.25" customHeight="1" x14ac:dyDescent="0.25"/>
    <row r="41" spans="7:9" ht="14.25" customHeight="1" x14ac:dyDescent="0.25"/>
    <row r="42" spans="7:9" ht="14.25" customHeight="1" x14ac:dyDescent="0.25"/>
    <row r="43" spans="7:9" ht="14.25" customHeight="1" x14ac:dyDescent="0.25">
      <c r="G43" t="s">
        <v>376</v>
      </c>
    </row>
    <row r="44" spans="7:9" ht="14.25" customHeight="1" x14ac:dyDescent="0.25">
      <c r="G44" t="s">
        <v>377</v>
      </c>
      <c r="H44" t="s">
        <v>378</v>
      </c>
      <c r="I44" s="32">
        <v>43952</v>
      </c>
    </row>
    <row r="45" spans="7:9" ht="14.25" customHeight="1" x14ac:dyDescent="0.25">
      <c r="G45" t="s">
        <v>379</v>
      </c>
      <c r="H45" t="s">
        <v>380</v>
      </c>
      <c r="I45" s="32">
        <v>44105</v>
      </c>
    </row>
    <row r="46" spans="7:9" ht="14.25" customHeight="1" x14ac:dyDescent="0.25">
      <c r="G46" t="s">
        <v>381</v>
      </c>
      <c r="H46" t="s">
        <v>382</v>
      </c>
      <c r="I46" s="33">
        <v>44197</v>
      </c>
    </row>
    <row r="47" spans="7:9" ht="14.25" customHeight="1" x14ac:dyDescent="0.25">
      <c r="G47" t="s">
        <v>383</v>
      </c>
      <c r="H47" t="s">
        <v>384</v>
      </c>
      <c r="I47" s="33">
        <v>44927</v>
      </c>
    </row>
    <row r="48" spans="7:9" ht="14.25" customHeight="1" x14ac:dyDescent="0.25">
      <c r="G48" t="s">
        <v>385</v>
      </c>
      <c r="H48" t="s">
        <v>386</v>
      </c>
      <c r="I48" s="33">
        <v>25934</v>
      </c>
    </row>
    <row r="49" spans="7:9" ht="14.25" customHeight="1" x14ac:dyDescent="0.25">
      <c r="G49" t="s">
        <v>387</v>
      </c>
      <c r="H49" t="s">
        <v>388</v>
      </c>
      <c r="I49" s="33">
        <v>33239</v>
      </c>
    </row>
    <row r="50" spans="7:9" ht="14.25" customHeight="1" x14ac:dyDescent="0.25">
      <c r="G50" t="s">
        <v>389</v>
      </c>
      <c r="H50" t="s">
        <v>390</v>
      </c>
      <c r="I50" s="33">
        <v>36161</v>
      </c>
    </row>
    <row r="51" spans="7:9" ht="14.25" customHeight="1" x14ac:dyDescent="0.25">
      <c r="G51" t="s">
        <v>391</v>
      </c>
      <c r="H51" t="s">
        <v>392</v>
      </c>
      <c r="I51" s="33">
        <v>14642</v>
      </c>
    </row>
    <row r="52" spans="7:9" ht="14.25" customHeight="1" x14ac:dyDescent="0.25">
      <c r="G52" t="s">
        <v>393</v>
      </c>
      <c r="H52" t="s">
        <v>394</v>
      </c>
      <c r="I52" s="33">
        <v>17930</v>
      </c>
    </row>
    <row r="53" spans="7:9" ht="14.25" customHeight="1" x14ac:dyDescent="0.25">
      <c r="G53" t="s">
        <v>395</v>
      </c>
      <c r="H53" t="s">
        <v>396</v>
      </c>
      <c r="I53" s="32">
        <v>43833</v>
      </c>
    </row>
    <row r="54" spans="7:9" ht="14.25" customHeight="1" x14ac:dyDescent="0.25"/>
    <row r="55" spans="7:9" ht="14.25" customHeight="1" x14ac:dyDescent="0.25"/>
    <row r="56" spans="7:9" ht="14.25" customHeight="1" x14ac:dyDescent="0.25"/>
    <row r="57" spans="7:9" ht="14.25" customHeight="1" x14ac:dyDescent="0.25"/>
    <row r="58" spans="7:9" ht="14.25" customHeight="1" x14ac:dyDescent="0.25"/>
    <row r="59" spans="7:9" ht="14.25" customHeight="1" x14ac:dyDescent="0.25"/>
    <row r="60" spans="7:9" ht="14.25" customHeight="1" x14ac:dyDescent="0.25"/>
    <row r="61" spans="7:9" ht="14.25" customHeight="1" x14ac:dyDescent="0.25"/>
    <row r="62" spans="7:9" ht="14.25" customHeight="1" x14ac:dyDescent="0.25"/>
    <row r="63" spans="7:9" ht="14.25" customHeight="1" x14ac:dyDescent="0.25"/>
    <row r="64" spans="7:9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hyperlinks>
    <hyperlink ref="B1" r:id="rId1" xr:uid="{00000000-0004-0000-0200-000000000000}"/>
    <hyperlink ref="B2" r:id="rId2" xr:uid="{00000000-0004-0000-0200-000001000000}"/>
  </hyperlinks>
  <pageMargins left="0.7" right="0.7" top="0.75" bottom="0.75" header="0" footer="0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99"/>
  <sheetViews>
    <sheetView workbookViewId="0">
      <selection activeCell="K20" sqref="K20"/>
    </sheetView>
  </sheetViews>
  <sheetFormatPr defaultColWidth="12.59765625" defaultRowHeight="15" customHeight="1" x14ac:dyDescent="0.25"/>
  <cols>
    <col min="1" max="1" width="7.59765625" customWidth="1"/>
    <col min="2" max="2" width="23.5" customWidth="1"/>
    <col min="3" max="3" width="7.59765625" customWidth="1"/>
    <col min="4" max="4" width="9" customWidth="1"/>
    <col min="5" max="5" width="6.69921875" customWidth="1"/>
    <col min="6" max="6" width="9" customWidth="1"/>
    <col min="7" max="7" width="9.09765625" customWidth="1"/>
    <col min="8" max="26" width="7.59765625" customWidth="1"/>
  </cols>
  <sheetData>
    <row r="1" spans="1:13" ht="14.25" customHeight="1" thickBot="1" x14ac:dyDescent="0.35">
      <c r="A1" s="1" t="s">
        <v>138</v>
      </c>
    </row>
    <row r="2" spans="1:13" ht="14.25" customHeight="1" x14ac:dyDescent="0.3">
      <c r="B2" s="79" t="s">
        <v>139</v>
      </c>
      <c r="C2" s="80" t="s">
        <v>1</v>
      </c>
      <c r="D2" s="80" t="s">
        <v>140</v>
      </c>
      <c r="E2" s="80" t="s">
        <v>141</v>
      </c>
      <c r="F2" s="80" t="s">
        <v>142</v>
      </c>
      <c r="G2" s="80" t="s">
        <v>143</v>
      </c>
      <c r="H2" s="80" t="s">
        <v>144</v>
      </c>
      <c r="I2" s="80" t="s">
        <v>145</v>
      </c>
      <c r="J2" s="54"/>
    </row>
    <row r="3" spans="1:13" ht="14.25" customHeight="1" x14ac:dyDescent="0.3">
      <c r="B3" s="43" t="s">
        <v>146</v>
      </c>
      <c r="C3" s="44" t="s">
        <v>147</v>
      </c>
      <c r="D3" s="81">
        <v>400900</v>
      </c>
      <c r="E3" s="82"/>
      <c r="F3" s="44">
        <v>3.7</v>
      </c>
      <c r="G3" s="82"/>
      <c r="H3" s="82"/>
      <c r="I3" s="44" t="s">
        <v>148</v>
      </c>
      <c r="J3" s="66"/>
      <c r="M3" s="2" t="s">
        <v>149</v>
      </c>
    </row>
    <row r="4" spans="1:13" ht="14.25" customHeight="1" x14ac:dyDescent="0.3">
      <c r="B4" s="43" t="s">
        <v>150</v>
      </c>
      <c r="C4" s="44" t="s">
        <v>147</v>
      </c>
      <c r="D4" s="81">
        <v>559900</v>
      </c>
      <c r="E4" s="82"/>
      <c r="F4" s="44">
        <v>3.3</v>
      </c>
      <c r="G4" s="82"/>
      <c r="H4" s="82"/>
      <c r="I4" s="82"/>
      <c r="J4" s="66"/>
      <c r="M4" s="2" t="s">
        <v>151</v>
      </c>
    </row>
    <row r="5" spans="1:13" ht="14.25" customHeight="1" x14ac:dyDescent="0.3">
      <c r="B5" s="43" t="s">
        <v>152</v>
      </c>
      <c r="C5" s="44" t="s">
        <v>147</v>
      </c>
      <c r="D5" s="81">
        <v>569900</v>
      </c>
      <c r="E5" s="82"/>
      <c r="F5" s="44">
        <v>3.4</v>
      </c>
      <c r="G5" s="82"/>
      <c r="H5" s="82"/>
      <c r="I5" s="82"/>
      <c r="J5" s="66"/>
      <c r="M5" s="2" t="s">
        <v>153</v>
      </c>
    </row>
    <row r="6" spans="1:13" ht="14.25" customHeight="1" x14ac:dyDescent="0.3">
      <c r="B6" s="43" t="s">
        <v>154</v>
      </c>
      <c r="C6" s="44" t="s">
        <v>147</v>
      </c>
      <c r="D6" s="81">
        <v>634900</v>
      </c>
      <c r="E6" s="82"/>
      <c r="F6" s="44">
        <v>3.8</v>
      </c>
      <c r="G6" s="82"/>
      <c r="H6" s="82"/>
      <c r="I6" s="82"/>
      <c r="J6" s="66"/>
      <c r="M6" s="2" t="s">
        <v>153</v>
      </c>
    </row>
    <row r="7" spans="1:13" ht="14.25" customHeight="1" x14ac:dyDescent="0.3">
      <c r="B7" s="43" t="s">
        <v>155</v>
      </c>
      <c r="C7" s="44" t="s">
        <v>147</v>
      </c>
      <c r="D7" s="81">
        <v>684980</v>
      </c>
      <c r="E7" s="44">
        <v>58</v>
      </c>
      <c r="F7" s="44">
        <v>3.4</v>
      </c>
      <c r="G7" s="82"/>
      <c r="H7" s="82"/>
      <c r="I7" s="44" t="s">
        <v>156</v>
      </c>
      <c r="J7" s="66"/>
      <c r="M7" s="2" t="s">
        <v>157</v>
      </c>
    </row>
    <row r="8" spans="1:13" ht="14.25" customHeight="1" x14ac:dyDescent="0.3">
      <c r="B8" s="43" t="s">
        <v>158</v>
      </c>
      <c r="C8" s="44" t="s">
        <v>159</v>
      </c>
      <c r="D8" s="81">
        <v>699900</v>
      </c>
      <c r="E8" s="44">
        <v>270</v>
      </c>
      <c r="F8" s="82"/>
      <c r="G8" s="82"/>
      <c r="H8" s="82"/>
      <c r="I8" s="82"/>
      <c r="J8" s="66"/>
      <c r="M8" s="2" t="s">
        <v>157</v>
      </c>
    </row>
    <row r="9" spans="1:13" ht="14.25" customHeight="1" x14ac:dyDescent="0.3">
      <c r="B9" s="43" t="s">
        <v>160</v>
      </c>
      <c r="C9" s="44" t="s">
        <v>147</v>
      </c>
      <c r="D9" s="81">
        <v>701990</v>
      </c>
      <c r="E9" s="44">
        <v>63</v>
      </c>
      <c r="F9" s="44">
        <v>1.1000000000000001</v>
      </c>
      <c r="G9" s="82"/>
      <c r="H9" s="44" t="s">
        <v>161</v>
      </c>
      <c r="I9" s="44" t="s">
        <v>162</v>
      </c>
      <c r="J9" s="66"/>
      <c r="M9" s="2" t="s">
        <v>163</v>
      </c>
    </row>
    <row r="10" spans="1:13" ht="14.25" customHeight="1" x14ac:dyDescent="0.3">
      <c r="B10" s="43" t="s">
        <v>164</v>
      </c>
      <c r="C10" s="44" t="s">
        <v>147</v>
      </c>
      <c r="D10" s="81">
        <v>769900</v>
      </c>
      <c r="E10" s="82"/>
      <c r="F10" s="44">
        <v>5.5</v>
      </c>
      <c r="G10" s="82"/>
      <c r="H10" s="82"/>
      <c r="I10" s="82"/>
      <c r="J10" s="66"/>
      <c r="M10" s="2" t="s">
        <v>165</v>
      </c>
    </row>
    <row r="11" spans="1:13" ht="14.25" customHeight="1" x14ac:dyDescent="0.3">
      <c r="B11" s="43" t="s">
        <v>166</v>
      </c>
      <c r="C11" s="44" t="s">
        <v>159</v>
      </c>
      <c r="D11" s="81">
        <v>832990</v>
      </c>
      <c r="E11" s="44">
        <v>280</v>
      </c>
      <c r="F11" s="82"/>
      <c r="G11" s="44" t="s">
        <v>167</v>
      </c>
      <c r="H11" s="82"/>
      <c r="I11" s="44" t="s">
        <v>162</v>
      </c>
      <c r="J11" s="66"/>
      <c r="M11" s="2" t="s">
        <v>168</v>
      </c>
    </row>
    <row r="12" spans="1:13" ht="14.25" customHeight="1" x14ac:dyDescent="0.3">
      <c r="B12" s="43" t="s">
        <v>169</v>
      </c>
      <c r="C12" s="44" t="s">
        <v>159</v>
      </c>
      <c r="D12" s="81">
        <v>837000</v>
      </c>
      <c r="E12" s="44" t="s">
        <v>170</v>
      </c>
      <c r="F12" s="82"/>
      <c r="G12" s="82"/>
      <c r="H12" s="82"/>
      <c r="I12" s="82"/>
      <c r="J12" s="66"/>
      <c r="M12" s="2" t="s">
        <v>171</v>
      </c>
    </row>
    <row r="13" spans="1:13" ht="14.25" customHeight="1" x14ac:dyDescent="0.3">
      <c r="B13" s="43" t="s">
        <v>172</v>
      </c>
      <c r="C13" s="44" t="s">
        <v>147</v>
      </c>
      <c r="D13" s="81">
        <v>864900</v>
      </c>
      <c r="E13" s="82"/>
      <c r="F13" s="44">
        <v>4.5</v>
      </c>
      <c r="G13" s="82"/>
      <c r="H13" s="82"/>
      <c r="I13" s="82"/>
      <c r="J13" s="66"/>
      <c r="M13" s="2" t="s">
        <v>173</v>
      </c>
    </row>
    <row r="14" spans="1:13" ht="14.25" customHeight="1" x14ac:dyDescent="0.3">
      <c r="B14" s="43" t="s">
        <v>174</v>
      </c>
      <c r="C14" s="44" t="s">
        <v>147</v>
      </c>
      <c r="D14" s="81">
        <v>885461</v>
      </c>
      <c r="E14" s="44">
        <v>50</v>
      </c>
      <c r="F14" s="44">
        <v>1.6</v>
      </c>
      <c r="G14" s="82"/>
      <c r="H14" s="82"/>
      <c r="I14" s="82"/>
      <c r="J14" s="66"/>
      <c r="M14" s="2" t="s">
        <v>175</v>
      </c>
    </row>
    <row r="15" spans="1:13" ht="14.25" customHeight="1" x14ac:dyDescent="0.3">
      <c r="B15" s="43" t="s">
        <v>176</v>
      </c>
      <c r="C15" s="44" t="s">
        <v>159</v>
      </c>
      <c r="D15" s="81">
        <v>899990</v>
      </c>
      <c r="E15" s="44">
        <v>449</v>
      </c>
      <c r="F15" s="82"/>
      <c r="G15" s="44" t="s">
        <v>177</v>
      </c>
      <c r="H15" s="44" t="s">
        <v>178</v>
      </c>
      <c r="I15" s="44" t="s">
        <v>162</v>
      </c>
      <c r="J15" s="66"/>
      <c r="M15" s="2" t="s">
        <v>179</v>
      </c>
    </row>
    <row r="16" spans="1:13" ht="14.25" customHeight="1" x14ac:dyDescent="0.3">
      <c r="B16" s="43" t="s">
        <v>180</v>
      </c>
      <c r="C16" s="44" t="s">
        <v>147</v>
      </c>
      <c r="D16" s="81">
        <v>920000</v>
      </c>
      <c r="E16" s="82"/>
      <c r="F16" s="44">
        <v>4.3</v>
      </c>
      <c r="G16" s="82"/>
      <c r="H16" s="82"/>
      <c r="I16" s="82"/>
      <c r="J16" s="66"/>
      <c r="M16" s="2" t="s">
        <v>181</v>
      </c>
    </row>
    <row r="17" spans="2:13" ht="14.25" customHeight="1" x14ac:dyDescent="0.3">
      <c r="B17" s="43" t="s">
        <v>182</v>
      </c>
      <c r="C17" s="44" t="s">
        <v>159</v>
      </c>
      <c r="D17" s="81">
        <v>937000</v>
      </c>
      <c r="E17" s="44">
        <v>270</v>
      </c>
      <c r="F17" s="82"/>
      <c r="G17" s="82"/>
      <c r="H17" s="82"/>
      <c r="I17" s="82"/>
      <c r="J17" s="66"/>
      <c r="M17" s="2" t="s">
        <v>183</v>
      </c>
    </row>
    <row r="18" spans="2:13" ht="14.25" customHeight="1" x14ac:dyDescent="0.3">
      <c r="B18" s="43" t="s">
        <v>184</v>
      </c>
      <c r="C18" s="44" t="s">
        <v>147</v>
      </c>
      <c r="D18" s="81">
        <v>946900</v>
      </c>
      <c r="E18" s="82"/>
      <c r="F18" s="44">
        <v>4.4000000000000004</v>
      </c>
      <c r="G18" s="82"/>
      <c r="H18" s="82"/>
      <c r="I18" s="82"/>
      <c r="J18" s="66"/>
      <c r="M18" s="2" t="s">
        <v>185</v>
      </c>
    </row>
    <row r="19" spans="2:13" ht="14.25" customHeight="1" x14ac:dyDescent="0.3">
      <c r="B19" s="43" t="s">
        <v>186</v>
      </c>
      <c r="C19" s="44" t="s">
        <v>147</v>
      </c>
      <c r="D19" s="81">
        <v>990900</v>
      </c>
      <c r="E19" s="82"/>
      <c r="F19" s="44">
        <v>1.3</v>
      </c>
      <c r="G19" s="82"/>
      <c r="H19" s="82"/>
      <c r="I19" s="82"/>
      <c r="J19" s="66"/>
      <c r="M19" s="2" t="s">
        <v>187</v>
      </c>
    </row>
    <row r="20" spans="2:13" ht="14.25" customHeight="1" x14ac:dyDescent="0.3">
      <c r="B20" s="43" t="s">
        <v>188</v>
      </c>
      <c r="C20" s="44" t="s">
        <v>159</v>
      </c>
      <c r="D20" s="81">
        <v>993900</v>
      </c>
      <c r="E20" s="44">
        <v>300</v>
      </c>
      <c r="F20" s="82"/>
      <c r="G20" s="44" t="s">
        <v>189</v>
      </c>
      <c r="H20" s="82"/>
      <c r="I20" s="82"/>
      <c r="J20" s="66"/>
      <c r="M20" s="2" t="s">
        <v>190</v>
      </c>
    </row>
    <row r="21" spans="2:13" ht="14.25" customHeight="1" x14ac:dyDescent="0.3">
      <c r="B21" s="43" t="s">
        <v>191</v>
      </c>
      <c r="C21" s="44" t="s">
        <v>159</v>
      </c>
      <c r="D21" s="81">
        <v>1012770</v>
      </c>
      <c r="E21" s="44" t="s">
        <v>170</v>
      </c>
      <c r="F21" s="82"/>
      <c r="G21" s="82"/>
      <c r="H21" s="82"/>
      <c r="I21" s="82"/>
      <c r="J21" s="66"/>
      <c r="M21" s="2" t="s">
        <v>192</v>
      </c>
    </row>
    <row r="22" spans="2:13" ht="14.25" customHeight="1" x14ac:dyDescent="0.3">
      <c r="B22" s="43" t="s">
        <v>193</v>
      </c>
      <c r="C22" s="44" t="s">
        <v>159</v>
      </c>
      <c r="D22" s="81">
        <v>1086000</v>
      </c>
      <c r="E22" s="44" t="s">
        <v>170</v>
      </c>
      <c r="F22" s="82"/>
      <c r="G22" s="82"/>
      <c r="H22" s="82"/>
      <c r="I22" s="82"/>
      <c r="J22" s="66"/>
      <c r="M22" s="2" t="s">
        <v>194</v>
      </c>
    </row>
    <row r="23" spans="2:13" ht="14.25" customHeight="1" x14ac:dyDescent="0.3">
      <c r="B23" s="43" t="s">
        <v>195</v>
      </c>
      <c r="C23" s="44" t="s">
        <v>159</v>
      </c>
      <c r="D23" s="81">
        <v>1162000</v>
      </c>
      <c r="E23" s="44">
        <v>385</v>
      </c>
      <c r="F23" s="82"/>
      <c r="G23" s="82"/>
      <c r="H23" s="82"/>
      <c r="I23" s="82"/>
      <c r="J23" s="66"/>
      <c r="M23" s="2" t="s">
        <v>196</v>
      </c>
    </row>
    <row r="24" spans="2:13" ht="14.25" customHeight="1" x14ac:dyDescent="0.3">
      <c r="B24" s="43" t="s">
        <v>197</v>
      </c>
      <c r="C24" s="44" t="s">
        <v>147</v>
      </c>
      <c r="D24" s="81">
        <v>1831100</v>
      </c>
      <c r="E24" s="82"/>
      <c r="F24" s="82"/>
      <c r="G24" s="82"/>
      <c r="H24" s="82"/>
      <c r="I24" s="82"/>
      <c r="J24" s="66"/>
      <c r="M24" s="2" t="s">
        <v>198</v>
      </c>
    </row>
    <row r="25" spans="2:13" ht="14.25" customHeight="1" x14ac:dyDescent="0.3">
      <c r="B25" s="43" t="s">
        <v>199</v>
      </c>
      <c r="C25" s="44" t="s">
        <v>159</v>
      </c>
      <c r="D25" s="83" t="s">
        <v>200</v>
      </c>
      <c r="E25" s="44">
        <v>250</v>
      </c>
      <c r="F25" s="82"/>
      <c r="G25" s="44" t="s">
        <v>201</v>
      </c>
      <c r="H25" s="82"/>
      <c r="I25" s="44" t="s">
        <v>202</v>
      </c>
      <c r="J25" s="66"/>
      <c r="M25" s="2" t="s">
        <v>203</v>
      </c>
    </row>
    <row r="26" spans="2:13" ht="14.25" customHeight="1" x14ac:dyDescent="0.3">
      <c r="B26" s="43" t="s">
        <v>204</v>
      </c>
      <c r="C26" s="44" t="s">
        <v>147</v>
      </c>
      <c r="D26" s="82"/>
      <c r="E26" s="82"/>
      <c r="F26" s="44">
        <v>3.4</v>
      </c>
      <c r="G26" s="82"/>
      <c r="H26" s="82"/>
      <c r="I26" s="44" t="s">
        <v>162</v>
      </c>
      <c r="J26" s="66"/>
      <c r="M26" s="2" t="s">
        <v>205</v>
      </c>
    </row>
    <row r="27" spans="2:13" ht="14.25" customHeight="1" thickBot="1" x14ac:dyDescent="0.35">
      <c r="B27" s="47" t="s">
        <v>206</v>
      </c>
      <c r="C27" s="48" t="s">
        <v>159</v>
      </c>
      <c r="D27" s="84"/>
      <c r="E27" s="48">
        <v>265</v>
      </c>
      <c r="F27" s="84"/>
      <c r="G27" s="48" t="s">
        <v>189</v>
      </c>
      <c r="H27" s="84"/>
      <c r="I27" s="84"/>
      <c r="J27" s="85"/>
      <c r="M27" s="2" t="s">
        <v>207</v>
      </c>
    </row>
    <row r="28" spans="2:13" ht="14.25" customHeight="1" x14ac:dyDescent="0.25"/>
    <row r="29" spans="2:13" ht="14.25" customHeight="1" x14ac:dyDescent="0.25"/>
    <row r="30" spans="2:13" ht="14.25" customHeight="1" x14ac:dyDescent="0.25"/>
    <row r="31" spans="2:13" ht="14.25" customHeight="1" x14ac:dyDescent="0.25"/>
    <row r="32" spans="2:1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hyperlinks>
    <hyperlink ref="M3" r:id="rId1" xr:uid="{00000000-0004-0000-0300-000000000000}"/>
    <hyperlink ref="M4" r:id="rId2" xr:uid="{00000000-0004-0000-0300-000001000000}"/>
    <hyperlink ref="M5" r:id="rId3" xr:uid="{00000000-0004-0000-0300-000002000000}"/>
    <hyperlink ref="M6" r:id="rId4" xr:uid="{00000000-0004-0000-0300-000003000000}"/>
    <hyperlink ref="M7" r:id="rId5" xr:uid="{00000000-0004-0000-0300-000004000000}"/>
    <hyperlink ref="M8" r:id="rId6" xr:uid="{00000000-0004-0000-0300-000005000000}"/>
    <hyperlink ref="M9" r:id="rId7" xr:uid="{00000000-0004-0000-0300-000006000000}"/>
    <hyperlink ref="M10" r:id="rId8" xr:uid="{00000000-0004-0000-0300-000007000000}"/>
    <hyperlink ref="M11" r:id="rId9" xr:uid="{00000000-0004-0000-0300-000008000000}"/>
    <hyperlink ref="M12" r:id="rId10" xr:uid="{00000000-0004-0000-0300-000009000000}"/>
    <hyperlink ref="M13" r:id="rId11" xr:uid="{00000000-0004-0000-0300-00000A000000}"/>
    <hyperlink ref="M14" r:id="rId12" xr:uid="{00000000-0004-0000-0300-00000B000000}"/>
    <hyperlink ref="M15" r:id="rId13" xr:uid="{00000000-0004-0000-0300-00000C000000}"/>
    <hyperlink ref="M16" r:id="rId14" xr:uid="{00000000-0004-0000-0300-00000D000000}"/>
    <hyperlink ref="M17" r:id="rId15" xr:uid="{00000000-0004-0000-0300-00000E000000}"/>
    <hyperlink ref="M18" r:id="rId16" xr:uid="{00000000-0004-0000-0300-00000F000000}"/>
    <hyperlink ref="M19" r:id="rId17" xr:uid="{00000000-0004-0000-0300-000010000000}"/>
    <hyperlink ref="M20" r:id="rId18" xr:uid="{00000000-0004-0000-0300-000011000000}"/>
    <hyperlink ref="M21" r:id="rId19" xr:uid="{00000000-0004-0000-0300-000012000000}"/>
    <hyperlink ref="M22" r:id="rId20" xr:uid="{00000000-0004-0000-0300-000013000000}"/>
    <hyperlink ref="M23" r:id="rId21" xr:uid="{00000000-0004-0000-0300-000014000000}"/>
    <hyperlink ref="M24" r:id="rId22" xr:uid="{00000000-0004-0000-0300-000015000000}"/>
    <hyperlink ref="M25" r:id="rId23" xr:uid="{00000000-0004-0000-0300-000016000000}"/>
    <hyperlink ref="M26" r:id="rId24" xr:uid="{00000000-0004-0000-0300-000017000000}"/>
    <hyperlink ref="M27" r:id="rId25" xr:uid="{00000000-0004-0000-0300-000018000000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84E7-B6DB-40E6-96D0-64AF1400FEFB}">
  <dimension ref="A1:J37"/>
  <sheetViews>
    <sheetView topLeftCell="A13" workbookViewId="0">
      <selection activeCell="H11" sqref="H11"/>
    </sheetView>
  </sheetViews>
  <sheetFormatPr defaultRowHeight="13.8" x14ac:dyDescent="0.25"/>
  <cols>
    <col min="2" max="2" width="23.5" bestFit="1" customWidth="1"/>
  </cols>
  <sheetData>
    <row r="1" spans="1:10" ht="15" thickBot="1" x14ac:dyDescent="0.35">
      <c r="A1" s="1" t="s">
        <v>208</v>
      </c>
      <c r="B1" s="2" t="s">
        <v>209</v>
      </c>
    </row>
    <row r="2" spans="1:10" ht="14.4" x14ac:dyDescent="0.3">
      <c r="B2" s="79" t="s">
        <v>139</v>
      </c>
      <c r="C2" s="80" t="s">
        <v>1</v>
      </c>
      <c r="D2" s="80" t="s">
        <v>140</v>
      </c>
      <c r="E2" s="80" t="s">
        <v>141</v>
      </c>
      <c r="F2" s="86" t="s">
        <v>142</v>
      </c>
    </row>
    <row r="3" spans="1:10" ht="14.4" x14ac:dyDescent="0.3">
      <c r="B3" s="43" t="s">
        <v>210</v>
      </c>
      <c r="C3" s="44" t="s">
        <v>147</v>
      </c>
      <c r="D3" s="81">
        <v>347900</v>
      </c>
      <c r="E3" s="82"/>
      <c r="F3" s="59">
        <v>4</v>
      </c>
      <c r="J3" s="2" t="s">
        <v>211</v>
      </c>
    </row>
    <row r="4" spans="1:10" ht="14.4" x14ac:dyDescent="0.3">
      <c r="B4" s="43" t="s">
        <v>212</v>
      </c>
      <c r="C4" s="44" t="s">
        <v>147</v>
      </c>
      <c r="D4" s="81">
        <v>380855</v>
      </c>
      <c r="E4" s="82"/>
      <c r="F4" s="59">
        <v>3.7</v>
      </c>
      <c r="J4" s="2" t="s">
        <v>213</v>
      </c>
    </row>
    <row r="5" spans="1:10" ht="14.4" x14ac:dyDescent="0.3">
      <c r="B5" s="43" t="s">
        <v>214</v>
      </c>
      <c r="C5" s="44" t="s">
        <v>147</v>
      </c>
      <c r="D5" s="81">
        <v>404900</v>
      </c>
      <c r="E5" s="82"/>
      <c r="F5" s="59">
        <v>4</v>
      </c>
      <c r="J5" s="2" t="s">
        <v>215</v>
      </c>
    </row>
    <row r="6" spans="1:10" ht="14.4" x14ac:dyDescent="0.3">
      <c r="B6" s="43" t="s">
        <v>216</v>
      </c>
      <c r="C6" s="44" t="s">
        <v>147</v>
      </c>
      <c r="D6" s="81">
        <v>504355</v>
      </c>
      <c r="E6" s="82"/>
      <c r="F6" s="59">
        <v>3.5</v>
      </c>
      <c r="J6" s="2" t="s">
        <v>217</v>
      </c>
    </row>
    <row r="7" spans="1:10" ht="14.4" x14ac:dyDescent="0.3">
      <c r="B7" s="43" t="s">
        <v>218</v>
      </c>
      <c r="C7" s="44" t="s">
        <v>147</v>
      </c>
      <c r="D7" s="81">
        <v>510482</v>
      </c>
      <c r="E7" s="82"/>
      <c r="F7" s="59">
        <v>5.0999999999999996</v>
      </c>
      <c r="J7" s="2" t="s">
        <v>219</v>
      </c>
    </row>
    <row r="8" spans="1:10" ht="14.4" x14ac:dyDescent="0.3">
      <c r="B8" s="43" t="s">
        <v>220</v>
      </c>
      <c r="C8" s="44" t="s">
        <v>147</v>
      </c>
      <c r="D8" s="81">
        <v>510482</v>
      </c>
      <c r="E8" s="82"/>
      <c r="F8" s="59">
        <v>5.0999999999999996</v>
      </c>
      <c r="J8" s="2" t="s">
        <v>221</v>
      </c>
    </row>
    <row r="9" spans="1:10" ht="14.4" x14ac:dyDescent="0.3">
      <c r="B9" s="43" t="s">
        <v>222</v>
      </c>
      <c r="C9" s="44" t="s">
        <v>147</v>
      </c>
      <c r="D9" s="81">
        <v>531905</v>
      </c>
      <c r="E9" s="82"/>
      <c r="F9" s="59">
        <v>3.3</v>
      </c>
      <c r="J9" s="2" t="s">
        <v>223</v>
      </c>
    </row>
    <row r="10" spans="1:10" ht="14.4" x14ac:dyDescent="0.3">
      <c r="B10" s="43" t="s">
        <v>224</v>
      </c>
      <c r="C10" s="44" t="s">
        <v>147</v>
      </c>
      <c r="D10" s="81">
        <v>541405</v>
      </c>
      <c r="E10" s="82"/>
      <c r="F10" s="59">
        <v>3.4</v>
      </c>
      <c r="J10" s="2" t="s">
        <v>225</v>
      </c>
    </row>
    <row r="11" spans="1:10" ht="14.4" x14ac:dyDescent="0.3">
      <c r="B11" s="43" t="s">
        <v>226</v>
      </c>
      <c r="C11" s="44" t="s">
        <v>147</v>
      </c>
      <c r="D11" s="81">
        <v>603155</v>
      </c>
      <c r="E11" s="82"/>
      <c r="F11" s="59">
        <v>3.8</v>
      </c>
      <c r="J11" s="2" t="s">
        <v>227</v>
      </c>
    </row>
    <row r="12" spans="1:10" ht="14.4" x14ac:dyDescent="0.3">
      <c r="B12" s="43" t="s">
        <v>155</v>
      </c>
      <c r="C12" s="44" t="s">
        <v>147</v>
      </c>
      <c r="D12" s="81">
        <v>624980</v>
      </c>
      <c r="E12" s="82"/>
      <c r="F12" s="59">
        <v>3.8</v>
      </c>
      <c r="J12" s="2" t="s">
        <v>228</v>
      </c>
    </row>
    <row r="13" spans="1:10" ht="14.4" x14ac:dyDescent="0.3">
      <c r="B13" s="43" t="s">
        <v>229</v>
      </c>
      <c r="C13" s="44" t="s">
        <v>147</v>
      </c>
      <c r="D13" s="81">
        <v>707655</v>
      </c>
      <c r="E13" s="82"/>
      <c r="F13" s="59">
        <v>3.3</v>
      </c>
      <c r="J13" s="2" t="s">
        <v>230</v>
      </c>
    </row>
    <row r="14" spans="1:10" ht="14.4" x14ac:dyDescent="0.3">
      <c r="B14" s="43" t="s">
        <v>231</v>
      </c>
      <c r="C14" s="44" t="s">
        <v>147</v>
      </c>
      <c r="D14" s="81">
        <v>712500</v>
      </c>
      <c r="E14" s="82"/>
      <c r="F14" s="59">
        <v>3.6</v>
      </c>
      <c r="J14" s="2" t="s">
        <v>232</v>
      </c>
    </row>
    <row r="15" spans="1:10" ht="14.4" x14ac:dyDescent="0.3">
      <c r="B15" s="43" t="s">
        <v>233</v>
      </c>
      <c r="C15" s="44" t="s">
        <v>147</v>
      </c>
      <c r="D15" s="81">
        <v>804908</v>
      </c>
      <c r="E15" s="82"/>
      <c r="F15" s="59">
        <v>4.2</v>
      </c>
      <c r="J15" s="2" t="s">
        <v>234</v>
      </c>
    </row>
    <row r="16" spans="1:10" ht="14.4" x14ac:dyDescent="0.3">
      <c r="B16" s="43" t="s">
        <v>235</v>
      </c>
      <c r="C16" s="44" t="s">
        <v>147</v>
      </c>
      <c r="D16" s="81">
        <v>815904</v>
      </c>
      <c r="E16" s="82"/>
      <c r="F16" s="59">
        <v>5.3</v>
      </c>
      <c r="J16" s="2" t="s">
        <v>236</v>
      </c>
    </row>
    <row r="17" spans="2:10" ht="14.4" x14ac:dyDescent="0.3">
      <c r="B17" s="43" t="s">
        <v>237</v>
      </c>
      <c r="C17" s="44" t="s">
        <v>147</v>
      </c>
      <c r="D17" s="81">
        <v>821655</v>
      </c>
      <c r="E17" s="82"/>
      <c r="F17" s="59">
        <v>4.5999999999999996</v>
      </c>
      <c r="J17" s="2" t="s">
        <v>238</v>
      </c>
    </row>
    <row r="18" spans="2:10" ht="14.4" x14ac:dyDescent="0.3">
      <c r="B18" s="43" t="s">
        <v>239</v>
      </c>
      <c r="C18" s="44" t="s">
        <v>147</v>
      </c>
      <c r="D18" s="81">
        <v>835120</v>
      </c>
      <c r="E18" s="82"/>
      <c r="F18" s="59">
        <v>4.0999999999999996</v>
      </c>
      <c r="J18" s="2" t="s">
        <v>240</v>
      </c>
    </row>
    <row r="19" spans="2:10" ht="14.4" x14ac:dyDescent="0.3">
      <c r="B19" s="43" t="s">
        <v>241</v>
      </c>
      <c r="C19" s="44" t="s">
        <v>147</v>
      </c>
      <c r="D19" s="81">
        <v>845906</v>
      </c>
      <c r="E19" s="82"/>
      <c r="F19" s="59">
        <v>1</v>
      </c>
      <c r="J19" s="2" t="s">
        <v>242</v>
      </c>
    </row>
    <row r="20" spans="2:10" ht="14.4" x14ac:dyDescent="0.3">
      <c r="B20" s="43" t="s">
        <v>243</v>
      </c>
      <c r="C20" s="44" t="s">
        <v>147</v>
      </c>
      <c r="D20" s="81">
        <v>869505</v>
      </c>
      <c r="E20" s="82"/>
      <c r="F20" s="59">
        <v>2.7</v>
      </c>
      <c r="J20" s="2" t="s">
        <v>244</v>
      </c>
    </row>
    <row r="21" spans="2:10" ht="14.4" x14ac:dyDescent="0.3">
      <c r="B21" s="43" t="s">
        <v>245</v>
      </c>
      <c r="C21" s="44" t="s">
        <v>147</v>
      </c>
      <c r="D21" s="81">
        <v>885461</v>
      </c>
      <c r="E21" s="82"/>
      <c r="F21" s="59">
        <v>1.6</v>
      </c>
      <c r="J21" s="2" t="s">
        <v>246</v>
      </c>
    </row>
    <row r="22" spans="2:10" ht="14.4" x14ac:dyDescent="0.3">
      <c r="B22" s="43" t="s">
        <v>247</v>
      </c>
      <c r="C22" s="44" t="s">
        <v>147</v>
      </c>
      <c r="D22" s="81">
        <v>915721</v>
      </c>
      <c r="E22" s="82"/>
      <c r="F22" s="59">
        <v>6</v>
      </c>
      <c r="J22" s="2" t="s">
        <v>248</v>
      </c>
    </row>
    <row r="23" spans="2:10" ht="14.4" x14ac:dyDescent="0.3">
      <c r="B23" s="43" t="s">
        <v>249</v>
      </c>
      <c r="C23" s="44" t="s">
        <v>147</v>
      </c>
      <c r="D23" s="81">
        <v>933660</v>
      </c>
      <c r="E23" s="82"/>
      <c r="F23" s="59">
        <v>2.4</v>
      </c>
      <c r="J23" s="2" t="s">
        <v>250</v>
      </c>
    </row>
    <row r="24" spans="2:10" ht="14.4" x14ac:dyDescent="0.3">
      <c r="B24" s="43" t="s">
        <v>251</v>
      </c>
      <c r="C24" s="44" t="s">
        <v>147</v>
      </c>
      <c r="D24" s="81">
        <v>942421</v>
      </c>
      <c r="E24" s="82"/>
      <c r="F24" s="59">
        <v>1.6</v>
      </c>
      <c r="J24" s="2" t="s">
        <v>252</v>
      </c>
    </row>
    <row r="25" spans="2:10" ht="15" thickBot="1" x14ac:dyDescent="0.35">
      <c r="B25" s="47" t="s">
        <v>253</v>
      </c>
      <c r="C25" s="48" t="s">
        <v>147</v>
      </c>
      <c r="D25" s="87">
        <v>1056076</v>
      </c>
      <c r="E25" s="84"/>
      <c r="F25" s="62">
        <v>5.5</v>
      </c>
      <c r="J25" s="2" t="s">
        <v>254</v>
      </c>
    </row>
    <row r="26" spans="2:10" ht="14.4" thickBot="1" x14ac:dyDescent="0.3">
      <c r="B26" s="60"/>
      <c r="C26" s="82"/>
      <c r="D26" s="82"/>
      <c r="E26" s="82"/>
      <c r="F26" s="66"/>
    </row>
    <row r="27" spans="2:10" ht="14.4" x14ac:dyDescent="0.3">
      <c r="B27" s="53" t="s">
        <v>255</v>
      </c>
      <c r="C27" s="41" t="s">
        <v>159</v>
      </c>
      <c r="D27" s="88">
        <v>502806</v>
      </c>
      <c r="E27" s="41">
        <v>163</v>
      </c>
      <c r="F27" s="54"/>
      <c r="J27" s="2" t="s">
        <v>256</v>
      </c>
    </row>
    <row r="28" spans="2:10" ht="14.4" x14ac:dyDescent="0.3">
      <c r="B28" s="43" t="s">
        <v>257</v>
      </c>
      <c r="C28" s="44" t="s">
        <v>159</v>
      </c>
      <c r="D28" s="81">
        <v>568900</v>
      </c>
      <c r="E28" s="44">
        <v>155</v>
      </c>
      <c r="F28" s="66"/>
      <c r="J28" s="2" t="s">
        <v>258</v>
      </c>
    </row>
    <row r="29" spans="2:10" ht="14.4" x14ac:dyDescent="0.3">
      <c r="B29" s="43" t="s">
        <v>259</v>
      </c>
      <c r="C29" s="44" t="s">
        <v>159</v>
      </c>
      <c r="D29" s="81">
        <v>578900</v>
      </c>
      <c r="E29" s="44">
        <v>155</v>
      </c>
      <c r="F29" s="66"/>
      <c r="J29" s="2" t="s">
        <v>260</v>
      </c>
    </row>
    <row r="30" spans="2:10" ht="14.4" x14ac:dyDescent="0.3">
      <c r="B30" s="43" t="s">
        <v>261</v>
      </c>
      <c r="C30" s="44" t="s">
        <v>159</v>
      </c>
      <c r="D30" s="81">
        <v>650907</v>
      </c>
      <c r="E30" s="44">
        <v>270</v>
      </c>
      <c r="F30" s="66"/>
      <c r="J30" s="2" t="s">
        <v>262</v>
      </c>
    </row>
    <row r="31" spans="2:10" ht="14.4" x14ac:dyDescent="0.3">
      <c r="B31" s="43" t="s">
        <v>263</v>
      </c>
      <c r="C31" s="44" t="s">
        <v>159</v>
      </c>
      <c r="D31" s="81">
        <v>770000</v>
      </c>
      <c r="E31" s="44">
        <v>330</v>
      </c>
      <c r="F31" s="66"/>
      <c r="J31" s="2" t="s">
        <v>264</v>
      </c>
    </row>
    <row r="32" spans="2:10" ht="14.4" x14ac:dyDescent="0.3">
      <c r="B32" s="43" t="s">
        <v>265</v>
      </c>
      <c r="C32" s="44" t="s">
        <v>159</v>
      </c>
      <c r="D32" s="81">
        <v>803520</v>
      </c>
      <c r="E32" s="44">
        <v>300</v>
      </c>
      <c r="F32" s="66"/>
      <c r="J32" s="2" t="s">
        <v>266</v>
      </c>
    </row>
    <row r="33" spans="2:10" ht="14.4" x14ac:dyDescent="0.3">
      <c r="B33" s="43" t="s">
        <v>267</v>
      </c>
      <c r="C33" s="44" t="s">
        <v>159</v>
      </c>
      <c r="D33" s="81">
        <v>844521</v>
      </c>
      <c r="E33" s="44">
        <v>284</v>
      </c>
      <c r="F33" s="66"/>
      <c r="J33" s="2" t="s">
        <v>268</v>
      </c>
    </row>
    <row r="34" spans="2:10" ht="14.4" x14ac:dyDescent="0.3">
      <c r="B34" s="43" t="s">
        <v>269</v>
      </c>
      <c r="C34" s="44" t="s">
        <v>159</v>
      </c>
      <c r="D34" s="81">
        <v>864791</v>
      </c>
      <c r="E34" s="44">
        <v>280</v>
      </c>
      <c r="F34" s="66"/>
      <c r="J34" s="2" t="s">
        <v>270</v>
      </c>
    </row>
    <row r="35" spans="2:10" ht="14.4" x14ac:dyDescent="0.3">
      <c r="B35" s="43" t="s">
        <v>199</v>
      </c>
      <c r="C35" s="44" t="s">
        <v>159</v>
      </c>
      <c r="D35" s="81">
        <v>869980</v>
      </c>
      <c r="E35" s="44">
        <v>212</v>
      </c>
      <c r="F35" s="66"/>
      <c r="J35" s="2" t="s">
        <v>271</v>
      </c>
    </row>
    <row r="36" spans="2:10" ht="14.4" x14ac:dyDescent="0.3">
      <c r="B36" s="43" t="s">
        <v>176</v>
      </c>
      <c r="C36" s="44" t="s">
        <v>159</v>
      </c>
      <c r="D36" s="81">
        <v>878741</v>
      </c>
      <c r="E36" s="44">
        <v>312</v>
      </c>
      <c r="F36" s="66"/>
      <c r="J36" s="2" t="s">
        <v>272</v>
      </c>
    </row>
    <row r="37" spans="2:10" ht="15" thickBot="1" x14ac:dyDescent="0.35">
      <c r="B37" s="47" t="s">
        <v>273</v>
      </c>
      <c r="C37" s="48" t="s">
        <v>159</v>
      </c>
      <c r="D37" s="87">
        <v>931000</v>
      </c>
      <c r="E37" s="48">
        <v>377</v>
      </c>
      <c r="F37" s="85"/>
      <c r="J37" s="2" t="s">
        <v>274</v>
      </c>
    </row>
  </sheetData>
  <hyperlinks>
    <hyperlink ref="B1" r:id="rId1" xr:uid="{00000000-0004-0000-0300-000019000000}"/>
    <hyperlink ref="J3" r:id="rId2" xr:uid="{00000000-0004-0000-0300-00001A000000}"/>
    <hyperlink ref="J4" r:id="rId3" xr:uid="{00000000-0004-0000-0300-00001B000000}"/>
    <hyperlink ref="J5" r:id="rId4" xr:uid="{00000000-0004-0000-0300-00001C000000}"/>
    <hyperlink ref="J6" r:id="rId5" xr:uid="{00000000-0004-0000-0300-00001D000000}"/>
    <hyperlink ref="J7" r:id="rId6" xr:uid="{00000000-0004-0000-0300-00001E000000}"/>
    <hyperlink ref="J8" r:id="rId7" xr:uid="{00000000-0004-0000-0300-00001F000000}"/>
    <hyperlink ref="J9" r:id="rId8" xr:uid="{00000000-0004-0000-0300-000020000000}"/>
    <hyperlink ref="J10" r:id="rId9" xr:uid="{00000000-0004-0000-0300-000021000000}"/>
    <hyperlink ref="J11" r:id="rId10" xr:uid="{00000000-0004-0000-0300-000022000000}"/>
    <hyperlink ref="J12" r:id="rId11" xr:uid="{00000000-0004-0000-0300-000023000000}"/>
    <hyperlink ref="J13" r:id="rId12" xr:uid="{00000000-0004-0000-0300-000024000000}"/>
    <hyperlink ref="J14" r:id="rId13" xr:uid="{00000000-0004-0000-0300-000025000000}"/>
    <hyperlink ref="J15" r:id="rId14" xr:uid="{00000000-0004-0000-0300-000026000000}"/>
    <hyperlink ref="J16" r:id="rId15" xr:uid="{00000000-0004-0000-0300-000027000000}"/>
    <hyperlink ref="J17" r:id="rId16" xr:uid="{00000000-0004-0000-0300-000028000000}"/>
    <hyperlink ref="J18" r:id="rId17" xr:uid="{00000000-0004-0000-0300-000029000000}"/>
    <hyperlink ref="J19" r:id="rId18" xr:uid="{00000000-0004-0000-0300-00002A000000}"/>
    <hyperlink ref="J20" r:id="rId19" xr:uid="{00000000-0004-0000-0300-00002B000000}"/>
    <hyperlink ref="J21" r:id="rId20" xr:uid="{00000000-0004-0000-0300-00002C000000}"/>
    <hyperlink ref="J22" r:id="rId21" xr:uid="{00000000-0004-0000-0300-00002D000000}"/>
    <hyperlink ref="J23" r:id="rId22" xr:uid="{00000000-0004-0000-0300-00002E000000}"/>
    <hyperlink ref="J24" r:id="rId23" xr:uid="{00000000-0004-0000-0300-00002F000000}"/>
    <hyperlink ref="J25" r:id="rId24" xr:uid="{00000000-0004-0000-0300-000030000000}"/>
    <hyperlink ref="J27" r:id="rId25" xr:uid="{00000000-0004-0000-0300-000031000000}"/>
    <hyperlink ref="J28" r:id="rId26" xr:uid="{00000000-0004-0000-0300-000032000000}"/>
    <hyperlink ref="J29" r:id="rId27" xr:uid="{00000000-0004-0000-0300-000033000000}"/>
    <hyperlink ref="J30" r:id="rId28" xr:uid="{00000000-0004-0000-0300-000034000000}"/>
    <hyperlink ref="J31" r:id="rId29" xr:uid="{00000000-0004-0000-0300-000035000000}"/>
    <hyperlink ref="J32" r:id="rId30" xr:uid="{00000000-0004-0000-0300-000036000000}"/>
    <hyperlink ref="J33" r:id="rId31" xr:uid="{00000000-0004-0000-0300-000037000000}"/>
    <hyperlink ref="J34" r:id="rId32" xr:uid="{00000000-0004-0000-0300-000038000000}"/>
    <hyperlink ref="J35" r:id="rId33" xr:uid="{00000000-0004-0000-0300-000039000000}"/>
    <hyperlink ref="J36" r:id="rId34" xr:uid="{00000000-0004-0000-0300-00003A000000}"/>
    <hyperlink ref="J37" r:id="rId35" xr:uid="{00000000-0004-0000-0300-00003B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topLeftCell="A16" workbookViewId="0">
      <selection activeCell="A19" sqref="A19"/>
    </sheetView>
  </sheetViews>
  <sheetFormatPr defaultColWidth="12.59765625" defaultRowHeight="15" customHeight="1" x14ac:dyDescent="0.25"/>
  <cols>
    <col min="1" max="1" width="8.5" customWidth="1"/>
    <col min="2" max="2" width="32.69921875" customWidth="1"/>
    <col min="3" max="3" width="15.5" customWidth="1"/>
    <col min="4" max="4" width="10.8984375" customWidth="1"/>
    <col min="5" max="5" width="15.59765625" customWidth="1"/>
    <col min="6" max="6" width="8.59765625" customWidth="1"/>
    <col min="7" max="7" width="7.59765625" customWidth="1"/>
    <col min="8" max="8" width="9.3984375" customWidth="1"/>
    <col min="9" max="26" width="7.59765625" customWidth="1"/>
  </cols>
  <sheetData>
    <row r="1" spans="1:8" ht="14.25" customHeight="1" x14ac:dyDescent="0.3">
      <c r="B1" s="79" t="s">
        <v>139</v>
      </c>
      <c r="C1" s="80" t="s">
        <v>1</v>
      </c>
      <c r="D1" s="80" t="s">
        <v>140</v>
      </c>
      <c r="E1" s="80" t="s">
        <v>142</v>
      </c>
      <c r="F1" s="80" t="s">
        <v>275</v>
      </c>
      <c r="G1" s="80" t="s">
        <v>276</v>
      </c>
      <c r="H1" s="86" t="s">
        <v>277</v>
      </c>
    </row>
    <row r="2" spans="1:8" ht="14.25" customHeight="1" thickBot="1" x14ac:dyDescent="0.35">
      <c r="B2" s="47" t="s">
        <v>212</v>
      </c>
      <c r="C2" s="48" t="s">
        <v>147</v>
      </c>
      <c r="D2" s="87">
        <v>380855</v>
      </c>
      <c r="E2" s="48">
        <v>3.7</v>
      </c>
      <c r="F2" s="48">
        <v>74</v>
      </c>
      <c r="G2" s="48">
        <v>1119</v>
      </c>
      <c r="H2" s="62">
        <v>1497</v>
      </c>
    </row>
    <row r="3" spans="1:8" ht="14.25" customHeight="1" x14ac:dyDescent="0.25"/>
    <row r="4" spans="1:8" ht="14.25" customHeight="1" x14ac:dyDescent="0.3">
      <c r="A4" s="1" t="s">
        <v>278</v>
      </c>
    </row>
    <row r="5" spans="1:8" ht="14.25" customHeight="1" x14ac:dyDescent="0.3">
      <c r="B5" s="4" t="s">
        <v>279</v>
      </c>
      <c r="C5" s="5" t="s">
        <v>280</v>
      </c>
      <c r="D5" s="6" t="s">
        <v>281</v>
      </c>
      <c r="E5" s="7" t="s">
        <v>282</v>
      </c>
      <c r="F5" s="8"/>
    </row>
    <row r="6" spans="1:8" ht="14.25" customHeight="1" x14ac:dyDescent="0.3">
      <c r="B6" s="9" t="s">
        <v>283</v>
      </c>
      <c r="C6" s="10">
        <v>35</v>
      </c>
      <c r="D6" s="10">
        <v>60</v>
      </c>
      <c r="E6" s="10">
        <v>200</v>
      </c>
      <c r="F6" s="11" t="s">
        <v>284</v>
      </c>
    </row>
    <row r="7" spans="1:8" ht="14.25" customHeight="1" x14ac:dyDescent="0.3">
      <c r="B7" s="12" t="s">
        <v>285</v>
      </c>
      <c r="C7" s="10">
        <v>44</v>
      </c>
      <c r="D7" s="10">
        <v>60</v>
      </c>
      <c r="E7" s="10">
        <v>200</v>
      </c>
      <c r="F7" s="11" t="s">
        <v>284</v>
      </c>
    </row>
    <row r="8" spans="1:8" ht="14.25" customHeight="1" x14ac:dyDescent="0.3">
      <c r="B8" s="12" t="s">
        <v>286</v>
      </c>
      <c r="C8" s="10">
        <v>100000</v>
      </c>
      <c r="D8" s="10">
        <v>200000</v>
      </c>
      <c r="E8" s="10">
        <v>300000</v>
      </c>
      <c r="F8" s="11" t="s">
        <v>287</v>
      </c>
    </row>
    <row r="9" spans="1:8" ht="14.25" customHeight="1" x14ac:dyDescent="0.3">
      <c r="B9" s="12" t="s">
        <v>288</v>
      </c>
      <c r="C9" s="10">
        <v>5000</v>
      </c>
      <c r="D9" s="10">
        <v>10000</v>
      </c>
      <c r="E9" s="10">
        <v>15000</v>
      </c>
      <c r="F9" s="11" t="s">
        <v>287</v>
      </c>
    </row>
    <row r="10" spans="1:8" ht="14.25" customHeight="1" x14ac:dyDescent="0.3">
      <c r="B10" s="12" t="s">
        <v>289</v>
      </c>
      <c r="C10" s="10">
        <v>2000</v>
      </c>
      <c r="D10" s="10">
        <v>2000</v>
      </c>
      <c r="E10" s="10">
        <v>2000</v>
      </c>
      <c r="F10" s="11" t="s">
        <v>287</v>
      </c>
    </row>
    <row r="11" spans="1:8" ht="14.25" customHeight="1" x14ac:dyDescent="0.3">
      <c r="B11" s="12" t="s">
        <v>290</v>
      </c>
      <c r="C11" s="10">
        <v>3000</v>
      </c>
      <c r="D11" s="10">
        <v>3000</v>
      </c>
      <c r="E11" s="10">
        <v>3000</v>
      </c>
      <c r="F11" s="11" t="s">
        <v>287</v>
      </c>
    </row>
    <row r="12" spans="1:8" ht="14.25" customHeight="1" x14ac:dyDescent="0.3">
      <c r="B12" s="12" t="s">
        <v>291</v>
      </c>
      <c r="C12" s="10" t="s">
        <v>292</v>
      </c>
      <c r="D12" s="10" t="s">
        <v>292</v>
      </c>
      <c r="E12" s="10">
        <v>10000</v>
      </c>
      <c r="F12" s="11" t="s">
        <v>287</v>
      </c>
    </row>
    <row r="13" spans="1:8" ht="14.25" customHeight="1" x14ac:dyDescent="0.3">
      <c r="B13" s="12" t="s">
        <v>293</v>
      </c>
      <c r="C13" s="10" t="s">
        <v>292</v>
      </c>
      <c r="D13" s="10" t="s">
        <v>292</v>
      </c>
      <c r="E13" s="10">
        <v>10000</v>
      </c>
      <c r="F13" s="11" t="s">
        <v>287</v>
      </c>
    </row>
    <row r="14" spans="1:8" ht="14.25" customHeight="1" x14ac:dyDescent="0.3">
      <c r="B14" s="13" t="s">
        <v>294</v>
      </c>
      <c r="C14" s="14">
        <v>8563</v>
      </c>
      <c r="D14" s="14">
        <v>8991</v>
      </c>
      <c r="E14" s="14">
        <v>9933</v>
      </c>
      <c r="F14" s="15" t="s">
        <v>287</v>
      </c>
    </row>
    <row r="15" spans="1:8" ht="14.25" customHeight="1" x14ac:dyDescent="0.3">
      <c r="B15" s="16"/>
      <c r="C15" s="17"/>
      <c r="D15" s="17"/>
      <c r="E15" s="17"/>
      <c r="F15" s="11"/>
    </row>
    <row r="16" spans="1:8" ht="14.25" customHeight="1" x14ac:dyDescent="0.3">
      <c r="B16" s="4" t="s">
        <v>295</v>
      </c>
      <c r="C16" s="6" t="s">
        <v>280</v>
      </c>
      <c r="D16" s="6" t="s">
        <v>281</v>
      </c>
      <c r="E16" s="6" t="s">
        <v>282</v>
      </c>
      <c r="F16" s="8"/>
    </row>
    <row r="17" spans="1:8" ht="14.25" customHeight="1" x14ac:dyDescent="0.3">
      <c r="B17" s="12" t="s">
        <v>296</v>
      </c>
      <c r="C17" s="18" t="s">
        <v>297</v>
      </c>
      <c r="D17" s="18" t="s">
        <v>297</v>
      </c>
      <c r="E17" s="18" t="s">
        <v>298</v>
      </c>
      <c r="F17" s="11"/>
    </row>
    <row r="18" spans="1:8" ht="14.25" customHeight="1" x14ac:dyDescent="0.3">
      <c r="B18" s="12" t="s">
        <v>299</v>
      </c>
      <c r="C18" s="18" t="s">
        <v>297</v>
      </c>
      <c r="D18" s="18" t="s">
        <v>297</v>
      </c>
      <c r="E18" s="18" t="s">
        <v>298</v>
      </c>
      <c r="F18" s="11"/>
    </row>
    <row r="19" spans="1:8" ht="14.25" customHeight="1" x14ac:dyDescent="0.3">
      <c r="B19" s="12" t="s">
        <v>300</v>
      </c>
      <c r="C19" s="17">
        <v>2000</v>
      </c>
      <c r="D19" s="17">
        <v>2000</v>
      </c>
      <c r="E19" s="17">
        <v>2000</v>
      </c>
      <c r="F19" s="11" t="s">
        <v>287</v>
      </c>
    </row>
    <row r="20" spans="1:8" ht="14.25" customHeight="1" x14ac:dyDescent="0.3">
      <c r="B20" s="12" t="s">
        <v>301</v>
      </c>
      <c r="C20" s="17">
        <v>3000</v>
      </c>
      <c r="D20" s="17">
        <v>3000</v>
      </c>
      <c r="E20" s="17">
        <v>3000</v>
      </c>
      <c r="F20" s="11" t="s">
        <v>287</v>
      </c>
    </row>
    <row r="21" spans="1:8" ht="14.25" customHeight="1" x14ac:dyDescent="0.3">
      <c r="B21" s="12" t="s">
        <v>302</v>
      </c>
      <c r="C21" s="10" t="s">
        <v>292</v>
      </c>
      <c r="D21" s="18" t="s">
        <v>297</v>
      </c>
      <c r="E21" s="18" t="s">
        <v>298</v>
      </c>
      <c r="F21" s="11"/>
    </row>
    <row r="22" spans="1:8" ht="14.25" customHeight="1" thickBot="1" x14ac:dyDescent="0.35">
      <c r="B22" s="12" t="s">
        <v>303</v>
      </c>
      <c r="C22" s="17" t="s">
        <v>304</v>
      </c>
      <c r="D22" s="17" t="s">
        <v>304</v>
      </c>
      <c r="E22" s="17" t="s">
        <v>304</v>
      </c>
      <c r="F22" s="11"/>
    </row>
    <row r="23" spans="1:8" ht="14.25" customHeight="1" thickBot="1" x14ac:dyDescent="0.35">
      <c r="B23" s="13" t="s">
        <v>294</v>
      </c>
      <c r="C23" s="19">
        <v>14536</v>
      </c>
      <c r="D23" s="19">
        <v>15117</v>
      </c>
      <c r="E23" s="19">
        <v>16752</v>
      </c>
      <c r="F23" s="15" t="s">
        <v>287</v>
      </c>
    </row>
    <row r="24" spans="1:8" ht="14.25" customHeight="1" x14ac:dyDescent="0.25"/>
    <row r="25" spans="1:8" ht="14.25" customHeight="1" thickBot="1" x14ac:dyDescent="0.35">
      <c r="B25" s="89"/>
      <c r="C25" s="89"/>
      <c r="D25" s="89"/>
      <c r="E25" s="89"/>
      <c r="F25" s="89"/>
      <c r="G25" s="89"/>
      <c r="H25" s="89"/>
    </row>
    <row r="26" spans="1:8" ht="14.25" customHeight="1" x14ac:dyDescent="0.3">
      <c r="B26" s="79" t="s">
        <v>139</v>
      </c>
      <c r="C26" s="80" t="s">
        <v>1</v>
      </c>
      <c r="D26" s="80" t="s">
        <v>140</v>
      </c>
      <c r="E26" s="80" t="s">
        <v>142</v>
      </c>
      <c r="F26" s="80" t="s">
        <v>275</v>
      </c>
      <c r="G26" s="80" t="s">
        <v>276</v>
      </c>
      <c r="H26" s="86" t="s">
        <v>277</v>
      </c>
    </row>
    <row r="27" spans="1:8" ht="14.25" customHeight="1" thickBot="1" x14ac:dyDescent="0.35">
      <c r="B27" s="47" t="s">
        <v>210</v>
      </c>
      <c r="C27" s="48" t="s">
        <v>147</v>
      </c>
      <c r="D27" s="87">
        <v>347900</v>
      </c>
      <c r="E27" s="48">
        <v>4</v>
      </c>
      <c r="F27" s="48">
        <v>66</v>
      </c>
      <c r="G27" s="48">
        <v>850</v>
      </c>
      <c r="H27" s="62">
        <v>1242</v>
      </c>
    </row>
    <row r="28" spans="1:8" ht="14.25" customHeight="1" x14ac:dyDescent="0.25"/>
    <row r="29" spans="1:8" ht="14.25" customHeight="1" thickBot="1" x14ac:dyDescent="0.35">
      <c r="A29" s="1" t="s">
        <v>278</v>
      </c>
    </row>
    <row r="30" spans="1:8" ht="14.25" customHeight="1" x14ac:dyDescent="0.3">
      <c r="B30" s="4" t="s">
        <v>279</v>
      </c>
      <c r="C30" s="6" t="s">
        <v>280</v>
      </c>
      <c r="D30" s="6" t="s">
        <v>281</v>
      </c>
      <c r="E30" s="6" t="s">
        <v>282</v>
      </c>
      <c r="F30" s="8"/>
    </row>
    <row r="31" spans="1:8" ht="14.25" customHeight="1" x14ac:dyDescent="0.3">
      <c r="B31" s="12" t="s">
        <v>283</v>
      </c>
      <c r="C31" s="10">
        <v>35</v>
      </c>
      <c r="D31" s="10">
        <v>60</v>
      </c>
      <c r="E31" s="10">
        <v>200</v>
      </c>
      <c r="F31" s="11" t="s">
        <v>284</v>
      </c>
    </row>
    <row r="32" spans="1:8" ht="14.25" customHeight="1" x14ac:dyDescent="0.3">
      <c r="B32" s="12" t="s">
        <v>285</v>
      </c>
      <c r="C32" s="10">
        <v>44</v>
      </c>
      <c r="D32" s="10">
        <v>60</v>
      </c>
      <c r="E32" s="10">
        <v>200</v>
      </c>
      <c r="F32" s="11" t="s">
        <v>284</v>
      </c>
    </row>
    <row r="33" spans="2:6" ht="14.25" customHeight="1" x14ac:dyDescent="0.3">
      <c r="B33" s="12" t="s">
        <v>286</v>
      </c>
      <c r="C33" s="10">
        <v>100000</v>
      </c>
      <c r="D33" s="10">
        <v>200000</v>
      </c>
      <c r="E33" s="10">
        <v>300000</v>
      </c>
      <c r="F33" s="11" t="s">
        <v>287</v>
      </c>
    </row>
    <row r="34" spans="2:6" ht="14.25" customHeight="1" x14ac:dyDescent="0.3">
      <c r="B34" s="12" t="s">
        <v>288</v>
      </c>
      <c r="C34" s="10">
        <v>5000</v>
      </c>
      <c r="D34" s="10">
        <v>10000</v>
      </c>
      <c r="E34" s="10">
        <v>15000</v>
      </c>
      <c r="F34" s="11" t="s">
        <v>287</v>
      </c>
    </row>
    <row r="35" spans="2:6" ht="14.25" customHeight="1" x14ac:dyDescent="0.3">
      <c r="B35" s="12" t="s">
        <v>289</v>
      </c>
      <c r="C35" s="10">
        <v>2000</v>
      </c>
      <c r="D35" s="10">
        <v>2000</v>
      </c>
      <c r="E35" s="10">
        <v>2000</v>
      </c>
      <c r="F35" s="11" t="s">
        <v>287</v>
      </c>
    </row>
    <row r="36" spans="2:6" ht="14.25" customHeight="1" x14ac:dyDescent="0.3">
      <c r="B36" s="12" t="s">
        <v>290</v>
      </c>
      <c r="C36" s="10">
        <v>3000</v>
      </c>
      <c r="D36" s="10">
        <v>3000</v>
      </c>
      <c r="E36" s="10">
        <v>3000</v>
      </c>
      <c r="F36" s="11" t="s">
        <v>287</v>
      </c>
    </row>
    <row r="37" spans="2:6" ht="14.25" customHeight="1" x14ac:dyDescent="0.3">
      <c r="B37" s="12" t="s">
        <v>291</v>
      </c>
      <c r="C37" s="10" t="s">
        <v>292</v>
      </c>
      <c r="D37" s="10" t="s">
        <v>292</v>
      </c>
      <c r="E37" s="10">
        <v>10000</v>
      </c>
      <c r="F37" s="11" t="s">
        <v>287</v>
      </c>
    </row>
    <row r="38" spans="2:6" ht="14.25" customHeight="1" x14ac:dyDescent="0.3">
      <c r="B38" s="12" t="s">
        <v>293</v>
      </c>
      <c r="C38" s="10" t="s">
        <v>292</v>
      </c>
      <c r="D38" s="10" t="s">
        <v>292</v>
      </c>
      <c r="E38" s="10">
        <v>10000</v>
      </c>
      <c r="F38" s="11" t="s">
        <v>287</v>
      </c>
    </row>
    <row r="39" spans="2:6" ht="14.25" customHeight="1" x14ac:dyDescent="0.3">
      <c r="B39" s="13" t="s">
        <v>294</v>
      </c>
      <c r="C39" s="14">
        <v>7987</v>
      </c>
      <c r="D39" s="14">
        <v>8386</v>
      </c>
      <c r="E39" s="14">
        <v>9265</v>
      </c>
      <c r="F39" s="15" t="s">
        <v>287</v>
      </c>
    </row>
    <row r="40" spans="2:6" ht="14.25" customHeight="1" x14ac:dyDescent="0.3">
      <c r="B40" s="16"/>
      <c r="C40" s="17"/>
      <c r="D40" s="17"/>
      <c r="E40" s="17"/>
      <c r="F40" s="11"/>
    </row>
    <row r="41" spans="2:6" ht="14.25" customHeight="1" x14ac:dyDescent="0.3">
      <c r="B41" s="4" t="s">
        <v>295</v>
      </c>
      <c r="C41" s="6" t="s">
        <v>280</v>
      </c>
      <c r="D41" s="6" t="s">
        <v>281</v>
      </c>
      <c r="E41" s="6" t="s">
        <v>282</v>
      </c>
      <c r="F41" s="8"/>
    </row>
    <row r="42" spans="2:6" ht="14.25" customHeight="1" x14ac:dyDescent="0.3">
      <c r="B42" s="9" t="s">
        <v>296</v>
      </c>
      <c r="C42" s="21" t="s">
        <v>297</v>
      </c>
      <c r="D42" s="21" t="s">
        <v>297</v>
      </c>
      <c r="E42" s="21" t="s">
        <v>298</v>
      </c>
      <c r="F42" s="22"/>
    </row>
    <row r="43" spans="2:6" ht="14.25" customHeight="1" x14ac:dyDescent="0.3">
      <c r="B43" s="12" t="s">
        <v>299</v>
      </c>
      <c r="C43" s="18" t="s">
        <v>297</v>
      </c>
      <c r="D43" s="18" t="s">
        <v>297</v>
      </c>
      <c r="E43" s="18" t="s">
        <v>298</v>
      </c>
      <c r="F43" s="11"/>
    </row>
    <row r="44" spans="2:6" ht="14.25" customHeight="1" x14ac:dyDescent="0.3">
      <c r="B44" s="12" t="s">
        <v>300</v>
      </c>
      <c r="C44" s="17">
        <v>2000</v>
      </c>
      <c r="D44" s="17">
        <v>2000</v>
      </c>
      <c r="E44" s="17">
        <v>2000</v>
      </c>
      <c r="F44" s="11" t="s">
        <v>287</v>
      </c>
    </row>
    <row r="45" spans="2:6" ht="14.25" customHeight="1" x14ac:dyDescent="0.3">
      <c r="B45" s="12" t="s">
        <v>301</v>
      </c>
      <c r="C45" s="17">
        <v>3000</v>
      </c>
      <c r="D45" s="17">
        <v>3000</v>
      </c>
      <c r="E45" s="17">
        <v>3000</v>
      </c>
      <c r="F45" s="11" t="s">
        <v>287</v>
      </c>
    </row>
    <row r="46" spans="2:6" ht="14.25" customHeight="1" x14ac:dyDescent="0.3">
      <c r="B46" s="12" t="s">
        <v>302</v>
      </c>
      <c r="C46" s="10" t="s">
        <v>292</v>
      </c>
      <c r="D46" s="18" t="s">
        <v>297</v>
      </c>
      <c r="E46" s="18" t="s">
        <v>298</v>
      </c>
      <c r="F46" s="11"/>
    </row>
    <row r="47" spans="2:6" ht="14.25" customHeight="1" x14ac:dyDescent="0.3">
      <c r="B47" s="23" t="s">
        <v>303</v>
      </c>
      <c r="C47" s="20" t="s">
        <v>304</v>
      </c>
      <c r="D47" s="20" t="s">
        <v>304</v>
      </c>
      <c r="E47" s="20" t="s">
        <v>304</v>
      </c>
      <c r="F47" s="24"/>
    </row>
    <row r="48" spans="2:6" ht="14.25" customHeight="1" x14ac:dyDescent="0.3">
      <c r="B48" s="25" t="s">
        <v>294</v>
      </c>
      <c r="C48" s="26">
        <v>12677</v>
      </c>
      <c r="D48" s="26">
        <v>13184</v>
      </c>
      <c r="E48" s="26">
        <v>14677</v>
      </c>
      <c r="F48" s="27" t="s">
        <v>287</v>
      </c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00"/>
  <sheetViews>
    <sheetView workbookViewId="0">
      <selection activeCell="B20" sqref="B20"/>
    </sheetView>
  </sheetViews>
  <sheetFormatPr defaultColWidth="12.59765625" defaultRowHeight="15" customHeight="1" x14ac:dyDescent="0.25"/>
  <cols>
    <col min="1" max="1" width="30.3984375" customWidth="1"/>
    <col min="2" max="4" width="7.59765625" customWidth="1"/>
    <col min="5" max="5" width="8" bestFit="1" customWidth="1"/>
    <col min="6" max="8" width="7.59765625" customWidth="1"/>
    <col min="9" max="9" width="8.3984375" bestFit="1" customWidth="1"/>
    <col min="10" max="10" width="14.69921875" bestFit="1" customWidth="1"/>
    <col min="11" max="11" width="9.5" bestFit="1" customWidth="1"/>
    <col min="12" max="26" width="7.59765625" customWidth="1"/>
  </cols>
  <sheetData>
    <row r="1" spans="1:14" ht="14.25" customHeight="1" x14ac:dyDescent="0.3">
      <c r="A1" s="39" t="s">
        <v>405</v>
      </c>
      <c r="B1" s="39" t="s">
        <v>1</v>
      </c>
      <c r="C1" s="39" t="s">
        <v>305</v>
      </c>
      <c r="D1" s="39" t="s">
        <v>306</v>
      </c>
      <c r="E1" s="39" t="s">
        <v>307</v>
      </c>
      <c r="F1" s="39" t="s">
        <v>308</v>
      </c>
      <c r="G1" s="39" t="s">
        <v>309</v>
      </c>
      <c r="H1" s="39" t="s">
        <v>310</v>
      </c>
      <c r="I1" s="39" t="s">
        <v>311</v>
      </c>
      <c r="J1" s="39" t="s">
        <v>312</v>
      </c>
      <c r="K1" s="39" t="s">
        <v>313</v>
      </c>
      <c r="L1" s="63" t="s">
        <v>6</v>
      </c>
    </row>
    <row r="2" spans="1:14" ht="14.25" customHeight="1" x14ac:dyDescent="0.3">
      <c r="A2" s="43" t="s">
        <v>314</v>
      </c>
      <c r="B2" s="44" t="s">
        <v>315</v>
      </c>
      <c r="C2" s="83" t="s">
        <v>139</v>
      </c>
      <c r="D2" s="81">
        <v>5440</v>
      </c>
      <c r="E2" s="81">
        <v>457900</v>
      </c>
      <c r="F2" s="82"/>
      <c r="G2" s="82"/>
      <c r="H2" s="82"/>
      <c r="I2" s="82"/>
      <c r="J2" s="82"/>
      <c r="K2" s="82"/>
      <c r="L2" s="91"/>
      <c r="N2" s="2" t="s">
        <v>316</v>
      </c>
    </row>
    <row r="3" spans="1:14" ht="14.25" customHeight="1" x14ac:dyDescent="0.3">
      <c r="A3" s="43" t="s">
        <v>317</v>
      </c>
      <c r="B3" s="44" t="s">
        <v>318</v>
      </c>
      <c r="C3" s="83" t="s">
        <v>139</v>
      </c>
      <c r="D3" s="81">
        <v>4804</v>
      </c>
      <c r="E3" s="81">
        <v>348700</v>
      </c>
      <c r="F3" s="82"/>
      <c r="G3" s="82"/>
      <c r="H3" s="82"/>
      <c r="I3" s="82"/>
      <c r="J3" s="82"/>
      <c r="K3" s="82"/>
      <c r="L3" s="91"/>
      <c r="N3" s="2" t="s">
        <v>319</v>
      </c>
    </row>
    <row r="4" spans="1:14" ht="14.25" customHeight="1" x14ac:dyDescent="0.3">
      <c r="A4" s="43" t="s">
        <v>320</v>
      </c>
      <c r="B4" s="82"/>
      <c r="C4" s="92" t="s">
        <v>321</v>
      </c>
      <c r="D4" s="81">
        <v>3859</v>
      </c>
      <c r="E4" s="81">
        <v>254700</v>
      </c>
      <c r="F4" s="82"/>
      <c r="G4" s="82"/>
      <c r="H4" s="82"/>
      <c r="I4" s="82"/>
      <c r="J4" s="82"/>
      <c r="K4" s="82"/>
      <c r="L4" s="91"/>
      <c r="N4" s="2" t="s">
        <v>322</v>
      </c>
    </row>
    <row r="5" spans="1:14" ht="14.25" customHeight="1" x14ac:dyDescent="0.3">
      <c r="A5" s="43" t="s">
        <v>323</v>
      </c>
      <c r="B5" s="82"/>
      <c r="C5" s="92" t="s">
        <v>321</v>
      </c>
      <c r="D5" s="81">
        <v>7300</v>
      </c>
      <c r="E5" s="81">
        <v>836755</v>
      </c>
      <c r="F5" s="82"/>
      <c r="G5" s="82"/>
      <c r="H5" s="82"/>
      <c r="I5" s="82"/>
      <c r="J5" s="82"/>
      <c r="K5" s="82"/>
      <c r="L5" s="91"/>
      <c r="N5" s="2" t="s">
        <v>324</v>
      </c>
    </row>
    <row r="6" spans="1:14" ht="14.25" customHeight="1" x14ac:dyDescent="0.3">
      <c r="A6" s="43" t="s">
        <v>325</v>
      </c>
      <c r="B6" s="82"/>
      <c r="C6" s="92" t="s">
        <v>321</v>
      </c>
      <c r="D6" s="81">
        <v>4727</v>
      </c>
      <c r="E6" s="81">
        <v>359496</v>
      </c>
      <c r="F6" s="44">
        <v>48</v>
      </c>
      <c r="G6" s="44">
        <v>10000</v>
      </c>
      <c r="H6" s="93" t="s">
        <v>326</v>
      </c>
      <c r="I6" s="93" t="s">
        <v>326</v>
      </c>
      <c r="J6" s="93" t="s">
        <v>292</v>
      </c>
      <c r="K6" s="82"/>
      <c r="L6" s="91"/>
      <c r="N6" s="2" t="s">
        <v>327</v>
      </c>
    </row>
    <row r="7" spans="1:14" ht="14.25" customHeight="1" x14ac:dyDescent="0.3">
      <c r="A7" s="43" t="s">
        <v>328</v>
      </c>
      <c r="B7" s="82"/>
      <c r="C7" s="92" t="s">
        <v>321</v>
      </c>
      <c r="D7" s="81">
        <v>4496</v>
      </c>
      <c r="E7" s="81">
        <v>384980</v>
      </c>
      <c r="F7" s="44">
        <v>60</v>
      </c>
      <c r="G7" s="44">
        <v>8000</v>
      </c>
      <c r="H7" s="93" t="s">
        <v>326</v>
      </c>
      <c r="I7" s="93" t="s">
        <v>326</v>
      </c>
      <c r="J7" s="93" t="s">
        <v>292</v>
      </c>
      <c r="K7" s="82"/>
      <c r="L7" s="91"/>
      <c r="N7" s="2" t="s">
        <v>329</v>
      </c>
    </row>
    <row r="8" spans="1:14" ht="14.25" customHeight="1" x14ac:dyDescent="0.3">
      <c r="A8" s="43" t="s">
        <v>330</v>
      </c>
      <c r="B8" s="44" t="s">
        <v>5</v>
      </c>
      <c r="C8" s="83" t="s">
        <v>139</v>
      </c>
      <c r="D8" s="81">
        <v>15718</v>
      </c>
      <c r="E8" s="81">
        <v>1026101</v>
      </c>
      <c r="F8" s="44">
        <v>34</v>
      </c>
      <c r="G8" s="44">
        <v>20000</v>
      </c>
      <c r="H8" s="93" t="s">
        <v>326</v>
      </c>
      <c r="I8" s="93" t="s">
        <v>326</v>
      </c>
      <c r="J8" s="94" t="s">
        <v>331</v>
      </c>
      <c r="K8" s="93" t="s">
        <v>326</v>
      </c>
      <c r="L8" s="91"/>
      <c r="N8" s="2" t="s">
        <v>332</v>
      </c>
    </row>
    <row r="9" spans="1:14" ht="14.25" customHeight="1" x14ac:dyDescent="0.3">
      <c r="A9" s="43" t="s">
        <v>333</v>
      </c>
      <c r="B9" s="44" t="s">
        <v>5</v>
      </c>
      <c r="C9" s="83" t="s">
        <v>139</v>
      </c>
      <c r="D9" s="81">
        <v>24100</v>
      </c>
      <c r="E9" s="81">
        <v>1235030</v>
      </c>
      <c r="F9" s="44">
        <v>48</v>
      </c>
      <c r="G9" s="44">
        <v>15000</v>
      </c>
      <c r="H9" s="93" t="s">
        <v>326</v>
      </c>
      <c r="I9" s="93" t="s">
        <v>326</v>
      </c>
      <c r="J9" s="94" t="s">
        <v>334</v>
      </c>
      <c r="K9" s="93" t="s">
        <v>292</v>
      </c>
      <c r="L9" s="91"/>
      <c r="N9" s="2" t="s">
        <v>335</v>
      </c>
    </row>
    <row r="10" spans="1:14" ht="14.25" customHeight="1" x14ac:dyDescent="0.25">
      <c r="A10" s="60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66"/>
    </row>
    <row r="11" spans="1:14" ht="14.25" customHeight="1" x14ac:dyDescent="0.3">
      <c r="A11" s="60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91"/>
      <c r="N11" s="2" t="s">
        <v>336</v>
      </c>
    </row>
    <row r="12" spans="1:14" ht="14.25" customHeight="1" x14ac:dyDescent="0.25">
      <c r="A12" s="60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66"/>
    </row>
    <row r="13" spans="1:14" ht="14.25" customHeight="1" x14ac:dyDescent="0.3">
      <c r="A13" s="43" t="s">
        <v>337</v>
      </c>
      <c r="B13" s="44" t="s">
        <v>5</v>
      </c>
      <c r="C13" s="83" t="s">
        <v>139</v>
      </c>
      <c r="D13" s="81">
        <v>12705</v>
      </c>
      <c r="E13" s="82"/>
      <c r="F13" s="44">
        <v>12</v>
      </c>
      <c r="G13" s="44">
        <v>25000</v>
      </c>
      <c r="H13" s="93" t="s">
        <v>326</v>
      </c>
      <c r="I13" s="93" t="s">
        <v>326</v>
      </c>
      <c r="J13" s="93" t="s">
        <v>326</v>
      </c>
      <c r="K13" s="93" t="s">
        <v>292</v>
      </c>
      <c r="L13" s="59">
        <v>0</v>
      </c>
      <c r="N13" s="2" t="s">
        <v>338</v>
      </c>
    </row>
    <row r="14" spans="1:14" ht="14.25" customHeight="1" x14ac:dyDescent="0.3">
      <c r="A14" s="43" t="s">
        <v>333</v>
      </c>
      <c r="B14" s="44" t="s">
        <v>5</v>
      </c>
      <c r="C14" s="83" t="s">
        <v>139</v>
      </c>
      <c r="D14" s="81">
        <v>20818</v>
      </c>
      <c r="E14" s="82"/>
      <c r="F14" s="44">
        <v>24</v>
      </c>
      <c r="G14" s="44">
        <v>25000</v>
      </c>
      <c r="H14" s="93" t="s">
        <v>326</v>
      </c>
      <c r="I14" s="93" t="s">
        <v>326</v>
      </c>
      <c r="J14" s="93" t="s">
        <v>326</v>
      </c>
      <c r="K14" s="93" t="s">
        <v>292</v>
      </c>
      <c r="L14" s="59">
        <v>0</v>
      </c>
      <c r="N14" s="2" t="s">
        <v>339</v>
      </c>
    </row>
    <row r="15" spans="1:14" ht="14.25" customHeight="1" x14ac:dyDescent="0.3">
      <c r="A15" s="43" t="s">
        <v>340</v>
      </c>
      <c r="B15" s="44" t="s">
        <v>5</v>
      </c>
      <c r="C15" s="83" t="s">
        <v>139</v>
      </c>
      <c r="D15" s="81">
        <v>17545</v>
      </c>
      <c r="E15" s="82"/>
      <c r="F15" s="44">
        <v>6</v>
      </c>
      <c r="G15" s="44">
        <v>30000</v>
      </c>
      <c r="H15" s="93" t="s">
        <v>326</v>
      </c>
      <c r="I15" s="93" t="s">
        <v>326</v>
      </c>
      <c r="J15" s="93" t="s">
        <v>326</v>
      </c>
      <c r="K15" s="93" t="s">
        <v>326</v>
      </c>
      <c r="L15" s="59">
        <v>0</v>
      </c>
      <c r="N15" s="2" t="s">
        <v>341</v>
      </c>
    </row>
    <row r="16" spans="1:14" ht="14.25" customHeight="1" x14ac:dyDescent="0.3">
      <c r="A16" s="43" t="s">
        <v>342</v>
      </c>
      <c r="B16" s="44" t="s">
        <v>315</v>
      </c>
      <c r="C16" s="83" t="s">
        <v>139</v>
      </c>
      <c r="D16" s="81">
        <v>9063</v>
      </c>
      <c r="E16" s="82"/>
      <c r="F16" s="44">
        <v>24</v>
      </c>
      <c r="G16" s="44">
        <v>15000</v>
      </c>
      <c r="H16" s="93" t="s">
        <v>292</v>
      </c>
      <c r="I16" s="93" t="s">
        <v>326</v>
      </c>
      <c r="J16" s="93" t="s">
        <v>326</v>
      </c>
      <c r="K16" s="93" t="s">
        <v>292</v>
      </c>
      <c r="L16" s="59">
        <v>0</v>
      </c>
      <c r="N16" s="2" t="s">
        <v>343</v>
      </c>
    </row>
    <row r="17" spans="1:14" ht="14.25" customHeight="1" x14ac:dyDescent="0.3">
      <c r="A17" s="43" t="s">
        <v>344</v>
      </c>
      <c r="B17" s="44" t="s">
        <v>315</v>
      </c>
      <c r="C17" s="83" t="s">
        <v>139</v>
      </c>
      <c r="D17" s="81">
        <v>9668</v>
      </c>
      <c r="E17" s="82"/>
      <c r="F17" s="44">
        <v>24</v>
      </c>
      <c r="G17" s="44">
        <v>10000</v>
      </c>
      <c r="H17" s="93" t="s">
        <v>292</v>
      </c>
      <c r="I17" s="93" t="s">
        <v>326</v>
      </c>
      <c r="J17" s="93" t="s">
        <v>326</v>
      </c>
      <c r="K17" s="93" t="s">
        <v>292</v>
      </c>
      <c r="L17" s="59">
        <v>0</v>
      </c>
      <c r="N17" s="2" t="s">
        <v>343</v>
      </c>
    </row>
    <row r="18" spans="1:14" ht="14.25" customHeight="1" x14ac:dyDescent="0.3">
      <c r="A18" s="60"/>
      <c r="B18" s="82"/>
      <c r="C18" s="83"/>
      <c r="D18" s="82"/>
      <c r="E18" s="82"/>
      <c r="F18" s="82"/>
      <c r="G18" s="82"/>
      <c r="H18" s="82"/>
      <c r="I18" s="82"/>
      <c r="J18" s="82"/>
      <c r="K18" s="82"/>
      <c r="L18" s="66"/>
    </row>
    <row r="19" spans="1:14" ht="14.25" customHeight="1" x14ac:dyDescent="0.25">
      <c r="A19" s="60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66"/>
      <c r="N19" s="2" t="s">
        <v>345</v>
      </c>
    </row>
    <row r="20" spans="1:14" ht="14.25" customHeight="1" x14ac:dyDescent="0.25">
      <c r="A20" s="60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66"/>
    </row>
    <row r="21" spans="1:14" ht="14.25" customHeight="1" thickBot="1" x14ac:dyDescent="0.35">
      <c r="A21" s="47" t="s">
        <v>346</v>
      </c>
      <c r="B21" s="48" t="s">
        <v>347</v>
      </c>
      <c r="C21" s="48" t="s">
        <v>139</v>
      </c>
      <c r="D21" s="87">
        <v>14508</v>
      </c>
      <c r="E21" s="84"/>
      <c r="F21" s="48">
        <v>24</v>
      </c>
      <c r="G21" s="48">
        <v>20000</v>
      </c>
      <c r="H21" s="95" t="s">
        <v>292</v>
      </c>
      <c r="I21" s="95" t="s">
        <v>326</v>
      </c>
      <c r="J21" s="96" t="s">
        <v>334</v>
      </c>
      <c r="K21" s="95" t="s">
        <v>292</v>
      </c>
      <c r="L21" s="62">
        <v>0</v>
      </c>
      <c r="N21" s="2" t="s">
        <v>348</v>
      </c>
    </row>
    <row r="22" spans="1:14" ht="14.25" customHeight="1" x14ac:dyDescent="0.25"/>
    <row r="23" spans="1:14" ht="14.25" customHeight="1" x14ac:dyDescent="0.25"/>
    <row r="24" spans="1:14" ht="14.25" customHeight="1" x14ac:dyDescent="0.25"/>
    <row r="25" spans="1:14" ht="14.25" customHeight="1" x14ac:dyDescent="0.25"/>
    <row r="26" spans="1:14" ht="14.25" customHeight="1" x14ac:dyDescent="0.25"/>
    <row r="27" spans="1:14" ht="14.25" customHeight="1" x14ac:dyDescent="0.25"/>
    <row r="28" spans="1:14" ht="14.25" customHeight="1" x14ac:dyDescent="0.25"/>
    <row r="29" spans="1:14" ht="14.25" customHeight="1" x14ac:dyDescent="0.25"/>
    <row r="30" spans="1:14" ht="14.25" customHeight="1" x14ac:dyDescent="0.25"/>
    <row r="31" spans="1:14" ht="14.25" customHeight="1" x14ac:dyDescent="0.25"/>
    <row r="32" spans="1:1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hyperlinks>
    <hyperlink ref="N2" r:id="rId1" xr:uid="{00000000-0004-0000-0500-000000000000}"/>
    <hyperlink ref="N3" r:id="rId2" xr:uid="{00000000-0004-0000-0500-000001000000}"/>
    <hyperlink ref="N4" r:id="rId3" xr:uid="{00000000-0004-0000-0500-000002000000}"/>
    <hyperlink ref="N5" r:id="rId4" xr:uid="{00000000-0004-0000-0500-000003000000}"/>
    <hyperlink ref="N6" r:id="rId5" location="mileage:10000;contractLength:48;priceOffer:49c74e15-002d-4a56-8001-e9230861d06b" xr:uid="{00000000-0004-0000-0500-000004000000}"/>
    <hyperlink ref="N7" r:id="rId6" location="mileage:8000;contractLength:60;priceOffer:7a99845e-7bc5-4e49-88b2-3d1a41d8e1cc" xr:uid="{00000000-0004-0000-0500-000005000000}"/>
    <hyperlink ref="N8" r:id="rId7" location="mileage:20000;contractLength:34;priceOffer:59de7d6d-cc41-4ad5-8968-119d32c96b73" xr:uid="{00000000-0004-0000-0500-000006000000}"/>
    <hyperlink ref="N9" r:id="rId8" location="mileage:15000;contractLength:48;priceOffer:063f0df2-4f99-474b-ab8a-3cd93143580b" xr:uid="{00000000-0004-0000-0500-000007000000}"/>
    <hyperlink ref="N11" r:id="rId9" xr:uid="{00000000-0004-0000-0500-000008000000}"/>
    <hyperlink ref="N13" r:id="rId10" xr:uid="{00000000-0004-0000-0500-000009000000}"/>
    <hyperlink ref="N14" r:id="rId11" xr:uid="{00000000-0004-0000-0500-00000A000000}"/>
    <hyperlink ref="N15" r:id="rId12" xr:uid="{00000000-0004-0000-0500-00000B000000}"/>
    <hyperlink ref="N16" r:id="rId13" xr:uid="{00000000-0004-0000-0500-00000C000000}"/>
    <hyperlink ref="N17" r:id="rId14" xr:uid="{00000000-0004-0000-0500-00000D000000}"/>
    <hyperlink ref="N19" r:id="rId15" xr:uid="{00000000-0004-0000-0500-00000E000000}"/>
    <hyperlink ref="N21" r:id="rId16" location="mileage:20000;contractLength:24;priceOffer:82d8e7fd-714b-47a0-8339-554bc8bb4808" xr:uid="{00000000-0004-0000-0500-00000F000000}"/>
  </hyperlink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00"/>
  <sheetViews>
    <sheetView workbookViewId="0">
      <selection activeCell="C10" sqref="C10"/>
    </sheetView>
  </sheetViews>
  <sheetFormatPr defaultColWidth="12.59765625" defaultRowHeight="15" customHeight="1" x14ac:dyDescent="0.25"/>
  <cols>
    <col min="1" max="1" width="7.59765625" customWidth="1"/>
    <col min="2" max="2" width="11.09765625" customWidth="1"/>
    <col min="3" max="3" width="9.19921875" customWidth="1"/>
    <col min="4" max="5" width="12" customWidth="1"/>
    <col min="6" max="6" width="7.59765625" customWidth="1"/>
    <col min="7" max="7" width="8.19921875" customWidth="1"/>
    <col min="8" max="8" width="7.59765625" customWidth="1"/>
    <col min="9" max="9" width="4.69921875" customWidth="1"/>
    <col min="10" max="10" width="8" bestFit="1" customWidth="1"/>
    <col min="11" max="12" width="7.59765625" customWidth="1"/>
    <col min="13" max="13" width="8.296875" bestFit="1" customWidth="1"/>
    <col min="14" max="14" width="10.5" bestFit="1" customWidth="1"/>
    <col min="15" max="24" width="7.59765625" customWidth="1"/>
  </cols>
  <sheetData>
    <row r="1" spans="1:14" ht="14.25" customHeight="1" thickBot="1" x14ac:dyDescent="0.3"/>
    <row r="2" spans="1:14" ht="14.25" customHeight="1" x14ac:dyDescent="0.3">
      <c r="B2" s="104" t="s">
        <v>349</v>
      </c>
      <c r="C2" s="105">
        <v>900</v>
      </c>
    </row>
    <row r="3" spans="1:14" ht="14.25" customHeight="1" thickBot="1" x14ac:dyDescent="0.35">
      <c r="A3" s="82"/>
      <c r="B3" s="97" t="s">
        <v>350</v>
      </c>
      <c r="C3" s="106">
        <v>0.7</v>
      </c>
      <c r="D3" s="82"/>
      <c r="E3" s="82"/>
      <c r="F3" s="82"/>
      <c r="G3" s="82"/>
      <c r="H3" s="82"/>
      <c r="J3" s="37" t="s">
        <v>406</v>
      </c>
      <c r="M3" s="37" t="s">
        <v>407</v>
      </c>
    </row>
    <row r="4" spans="1:14" ht="14.25" customHeight="1" x14ac:dyDescent="0.3">
      <c r="A4" s="107" t="s">
        <v>351</v>
      </c>
      <c r="B4" s="108" t="s">
        <v>352</v>
      </c>
      <c r="C4" s="108" t="s">
        <v>353</v>
      </c>
      <c r="D4" s="39" t="s">
        <v>354</v>
      </c>
      <c r="E4" s="39" t="s">
        <v>355</v>
      </c>
      <c r="F4" s="39" t="s">
        <v>356</v>
      </c>
      <c r="G4" s="39" t="s">
        <v>357</v>
      </c>
      <c r="H4" s="63" t="s">
        <v>358</v>
      </c>
      <c r="J4" s="109" t="s">
        <v>359</v>
      </c>
      <c r="K4" s="110" t="s">
        <v>360</v>
      </c>
      <c r="M4" s="109" t="s">
        <v>359</v>
      </c>
      <c r="N4" s="110" t="s">
        <v>360</v>
      </c>
    </row>
    <row r="5" spans="1:14" ht="14.25" customHeight="1" x14ac:dyDescent="0.3">
      <c r="A5" s="43">
        <v>1</v>
      </c>
      <c r="B5" s="44">
        <v>2019</v>
      </c>
      <c r="C5" s="44" t="s">
        <v>361</v>
      </c>
      <c r="D5" s="44">
        <v>0.1</v>
      </c>
      <c r="E5" s="82"/>
      <c r="F5" s="82"/>
      <c r="G5" s="44">
        <v>9</v>
      </c>
      <c r="H5" s="59">
        <v>30</v>
      </c>
      <c r="J5" s="28">
        <f>G5*$C$3+(H5-G5)*(D5+E5)</f>
        <v>8.4</v>
      </c>
      <c r="K5" s="11">
        <f t="shared" ref="K5:K16" si="0">J5*$C$2*20</f>
        <v>151200</v>
      </c>
      <c r="M5" s="28">
        <f>G5*$C$3+(H5-G5)*($C$3+E5)</f>
        <v>21</v>
      </c>
      <c r="N5" s="11">
        <f>M5*$C$2*20</f>
        <v>378000</v>
      </c>
    </row>
    <row r="6" spans="1:14" ht="14.25" customHeight="1" x14ac:dyDescent="0.3">
      <c r="A6" s="43">
        <v>1</v>
      </c>
      <c r="B6" s="44">
        <v>2019</v>
      </c>
      <c r="C6" s="44" t="s">
        <v>362</v>
      </c>
      <c r="D6" s="44">
        <v>0.1</v>
      </c>
      <c r="E6" s="82"/>
      <c r="F6" s="44">
        <v>1</v>
      </c>
      <c r="G6" s="44">
        <v>8</v>
      </c>
      <c r="H6" s="59">
        <v>31</v>
      </c>
      <c r="J6" s="28">
        <f>10.2</f>
        <v>10.199999999999999</v>
      </c>
      <c r="K6" s="11">
        <f t="shared" si="0"/>
        <v>183600</v>
      </c>
      <c r="M6" s="28">
        <f t="shared" ref="M6:M16" si="1">G6*$C$3+(H6-G6)*($C$3+E6)</f>
        <v>21.699999999999996</v>
      </c>
      <c r="N6" s="11">
        <f t="shared" ref="N6:N16" si="2">M6*$C$2*20</f>
        <v>390599.99999999994</v>
      </c>
    </row>
    <row r="7" spans="1:14" ht="14.25" customHeight="1" x14ac:dyDescent="0.3">
      <c r="A7" s="43">
        <v>1</v>
      </c>
      <c r="B7" s="44">
        <v>2019</v>
      </c>
      <c r="C7" s="44" t="s">
        <v>363</v>
      </c>
      <c r="D7" s="44">
        <v>0.2</v>
      </c>
      <c r="E7" s="44">
        <v>-0.1</v>
      </c>
      <c r="F7" s="82"/>
      <c r="G7" s="44">
        <v>9</v>
      </c>
      <c r="H7" s="59">
        <v>30</v>
      </c>
      <c r="J7" s="28">
        <f>G7*$C$3+(H7-G7)*(D7+E7)</f>
        <v>8.4</v>
      </c>
      <c r="K7" s="11">
        <f t="shared" si="0"/>
        <v>151200</v>
      </c>
      <c r="M7" s="28">
        <f t="shared" si="1"/>
        <v>18.899999999999999</v>
      </c>
      <c r="N7" s="11">
        <f t="shared" si="2"/>
        <v>340200</v>
      </c>
    </row>
    <row r="8" spans="1:14" ht="14.25" customHeight="1" x14ac:dyDescent="0.3">
      <c r="A8" s="43">
        <v>1</v>
      </c>
      <c r="B8" s="44">
        <v>2019</v>
      </c>
      <c r="C8" s="44" t="s">
        <v>364</v>
      </c>
      <c r="D8" s="44">
        <v>0.2</v>
      </c>
      <c r="E8" s="44">
        <v>-0.1</v>
      </c>
      <c r="F8" s="44">
        <v>3</v>
      </c>
      <c r="G8" s="44">
        <v>9</v>
      </c>
      <c r="H8" s="59">
        <v>31</v>
      </c>
      <c r="J8" s="28">
        <f>G8*$C$3+(H8-G8)*(D8+E8)</f>
        <v>8.5</v>
      </c>
      <c r="K8" s="11">
        <f t="shared" si="0"/>
        <v>153000</v>
      </c>
      <c r="M8" s="28">
        <f t="shared" si="1"/>
        <v>19.5</v>
      </c>
      <c r="N8" s="11">
        <f t="shared" si="2"/>
        <v>351000</v>
      </c>
    </row>
    <row r="9" spans="1:14" ht="14.25" customHeight="1" x14ac:dyDescent="0.3">
      <c r="A9" s="43">
        <v>1</v>
      </c>
      <c r="B9" s="44">
        <v>2020</v>
      </c>
      <c r="C9" s="44" t="s">
        <v>365</v>
      </c>
      <c r="D9" s="44">
        <v>0.3</v>
      </c>
      <c r="E9" s="44">
        <v>-0.2</v>
      </c>
      <c r="F9" s="44">
        <v>1</v>
      </c>
      <c r="G9" s="44">
        <v>8</v>
      </c>
      <c r="H9" s="59">
        <v>31</v>
      </c>
      <c r="J9" s="28">
        <f>G9*$C$3+(H9-G9)*(D9+E9)</f>
        <v>7.8999999999999986</v>
      </c>
      <c r="K9" s="11">
        <f t="shared" si="0"/>
        <v>142199.99999999997</v>
      </c>
      <c r="M9" s="28">
        <f t="shared" si="1"/>
        <v>17.099999999999998</v>
      </c>
      <c r="N9" s="11">
        <f t="shared" si="2"/>
        <v>307799.99999999994</v>
      </c>
    </row>
    <row r="10" spans="1:14" ht="14.25" customHeight="1" x14ac:dyDescent="0.3">
      <c r="A10" s="43">
        <v>1</v>
      </c>
      <c r="B10" s="44">
        <v>2020</v>
      </c>
      <c r="C10" s="44" t="s">
        <v>366</v>
      </c>
      <c r="D10" s="44">
        <v>0.3</v>
      </c>
      <c r="E10" s="44">
        <v>-0.2</v>
      </c>
      <c r="F10" s="82"/>
      <c r="G10" s="44">
        <v>9</v>
      </c>
      <c r="H10" s="59">
        <v>29</v>
      </c>
      <c r="J10" s="28">
        <f>G10*$C$3+(H10-G10)*(D10+E10)</f>
        <v>8.2999999999999989</v>
      </c>
      <c r="K10" s="11">
        <f t="shared" si="0"/>
        <v>149399.99999999997</v>
      </c>
      <c r="M10" s="28">
        <f t="shared" si="1"/>
        <v>16.299999999999997</v>
      </c>
      <c r="N10" s="11">
        <f t="shared" si="2"/>
        <v>293399.99999999994</v>
      </c>
    </row>
    <row r="11" spans="1:14" ht="14.25" customHeight="1" x14ac:dyDescent="0.3">
      <c r="A11" s="43">
        <v>1</v>
      </c>
      <c r="B11" s="44">
        <v>2020</v>
      </c>
      <c r="C11" s="44" t="s">
        <v>367</v>
      </c>
      <c r="D11" s="44">
        <v>0.4</v>
      </c>
      <c r="E11" s="44">
        <v>-0.1</v>
      </c>
      <c r="F11" s="82"/>
      <c r="G11" s="44">
        <v>9</v>
      </c>
      <c r="H11" s="59">
        <v>31</v>
      </c>
      <c r="J11" s="28">
        <f>G11*$C$3+(H11-G11)*(D11+E11)</f>
        <v>12.900000000000002</v>
      </c>
      <c r="K11" s="11">
        <f t="shared" si="0"/>
        <v>232200.00000000003</v>
      </c>
      <c r="M11" s="28">
        <f t="shared" si="1"/>
        <v>19.5</v>
      </c>
      <c r="N11" s="11">
        <f t="shared" si="2"/>
        <v>351000</v>
      </c>
    </row>
    <row r="12" spans="1:14" ht="14.25" customHeight="1" x14ac:dyDescent="0.3">
      <c r="A12" s="43">
        <v>1</v>
      </c>
      <c r="B12" s="44">
        <v>2020</v>
      </c>
      <c r="C12" s="44" t="s">
        <v>368</v>
      </c>
      <c r="D12" s="44">
        <v>0.4</v>
      </c>
      <c r="E12" s="82"/>
      <c r="F12" s="44">
        <v>2</v>
      </c>
      <c r="G12" s="44">
        <v>8</v>
      </c>
      <c r="H12" s="59">
        <v>30</v>
      </c>
      <c r="J12" s="28">
        <f>G12*$C$3+(H12-G12)*(D12+E12)</f>
        <v>14.4</v>
      </c>
      <c r="K12" s="11">
        <f t="shared" si="0"/>
        <v>259200</v>
      </c>
      <c r="M12" s="28">
        <f t="shared" si="1"/>
        <v>21</v>
      </c>
      <c r="N12" s="11">
        <f t="shared" si="2"/>
        <v>378000</v>
      </c>
    </row>
    <row r="13" spans="1:14" ht="14.25" customHeight="1" x14ac:dyDescent="0.3">
      <c r="A13" s="43">
        <v>1</v>
      </c>
      <c r="B13" s="44">
        <v>2020</v>
      </c>
      <c r="C13" s="44" t="s">
        <v>369</v>
      </c>
      <c r="D13" s="44">
        <v>0.5</v>
      </c>
      <c r="E13" s="82"/>
      <c r="F13" s="44">
        <v>2</v>
      </c>
      <c r="G13" s="44">
        <v>10</v>
      </c>
      <c r="H13" s="59">
        <v>31</v>
      </c>
      <c r="J13" s="28">
        <f>G13*$C$3+(H13-G13)*(D13+E13)</f>
        <v>17.5</v>
      </c>
      <c r="K13" s="11">
        <f t="shared" si="0"/>
        <v>315000</v>
      </c>
      <c r="M13" s="28">
        <f t="shared" si="1"/>
        <v>21.7</v>
      </c>
      <c r="N13" s="11">
        <f t="shared" si="2"/>
        <v>390600</v>
      </c>
    </row>
    <row r="14" spans="1:14" ht="14.25" customHeight="1" x14ac:dyDescent="0.3">
      <c r="A14" s="43">
        <v>1</v>
      </c>
      <c r="B14" s="44">
        <v>2020</v>
      </c>
      <c r="C14" s="44" t="s">
        <v>370</v>
      </c>
      <c r="D14" s="44">
        <v>0.5</v>
      </c>
      <c r="E14" s="82"/>
      <c r="F14" s="82"/>
      <c r="G14" s="44">
        <v>8</v>
      </c>
      <c r="H14" s="59">
        <v>30</v>
      </c>
      <c r="J14" s="28">
        <f>G14*$C$3+(H14-G14)*(D14+E14)</f>
        <v>16.600000000000001</v>
      </c>
      <c r="K14" s="11">
        <f t="shared" si="0"/>
        <v>298800.00000000006</v>
      </c>
      <c r="M14" s="28">
        <f t="shared" si="1"/>
        <v>21</v>
      </c>
      <c r="N14" s="11">
        <f t="shared" si="2"/>
        <v>378000</v>
      </c>
    </row>
    <row r="15" spans="1:14" ht="14.25" customHeight="1" x14ac:dyDescent="0.3">
      <c r="A15" s="43">
        <v>1</v>
      </c>
      <c r="B15" s="44">
        <v>2020</v>
      </c>
      <c r="C15" s="44" t="s">
        <v>371</v>
      </c>
      <c r="D15" s="44">
        <v>0.6</v>
      </c>
      <c r="E15" s="82"/>
      <c r="F15" s="44">
        <v>1</v>
      </c>
      <c r="G15" s="44">
        <v>8</v>
      </c>
      <c r="H15" s="59">
        <v>31</v>
      </c>
      <c r="J15" s="28">
        <f>G15*$C$3+(H15-G15)*(D15+E15)</f>
        <v>19.399999999999999</v>
      </c>
      <c r="K15" s="11">
        <f t="shared" si="0"/>
        <v>349200</v>
      </c>
      <c r="M15" s="28">
        <f t="shared" si="1"/>
        <v>21.699999999999996</v>
      </c>
      <c r="N15" s="11">
        <f t="shared" si="2"/>
        <v>390599.99999999994</v>
      </c>
    </row>
    <row r="16" spans="1:14" ht="14.25" customHeight="1" thickBot="1" x14ac:dyDescent="0.35">
      <c r="A16" s="97">
        <v>1</v>
      </c>
      <c r="B16" s="98">
        <v>2020</v>
      </c>
      <c r="C16" s="98" t="s">
        <v>372</v>
      </c>
      <c r="D16" s="48">
        <v>0.6</v>
      </c>
      <c r="E16" s="98"/>
      <c r="F16" s="98"/>
      <c r="G16" s="98">
        <v>10</v>
      </c>
      <c r="H16" s="99">
        <v>31</v>
      </c>
      <c r="I16" s="29"/>
      <c r="J16" s="30">
        <f>G16*$C$3+(H16-G16)*(D16+E16)</f>
        <v>19.600000000000001</v>
      </c>
      <c r="K16" s="11">
        <f t="shared" si="0"/>
        <v>352800</v>
      </c>
      <c r="M16" s="28">
        <f t="shared" si="1"/>
        <v>21.7</v>
      </c>
      <c r="N16" s="11">
        <f t="shared" si="2"/>
        <v>390600</v>
      </c>
    </row>
    <row r="17" spans="1:14" ht="14.25" customHeight="1" thickBot="1" x14ac:dyDescent="0.35">
      <c r="G17" s="3" t="s">
        <v>83</v>
      </c>
      <c r="H17" s="3">
        <f t="shared" ref="H17" si="3">SUM(H5:H16)</f>
        <v>366</v>
      </c>
      <c r="J17" s="31">
        <f t="shared" ref="J17" si="4">SUM(J5:J16)</f>
        <v>152.1</v>
      </c>
      <c r="K17" s="27">
        <f>SUM(K5:K16)</f>
        <v>2737800</v>
      </c>
      <c r="M17" s="31">
        <f t="shared" ref="M17:N17" si="5">SUM(M5:M16)</f>
        <v>241.09999999999997</v>
      </c>
      <c r="N17" s="27">
        <f t="shared" si="5"/>
        <v>4339800</v>
      </c>
    </row>
    <row r="18" spans="1:14" ht="14.25" customHeight="1" thickBot="1" x14ac:dyDescent="0.35">
      <c r="A18" s="100">
        <v>2</v>
      </c>
      <c r="B18" s="101">
        <v>2020</v>
      </c>
      <c r="C18" s="101" t="s">
        <v>361</v>
      </c>
      <c r="D18" s="101">
        <v>0.6</v>
      </c>
      <c r="E18" s="102"/>
      <c r="F18" s="101">
        <v>1</v>
      </c>
      <c r="G18" s="101">
        <v>8</v>
      </c>
      <c r="H18" s="103">
        <v>30</v>
      </c>
    </row>
    <row r="19" spans="1:14" ht="14.25" customHeight="1" x14ac:dyDescent="0.25"/>
    <row r="20" spans="1:14" ht="14.25" customHeight="1" x14ac:dyDescent="0.25"/>
    <row r="21" spans="1:14" ht="14.25" customHeight="1" x14ac:dyDescent="0.25"/>
    <row r="22" spans="1:14" ht="14.25" customHeight="1" x14ac:dyDescent="0.25"/>
    <row r="23" spans="1:14" ht="14.25" customHeight="1" x14ac:dyDescent="0.25"/>
    <row r="24" spans="1:14" ht="14.25" customHeight="1" x14ac:dyDescent="0.25"/>
    <row r="25" spans="1:14" ht="14.25" customHeight="1" x14ac:dyDescent="0.25"/>
    <row r="26" spans="1:14" ht="14.25" customHeight="1" x14ac:dyDescent="0.25"/>
    <row r="27" spans="1:14" ht="14.25" customHeight="1" x14ac:dyDescent="0.25"/>
    <row r="28" spans="1:14" ht="14.25" customHeight="1" x14ac:dyDescent="0.25"/>
    <row r="29" spans="1:14" ht="14.25" customHeight="1" x14ac:dyDescent="0.25"/>
    <row r="30" spans="1:14" ht="14.25" customHeight="1" x14ac:dyDescent="0.25"/>
    <row r="31" spans="1:14" ht="14.25" customHeight="1" x14ac:dyDescent="0.25"/>
    <row r="32" spans="1:1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6C82B-7C4E-4EBE-90EC-CC733159ACD8}">
  <dimension ref="A1:B13"/>
  <sheetViews>
    <sheetView workbookViewId="0">
      <selection activeCell="F6" sqref="F6"/>
    </sheetView>
  </sheetViews>
  <sheetFormatPr defaultRowHeight="13.8" x14ac:dyDescent="0.25"/>
  <cols>
    <col min="1" max="1" width="21.59765625" bestFit="1" customWidth="1"/>
    <col min="2" max="2" width="12.19921875" bestFit="1" customWidth="1"/>
  </cols>
  <sheetData>
    <row r="1" spans="1:2" ht="14.4" x14ac:dyDescent="0.3">
      <c r="A1" s="38" t="s">
        <v>408</v>
      </c>
      <c r="B1" s="63" t="s">
        <v>409</v>
      </c>
    </row>
    <row r="2" spans="1:2" ht="14.4" x14ac:dyDescent="0.3">
      <c r="A2" s="43" t="s">
        <v>410</v>
      </c>
      <c r="B2" s="59">
        <v>25000</v>
      </c>
    </row>
    <row r="3" spans="1:2" ht="14.4" x14ac:dyDescent="0.3">
      <c r="A3" s="43" t="s">
        <v>397</v>
      </c>
      <c r="B3" s="59">
        <v>15000</v>
      </c>
    </row>
    <row r="4" spans="1:2" ht="14.4" x14ac:dyDescent="0.3">
      <c r="A4" s="43" t="s">
        <v>411</v>
      </c>
      <c r="B4" s="59">
        <v>3808550</v>
      </c>
    </row>
    <row r="5" spans="1:2" ht="14.4" x14ac:dyDescent="0.3">
      <c r="A5" s="43" t="s">
        <v>412</v>
      </c>
      <c r="B5" s="59">
        <v>4519000</v>
      </c>
    </row>
    <row r="6" spans="1:2" ht="14.4" x14ac:dyDescent="0.3">
      <c r="A6" s="43" t="s">
        <v>413</v>
      </c>
      <c r="B6" s="59">
        <v>74400</v>
      </c>
    </row>
    <row r="7" spans="1:2" ht="14.4" x14ac:dyDescent="0.3">
      <c r="A7" s="43" t="s">
        <v>414</v>
      </c>
      <c r="B7" s="59">
        <v>7500</v>
      </c>
    </row>
    <row r="8" spans="1:2" ht="14.4" x14ac:dyDescent="0.3">
      <c r="A8" s="43" t="s">
        <v>415</v>
      </c>
      <c r="B8" s="59">
        <v>10950</v>
      </c>
    </row>
    <row r="9" spans="1:2" ht="14.4" x14ac:dyDescent="0.3">
      <c r="A9" s="43" t="s">
        <v>416</v>
      </c>
      <c r="B9" s="59">
        <v>10000</v>
      </c>
    </row>
    <row r="10" spans="1:2" ht="14.4" x14ac:dyDescent="0.3">
      <c r="A10" s="43" t="s">
        <v>417</v>
      </c>
      <c r="B10" s="59">
        <v>30000</v>
      </c>
    </row>
    <row r="11" spans="1:2" ht="14.4" x14ac:dyDescent="0.3">
      <c r="A11" s="43" t="s">
        <v>418</v>
      </c>
      <c r="B11" s="59">
        <v>2000</v>
      </c>
    </row>
    <row r="12" spans="1:2" ht="14.4" x14ac:dyDescent="0.3">
      <c r="A12" s="43" t="s">
        <v>419</v>
      </c>
      <c r="B12" s="59">
        <v>400000</v>
      </c>
    </row>
    <row r="13" spans="1:2" ht="15" thickBot="1" x14ac:dyDescent="0.35">
      <c r="A13" s="69" t="s">
        <v>83</v>
      </c>
      <c r="B13" s="146">
        <f>SUM(B2:B12)</f>
        <v>8902400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Competitors</vt:lpstr>
      <vt:lpstr>HoppyGo</vt:lpstr>
      <vt:lpstr>SmileCar (HoppyGo)</vt:lpstr>
      <vt:lpstr>Cars. Officail Dealer</vt:lpstr>
      <vt:lpstr>Cars. Carisimo</vt:lpstr>
      <vt:lpstr>Insurance</vt:lpstr>
      <vt:lpstr>Leasing|Credit</vt:lpstr>
      <vt:lpstr>Loads</vt:lpstr>
      <vt:lpstr>Initial investments</vt:lpstr>
      <vt:lpstr>Wages</vt:lpstr>
      <vt:lpstr>Depreciation</vt:lpstr>
      <vt:lpstr>Income Statement</vt:lpstr>
      <vt:lpstr>NPV and IRR</vt:lpstr>
      <vt:lpstr>ROI</vt:lpstr>
      <vt:lpstr>WACC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D</cp:lastModifiedBy>
  <dcterms:created xsi:type="dcterms:W3CDTF">2015-06-05T18:17:20Z</dcterms:created>
  <dcterms:modified xsi:type="dcterms:W3CDTF">2020-12-01T00:02:14Z</dcterms:modified>
</cp:coreProperties>
</file>