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Barbarikum_okruhy" sheetId="3" r:id="rId1"/>
    <sheet name="Provincie" sheetId="2" r:id="rId2"/>
    <sheet name="Barbarikum_vojenské objekty" sheetId="1" r:id="rId3"/>
    <sheet name="Celkové indexy" sheetId="4" r:id="rId4"/>
  </sheets>
  <calcPr calcId="124519"/>
</workbook>
</file>

<file path=xl/calcChain.xml><?xml version="1.0" encoding="utf-8"?>
<calcChain xmlns="http://schemas.openxmlformats.org/spreadsheetml/2006/main">
  <c r="Z61" i="3"/>
  <c r="Z63"/>
  <c r="Z70"/>
  <c r="Z69"/>
  <c r="Z68"/>
  <c r="Z67"/>
  <c r="Z66"/>
  <c r="Z65"/>
  <c r="Z60"/>
  <c r="Z59"/>
  <c r="Z57"/>
  <c r="Z53"/>
  <c r="Z56"/>
  <c r="AA70"/>
  <c r="AA69"/>
  <c r="AA67"/>
  <c r="AA66"/>
  <c r="AA61"/>
  <c r="AA60"/>
  <c r="AA59"/>
  <c r="AA56"/>
  <c r="AA54"/>
  <c r="AB70"/>
  <c r="AB69"/>
  <c r="AB66"/>
  <c r="AB65"/>
  <c r="AB61"/>
  <c r="AB59"/>
  <c r="AB56"/>
  <c r="AB54"/>
  <c r="AB52"/>
  <c r="AD70"/>
  <c r="AD69"/>
  <c r="AD56"/>
  <c r="AD55"/>
  <c r="AD54"/>
  <c r="K56"/>
  <c r="AC70"/>
  <c r="AC69"/>
  <c r="AC56"/>
  <c r="AC54"/>
  <c r="AA53"/>
  <c r="AA52"/>
  <c r="AB53"/>
  <c r="Z11" i="2"/>
  <c r="Z9"/>
  <c r="Z21"/>
  <c r="Z20"/>
  <c r="Z6"/>
  <c r="Z7"/>
  <c r="Z8"/>
  <c r="Z5"/>
  <c r="Z10"/>
  <c r="Z12"/>
  <c r="Z13"/>
  <c r="Z14"/>
  <c r="Z15"/>
  <c r="Z16"/>
  <c r="Z17"/>
  <c r="Z18"/>
  <c r="Z19"/>
  <c r="Z22"/>
  <c r="Z23"/>
  <c r="J11"/>
  <c r="AD152" i="1"/>
  <c r="AD153"/>
  <c r="AD154"/>
  <c r="AD155"/>
  <c r="AD156"/>
  <c r="AD157"/>
  <c r="AD158"/>
  <c r="AD159"/>
  <c r="AD160"/>
  <c r="AD161"/>
  <c r="AD162"/>
  <c r="AD163"/>
  <c r="AD164"/>
  <c r="AD165"/>
  <c r="AD151"/>
  <c r="AD150"/>
  <c r="AD149"/>
  <c r="AD148"/>
  <c r="AC152"/>
  <c r="AC153"/>
  <c r="AC154"/>
  <c r="AC155"/>
  <c r="AC156"/>
  <c r="AC157"/>
  <c r="AC158"/>
  <c r="AC159"/>
  <c r="AC160"/>
  <c r="AC161"/>
  <c r="AC162"/>
  <c r="AC163"/>
  <c r="AC164"/>
  <c r="AC165"/>
  <c r="AC151"/>
  <c r="AC149"/>
  <c r="AC166" s="1"/>
  <c r="AC148"/>
  <c r="AC150"/>
  <c r="AB162"/>
  <c r="AB163"/>
  <c r="AB149"/>
  <c r="AB150"/>
  <c r="AB151"/>
  <c r="AB152"/>
  <c r="AB153"/>
  <c r="AB154"/>
  <c r="AB155"/>
  <c r="AB156"/>
  <c r="AB157"/>
  <c r="AB158"/>
  <c r="AB159"/>
  <c r="AB148"/>
  <c r="AB161"/>
  <c r="AB165"/>
  <c r="AB164"/>
  <c r="AB160"/>
  <c r="AA156"/>
  <c r="AA157"/>
  <c r="AA158"/>
  <c r="AA159"/>
  <c r="AA160"/>
  <c r="AA161"/>
  <c r="AA162"/>
  <c r="AA163"/>
  <c r="AA164"/>
  <c r="AA165"/>
  <c r="AA155"/>
  <c r="AA154"/>
  <c r="AA153"/>
  <c r="AA152"/>
  <c r="AA151"/>
  <c r="AA150"/>
  <c r="AA149"/>
  <c r="AA148"/>
  <c r="Z158"/>
  <c r="Z159"/>
  <c r="Z162"/>
  <c r="Z163"/>
  <c r="Z165"/>
  <c r="Z164"/>
  <c r="Z161"/>
  <c r="Z160"/>
  <c r="Z157"/>
  <c r="Z156"/>
  <c r="Z155"/>
  <c r="Z154"/>
  <c r="Z153"/>
  <c r="Z152"/>
  <c r="Z151"/>
  <c r="Z150"/>
  <c r="Z149"/>
  <c r="Z148"/>
  <c r="Z134"/>
  <c r="Z135"/>
  <c r="Z136"/>
  <c r="Z137"/>
  <c r="Z138"/>
  <c r="Z139"/>
  <c r="Z141"/>
  <c r="Z140"/>
  <c r="Z133"/>
  <c r="Z132"/>
  <c r="Z131"/>
  <c r="Z130"/>
  <c r="Z129"/>
  <c r="Z128"/>
  <c r="Z127"/>
  <c r="Z126"/>
  <c r="Z125"/>
  <c r="Z124"/>
  <c r="X142"/>
  <c r="Y141"/>
  <c r="Y129"/>
  <c r="Y130"/>
  <c r="Y131"/>
  <c r="Y132"/>
  <c r="Y133"/>
  <c r="Y134"/>
  <c r="Y135"/>
  <c r="Y136"/>
  <c r="Y137"/>
  <c r="Y138"/>
  <c r="Y139"/>
  <c r="Y140"/>
  <c r="Y128"/>
  <c r="Y125"/>
  <c r="Y126"/>
  <c r="Y124"/>
  <c r="Y142" s="1"/>
  <c r="Y127"/>
  <c r="Z117"/>
  <c r="Z116"/>
  <c r="Z115"/>
  <c r="Z114"/>
  <c r="Z113"/>
  <c r="Z112"/>
  <c r="Z111"/>
  <c r="Z110"/>
  <c r="Z109"/>
  <c r="Z108"/>
  <c r="Z107"/>
  <c r="Z106"/>
  <c r="Z105"/>
  <c r="Z104"/>
  <c r="Z103"/>
  <c r="Z102"/>
  <c r="Z118" s="1"/>
  <c r="Z101"/>
  <c r="Z100"/>
  <c r="Y110"/>
  <c r="Y111"/>
  <c r="Y112"/>
  <c r="Y113"/>
  <c r="Y114"/>
  <c r="Y115"/>
  <c r="Y116"/>
  <c r="Y117"/>
  <c r="Y109"/>
  <c r="Y108"/>
  <c r="Y107"/>
  <c r="Y106"/>
  <c r="Y105"/>
  <c r="Y104"/>
  <c r="Y103"/>
  <c r="Y101"/>
  <c r="Y102"/>
  <c r="Y100"/>
  <c r="X105"/>
  <c r="X106"/>
  <c r="X107"/>
  <c r="X108"/>
  <c r="X109"/>
  <c r="X110"/>
  <c r="X111"/>
  <c r="X112"/>
  <c r="X113"/>
  <c r="X114"/>
  <c r="X115"/>
  <c r="X116"/>
  <c r="X117"/>
  <c r="X101"/>
  <c r="X102"/>
  <c r="X104"/>
  <c r="X100"/>
  <c r="X103"/>
  <c r="AD80"/>
  <c r="AD81"/>
  <c r="AD82"/>
  <c r="AD83"/>
  <c r="AD84"/>
  <c r="AD85"/>
  <c r="AD86"/>
  <c r="AD87"/>
  <c r="AD88"/>
  <c r="AD89"/>
  <c r="AD90"/>
  <c r="AD93"/>
  <c r="AD92"/>
  <c r="AD91"/>
  <c r="AD79"/>
  <c r="AD78"/>
  <c r="AD77"/>
  <c r="AD76"/>
  <c r="AD94" s="1"/>
  <c r="AC81"/>
  <c r="AC82"/>
  <c r="AC83"/>
  <c r="AC84"/>
  <c r="AC85"/>
  <c r="AC86"/>
  <c r="AC87"/>
  <c r="AC88"/>
  <c r="AC89"/>
  <c r="AC90"/>
  <c r="AC93"/>
  <c r="AC92"/>
  <c r="AC91"/>
  <c r="AC80"/>
  <c r="AC79"/>
  <c r="AC77"/>
  <c r="AC94" s="1"/>
  <c r="AC76"/>
  <c r="AC78"/>
  <c r="AB84"/>
  <c r="AB85"/>
  <c r="AB86"/>
  <c r="AB87"/>
  <c r="AB93"/>
  <c r="AB92"/>
  <c r="AB91"/>
  <c r="AB90"/>
  <c r="AB89"/>
  <c r="AB88"/>
  <c r="AB83"/>
  <c r="AB82"/>
  <c r="AB81"/>
  <c r="AB80"/>
  <c r="AB79"/>
  <c r="AB78"/>
  <c r="AB77"/>
  <c r="AB76"/>
  <c r="AA93"/>
  <c r="AA92"/>
  <c r="AA86"/>
  <c r="AA87"/>
  <c r="AA88"/>
  <c r="AA89"/>
  <c r="AA90"/>
  <c r="AA91"/>
  <c r="AA85"/>
  <c r="AA84"/>
  <c r="AA83"/>
  <c r="AA82"/>
  <c r="AA81"/>
  <c r="AA80"/>
  <c r="AA79"/>
  <c r="AA78"/>
  <c r="AA77"/>
  <c r="AA76"/>
  <c r="Z93"/>
  <c r="Z92"/>
  <c r="Z91"/>
  <c r="Z90"/>
  <c r="Z88"/>
  <c r="Z89"/>
  <c r="Z86"/>
  <c r="Z87"/>
  <c r="Z85"/>
  <c r="Z84"/>
  <c r="Z83"/>
  <c r="Z82"/>
  <c r="Z81"/>
  <c r="Z80"/>
  <c r="Z79"/>
  <c r="Z78"/>
  <c r="Z76"/>
  <c r="Z77"/>
  <c r="Y76"/>
  <c r="Y77"/>
  <c r="Y78"/>
  <c r="Y79"/>
  <c r="Y80"/>
  <c r="Y81"/>
  <c r="Y82"/>
  <c r="Y83"/>
  <c r="Y84"/>
  <c r="Y85"/>
  <c r="Y86"/>
  <c r="Y87"/>
  <c r="Y88"/>
  <c r="Y89"/>
  <c r="Y90"/>
  <c r="Y91"/>
  <c r="Y93"/>
  <c r="Y92"/>
  <c r="X81"/>
  <c r="X82"/>
  <c r="X83"/>
  <c r="X84"/>
  <c r="X85"/>
  <c r="X86"/>
  <c r="X87"/>
  <c r="X88"/>
  <c r="X89"/>
  <c r="X90"/>
  <c r="X91"/>
  <c r="X92"/>
  <c r="X93"/>
  <c r="X80"/>
  <c r="X77"/>
  <c r="X78"/>
  <c r="X76"/>
  <c r="X79"/>
  <c r="AD56"/>
  <c r="AD57"/>
  <c r="AD58"/>
  <c r="AD59"/>
  <c r="AD60"/>
  <c r="AD61"/>
  <c r="AD62"/>
  <c r="AD63"/>
  <c r="AD64"/>
  <c r="AD65"/>
  <c r="AD66"/>
  <c r="AD67"/>
  <c r="AD69"/>
  <c r="AD68"/>
  <c r="AD55"/>
  <c r="AD54"/>
  <c r="AD53"/>
  <c r="AC56"/>
  <c r="AC57"/>
  <c r="AC58"/>
  <c r="AC59"/>
  <c r="AC60"/>
  <c r="AC61"/>
  <c r="AC62"/>
  <c r="AC63"/>
  <c r="AC64"/>
  <c r="AC65"/>
  <c r="AC66"/>
  <c r="AC67"/>
  <c r="AC68"/>
  <c r="AC69"/>
  <c r="AC55"/>
  <c r="AC54"/>
  <c r="AC53"/>
  <c r="AB62"/>
  <c r="AB63"/>
  <c r="AB64"/>
  <c r="AB56"/>
  <c r="AB57"/>
  <c r="AB69"/>
  <c r="AB68"/>
  <c r="AB67"/>
  <c r="AB66"/>
  <c r="AB65"/>
  <c r="AB61"/>
  <c r="AB60"/>
  <c r="AB59"/>
  <c r="AB58"/>
  <c r="AB55"/>
  <c r="AB54"/>
  <c r="AB53"/>
  <c r="AA62"/>
  <c r="AA63"/>
  <c r="AA64"/>
  <c r="AA65"/>
  <c r="AA66"/>
  <c r="AA67"/>
  <c r="AA61"/>
  <c r="AA57"/>
  <c r="AA58"/>
  <c r="AA59"/>
  <c r="AA69"/>
  <c r="AA68"/>
  <c r="AA60"/>
  <c r="AA56"/>
  <c r="AA55"/>
  <c r="AA54"/>
  <c r="AA53"/>
  <c r="Z62"/>
  <c r="Z63"/>
  <c r="Z64"/>
  <c r="Z65"/>
  <c r="Z69"/>
  <c r="Z68"/>
  <c r="Z67"/>
  <c r="Z66"/>
  <c r="Z57"/>
  <c r="Z61"/>
  <c r="Z60"/>
  <c r="Z59"/>
  <c r="Z58"/>
  <c r="Z56"/>
  <c r="Z54"/>
  <c r="Z53"/>
  <c r="Z55"/>
  <c r="Y66"/>
  <c r="Y67"/>
  <c r="Y68"/>
  <c r="Y69"/>
  <c r="Y65"/>
  <c r="Y62"/>
  <c r="Y63"/>
  <c r="Y57"/>
  <c r="Y58"/>
  <c r="Y59"/>
  <c r="Y56"/>
  <c r="Y53"/>
  <c r="Y54"/>
  <c r="Y61"/>
  <c r="Y64"/>
  <c r="Y60"/>
  <c r="Y55"/>
  <c r="X57"/>
  <c r="X58"/>
  <c r="X59"/>
  <c r="X60"/>
  <c r="X61"/>
  <c r="X62"/>
  <c r="X63"/>
  <c r="X64"/>
  <c r="X65"/>
  <c r="X66"/>
  <c r="X67"/>
  <c r="X68"/>
  <c r="X69"/>
  <c r="X56"/>
  <c r="X53"/>
  <c r="X54"/>
  <c r="X55"/>
  <c r="AD52"/>
  <c r="AC52"/>
  <c r="AB52"/>
  <c r="AA52"/>
  <c r="Z52"/>
  <c r="Y52"/>
  <c r="X52"/>
  <c r="AB36"/>
  <c r="AB37"/>
  <c r="AB38"/>
  <c r="AB39"/>
  <c r="AB40"/>
  <c r="AB41"/>
  <c r="AB42"/>
  <c r="AB43"/>
  <c r="AB44"/>
  <c r="AB45"/>
  <c r="AB35"/>
  <c r="AB32"/>
  <c r="AB33"/>
  <c r="AB31"/>
  <c r="AB34"/>
  <c r="AB30"/>
  <c r="AB29"/>
  <c r="AB28"/>
  <c r="AB46" s="1"/>
  <c r="AA28"/>
  <c r="AA33"/>
  <c r="AA34"/>
  <c r="AA35"/>
  <c r="AA36"/>
  <c r="AA37"/>
  <c r="AA38"/>
  <c r="AA39"/>
  <c r="AA40"/>
  <c r="AA41"/>
  <c r="AA42"/>
  <c r="AA43"/>
  <c r="AA44"/>
  <c r="AA45"/>
  <c r="AA29"/>
  <c r="AA30"/>
  <c r="AA32"/>
  <c r="AA31"/>
  <c r="AD8"/>
  <c r="AD9"/>
  <c r="AD10"/>
  <c r="AD11"/>
  <c r="AD12"/>
  <c r="AD13"/>
  <c r="AD14"/>
  <c r="AD15"/>
  <c r="AD16"/>
  <c r="AD17"/>
  <c r="AD18"/>
  <c r="AD19"/>
  <c r="AD20"/>
  <c r="AD21"/>
  <c r="AD7"/>
  <c r="AD6"/>
  <c r="AD5"/>
  <c r="AC8"/>
  <c r="AC9"/>
  <c r="AC10"/>
  <c r="AC11"/>
  <c r="AC12"/>
  <c r="AC13"/>
  <c r="AC14"/>
  <c r="AC15"/>
  <c r="AC16"/>
  <c r="AC17"/>
  <c r="AC18"/>
  <c r="AC19"/>
  <c r="AC20"/>
  <c r="AC21"/>
  <c r="AC7"/>
  <c r="AC6"/>
  <c r="AC5"/>
  <c r="AB12"/>
  <c r="AB13"/>
  <c r="AB14"/>
  <c r="AB15"/>
  <c r="AB16"/>
  <c r="AB17"/>
  <c r="AB18"/>
  <c r="AB19"/>
  <c r="AB20"/>
  <c r="AB21"/>
  <c r="AB8"/>
  <c r="AB9"/>
  <c r="AB11"/>
  <c r="AB10"/>
  <c r="AB7"/>
  <c r="AB6"/>
  <c r="AB5"/>
  <c r="AA9"/>
  <c r="AA10"/>
  <c r="AA11"/>
  <c r="AA12"/>
  <c r="AA13"/>
  <c r="AA14"/>
  <c r="AA15"/>
  <c r="AA16"/>
  <c r="AA17"/>
  <c r="AA18"/>
  <c r="AA19"/>
  <c r="AA20"/>
  <c r="AA21"/>
  <c r="AA8"/>
  <c r="AA5"/>
  <c r="AA6"/>
  <c r="AA7"/>
  <c r="Z14"/>
  <c r="Z15"/>
  <c r="Z16"/>
  <c r="Z17"/>
  <c r="Z18"/>
  <c r="Z19"/>
  <c r="Z20"/>
  <c r="Z21"/>
  <c r="Z13"/>
  <c r="Z12"/>
  <c r="Z11"/>
  <c r="Z10"/>
  <c r="Z9"/>
  <c r="Z8"/>
  <c r="Z7"/>
  <c r="Z6"/>
  <c r="Z5"/>
  <c r="Y14"/>
  <c r="Y15"/>
  <c r="Y16"/>
  <c r="Y17"/>
  <c r="Y18"/>
  <c r="Y19"/>
  <c r="Y20"/>
  <c r="Y21"/>
  <c r="Y13"/>
  <c r="Y12"/>
  <c r="Y11"/>
  <c r="Y7"/>
  <c r="Y8"/>
  <c r="Y9"/>
  <c r="Y10"/>
  <c r="AD4"/>
  <c r="AC4"/>
  <c r="AB4"/>
  <c r="AA4"/>
  <c r="Z4"/>
  <c r="Y4"/>
  <c r="Y6"/>
  <c r="Y5"/>
  <c r="X9"/>
  <c r="X10"/>
  <c r="X11"/>
  <c r="X12"/>
  <c r="X13"/>
  <c r="X14"/>
  <c r="X15"/>
  <c r="X16"/>
  <c r="X17"/>
  <c r="X18"/>
  <c r="X19"/>
  <c r="X20"/>
  <c r="X21"/>
  <c r="X5"/>
  <c r="X6"/>
  <c r="X8"/>
  <c r="X4"/>
  <c r="X7"/>
  <c r="AD70" i="2"/>
  <c r="AD71"/>
  <c r="AD72"/>
  <c r="AD60"/>
  <c r="AD61"/>
  <c r="AD62"/>
  <c r="AD63"/>
  <c r="AD64"/>
  <c r="AD65"/>
  <c r="AD66"/>
  <c r="AD67"/>
  <c r="AD73"/>
  <c r="AD69"/>
  <c r="AD68"/>
  <c r="AD59"/>
  <c r="AD58"/>
  <c r="AD57"/>
  <c r="AD56"/>
  <c r="AC66"/>
  <c r="AC67"/>
  <c r="AC65"/>
  <c r="AC59"/>
  <c r="AC60"/>
  <c r="AC61"/>
  <c r="AC62"/>
  <c r="AC73"/>
  <c r="AC72"/>
  <c r="AC71"/>
  <c r="AC70"/>
  <c r="AC69"/>
  <c r="AC68"/>
  <c r="AC64"/>
  <c r="AC63"/>
  <c r="AC58"/>
  <c r="AC57"/>
  <c r="AC56"/>
  <c r="AB73"/>
  <c r="AB72"/>
  <c r="AB71"/>
  <c r="AB70"/>
  <c r="AB66"/>
  <c r="AB67"/>
  <c r="AB68"/>
  <c r="AB69"/>
  <c r="AB60"/>
  <c r="AB61"/>
  <c r="AB65"/>
  <c r="AB64"/>
  <c r="AB63"/>
  <c r="AB62"/>
  <c r="AB59"/>
  <c r="AB58"/>
  <c r="AB57"/>
  <c r="AB56"/>
  <c r="AA66"/>
  <c r="AA67"/>
  <c r="AA73"/>
  <c r="AA72"/>
  <c r="AA71"/>
  <c r="AA70"/>
  <c r="AA69"/>
  <c r="AA68"/>
  <c r="AA65"/>
  <c r="AA64"/>
  <c r="AA63"/>
  <c r="AA62"/>
  <c r="AA61"/>
  <c r="AA60"/>
  <c r="AA59"/>
  <c r="AA58"/>
  <c r="AA57"/>
  <c r="AA56"/>
  <c r="Z56"/>
  <c r="Z73"/>
  <c r="Z72"/>
  <c r="Z71"/>
  <c r="Z70"/>
  <c r="Z69"/>
  <c r="Z68"/>
  <c r="Z67"/>
  <c r="Z66"/>
  <c r="Z65"/>
  <c r="Z64"/>
  <c r="Z63"/>
  <c r="Z62"/>
  <c r="Z61"/>
  <c r="Z60"/>
  <c r="Z59"/>
  <c r="Z58"/>
  <c r="Z57"/>
  <c r="Y60"/>
  <c r="Y61"/>
  <c r="Y73"/>
  <c r="Y70"/>
  <c r="Y71"/>
  <c r="Y72"/>
  <c r="Y69"/>
  <c r="Y68"/>
  <c r="Y67"/>
  <c r="Y66"/>
  <c r="Y65"/>
  <c r="Y64"/>
  <c r="Y63"/>
  <c r="Y62"/>
  <c r="Y59"/>
  <c r="Y58"/>
  <c r="Y57"/>
  <c r="Y56"/>
  <c r="X62"/>
  <c r="X63"/>
  <c r="X64"/>
  <c r="X65"/>
  <c r="X66"/>
  <c r="X67"/>
  <c r="X68"/>
  <c r="X69"/>
  <c r="X70"/>
  <c r="X71"/>
  <c r="X72"/>
  <c r="X73"/>
  <c r="X61"/>
  <c r="X60"/>
  <c r="X59"/>
  <c r="X58"/>
  <c r="X74" s="1"/>
  <c r="X57"/>
  <c r="X56"/>
  <c r="AD55"/>
  <c r="AC55"/>
  <c r="AB55"/>
  <c r="AA55"/>
  <c r="Z55"/>
  <c r="Y55"/>
  <c r="X55"/>
  <c r="AD41"/>
  <c r="AD42"/>
  <c r="AD37"/>
  <c r="AD38"/>
  <c r="AD48"/>
  <c r="AD47"/>
  <c r="AD46"/>
  <c r="AD45"/>
  <c r="AD44"/>
  <c r="AD43"/>
  <c r="AD40"/>
  <c r="AD39"/>
  <c r="AD36"/>
  <c r="AD35"/>
  <c r="AD34"/>
  <c r="AD33"/>
  <c r="AD32"/>
  <c r="AD31"/>
  <c r="AC48"/>
  <c r="AC45"/>
  <c r="AC46"/>
  <c r="AC47"/>
  <c r="AC44"/>
  <c r="AC40"/>
  <c r="AC41"/>
  <c r="AC42"/>
  <c r="AC43"/>
  <c r="AC39"/>
  <c r="AC38"/>
  <c r="AC37"/>
  <c r="AC36"/>
  <c r="AC35"/>
  <c r="AC34"/>
  <c r="AC33"/>
  <c r="AC32"/>
  <c r="AC31"/>
  <c r="AB41"/>
  <c r="AB42"/>
  <c r="AB48"/>
  <c r="AB47"/>
  <c r="AB46"/>
  <c r="AB45"/>
  <c r="AB44"/>
  <c r="AB43"/>
  <c r="AB40"/>
  <c r="AB39"/>
  <c r="AB38"/>
  <c r="AB37"/>
  <c r="AB36"/>
  <c r="AB35"/>
  <c r="AB34"/>
  <c r="AB33"/>
  <c r="AB32"/>
  <c r="AB31"/>
  <c r="AA48"/>
  <c r="AA47"/>
  <c r="AA46"/>
  <c r="AA45"/>
  <c r="AA44"/>
  <c r="AA43"/>
  <c r="AA42"/>
  <c r="AA41"/>
  <c r="AA40"/>
  <c r="AA39"/>
  <c r="AA38"/>
  <c r="AA37"/>
  <c r="AA36"/>
  <c r="AA35"/>
  <c r="AA34"/>
  <c r="AA33"/>
  <c r="AA32"/>
  <c r="AA31"/>
  <c r="Z48"/>
  <c r="Z47"/>
  <c r="Z46"/>
  <c r="Z45"/>
  <c r="Z44"/>
  <c r="Z43"/>
  <c r="Z42"/>
  <c r="Z41"/>
  <c r="Z40"/>
  <c r="Z39"/>
  <c r="Z38"/>
  <c r="Z37"/>
  <c r="Z36"/>
  <c r="Z35"/>
  <c r="Z34"/>
  <c r="Z33"/>
  <c r="Z32"/>
  <c r="Z31"/>
  <c r="Z49" s="1"/>
  <c r="Y48"/>
  <c r="Y47"/>
  <c r="Y46"/>
  <c r="Y45"/>
  <c r="Y44"/>
  <c r="Y43"/>
  <c r="Y42"/>
  <c r="Y41"/>
  <c r="Y40"/>
  <c r="Y39"/>
  <c r="Y38"/>
  <c r="Y37"/>
  <c r="Y36"/>
  <c r="Y35"/>
  <c r="Y34"/>
  <c r="Y33"/>
  <c r="Y32"/>
  <c r="Y31"/>
  <c r="X45"/>
  <c r="X46"/>
  <c r="X48"/>
  <c r="X47"/>
  <c r="X44"/>
  <c r="X43"/>
  <c r="X42"/>
  <c r="X41"/>
  <c r="X40"/>
  <c r="X39"/>
  <c r="X38"/>
  <c r="X37"/>
  <c r="X36"/>
  <c r="X35"/>
  <c r="X34"/>
  <c r="X33"/>
  <c r="X32"/>
  <c r="X31"/>
  <c r="AB30"/>
  <c r="AA30"/>
  <c r="Z30"/>
  <c r="Y30"/>
  <c r="X30"/>
  <c r="AC30"/>
  <c r="AD30"/>
  <c r="AD49" s="1"/>
  <c r="AD20"/>
  <c r="AD21"/>
  <c r="AD19"/>
  <c r="AD10"/>
  <c r="AD11"/>
  <c r="AD12"/>
  <c r="AD13"/>
  <c r="AD14"/>
  <c r="AD15"/>
  <c r="AD16"/>
  <c r="AD17"/>
  <c r="AD23"/>
  <c r="AD22"/>
  <c r="AD18"/>
  <c r="AD9"/>
  <c r="AD8"/>
  <c r="AD7"/>
  <c r="AD6"/>
  <c r="AC12"/>
  <c r="AC20"/>
  <c r="AC21"/>
  <c r="AC19"/>
  <c r="AC14"/>
  <c r="AC15"/>
  <c r="AC16"/>
  <c r="AC17"/>
  <c r="AC9"/>
  <c r="AC10"/>
  <c r="AC11"/>
  <c r="AC23"/>
  <c r="AC22"/>
  <c r="AC18"/>
  <c r="AC13"/>
  <c r="AC8"/>
  <c r="AC7"/>
  <c r="AC6"/>
  <c r="AB20"/>
  <c r="AB21"/>
  <c r="AB16"/>
  <c r="AB17"/>
  <c r="AB10"/>
  <c r="AB11"/>
  <c r="AB23"/>
  <c r="AB22"/>
  <c r="AB19"/>
  <c r="AB18"/>
  <c r="AB15"/>
  <c r="AB14"/>
  <c r="AB13"/>
  <c r="AB12"/>
  <c r="AB9"/>
  <c r="AB8"/>
  <c r="AB7"/>
  <c r="AB6"/>
  <c r="AA10"/>
  <c r="AA11"/>
  <c r="AA23"/>
  <c r="AA22"/>
  <c r="AA21"/>
  <c r="AA20"/>
  <c r="AA19"/>
  <c r="AA18"/>
  <c r="AA17"/>
  <c r="AA16"/>
  <c r="AA15"/>
  <c r="AA14"/>
  <c r="AA13"/>
  <c r="AA12"/>
  <c r="AA9"/>
  <c r="AA8"/>
  <c r="AA7"/>
  <c r="AA6"/>
  <c r="AD5"/>
  <c r="AC5"/>
  <c r="AB5"/>
  <c r="AA5"/>
  <c r="AA24" s="1"/>
  <c r="Y23"/>
  <c r="Y22"/>
  <c r="Y21"/>
  <c r="Y18"/>
  <c r="Y19"/>
  <c r="Y17"/>
  <c r="Y20"/>
  <c r="Y16"/>
  <c r="Y15"/>
  <c r="Y14"/>
  <c r="Y13"/>
  <c r="Y10"/>
  <c r="Y11"/>
  <c r="Y9"/>
  <c r="Y12"/>
  <c r="Y6"/>
  <c r="Y7"/>
  <c r="Y5"/>
  <c r="Y8"/>
  <c r="X20"/>
  <c r="X21"/>
  <c r="X22"/>
  <c r="X23"/>
  <c r="X19"/>
  <c r="X10"/>
  <c r="X11"/>
  <c r="X12"/>
  <c r="X13"/>
  <c r="X14"/>
  <c r="X15"/>
  <c r="X16"/>
  <c r="X17"/>
  <c r="X9"/>
  <c r="X6"/>
  <c r="X7"/>
  <c r="X5"/>
  <c r="X24" s="1"/>
  <c r="X18"/>
  <c r="X8"/>
  <c r="AD82" i="3"/>
  <c r="AD83"/>
  <c r="AD84"/>
  <c r="AD85"/>
  <c r="AD86"/>
  <c r="AD87"/>
  <c r="AD88"/>
  <c r="AD91"/>
  <c r="AD92"/>
  <c r="AD93"/>
  <c r="AD90"/>
  <c r="AD94"/>
  <c r="AD89"/>
  <c r="AD81"/>
  <c r="AD80"/>
  <c r="AD79"/>
  <c r="AD78"/>
  <c r="AC91"/>
  <c r="AC92"/>
  <c r="AC93"/>
  <c r="AC94"/>
  <c r="AC90"/>
  <c r="AC81"/>
  <c r="AC82"/>
  <c r="AC83"/>
  <c r="AC84"/>
  <c r="AC85"/>
  <c r="AC86"/>
  <c r="AC87"/>
  <c r="AC88"/>
  <c r="AC89"/>
  <c r="AC80"/>
  <c r="AC79"/>
  <c r="AC78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A94"/>
  <c r="AA93"/>
  <c r="AA92"/>
  <c r="AA91"/>
  <c r="AA90"/>
  <c r="AA89"/>
  <c r="AA88"/>
  <c r="AA87"/>
  <c r="AA86"/>
  <c r="AA85"/>
  <c r="AA84"/>
  <c r="AA83"/>
  <c r="AA82"/>
  <c r="AA81"/>
  <c r="AA80"/>
  <c r="AA79"/>
  <c r="AA78"/>
  <c r="Z94"/>
  <c r="Z93"/>
  <c r="Z92"/>
  <c r="Z91"/>
  <c r="Z90"/>
  <c r="Z89"/>
  <c r="Z88"/>
  <c r="Z87"/>
  <c r="Z86"/>
  <c r="Z85"/>
  <c r="Z84"/>
  <c r="Z83"/>
  <c r="Z82"/>
  <c r="Z81"/>
  <c r="Z80"/>
  <c r="Z79"/>
  <c r="Z78"/>
  <c r="Y87"/>
  <c r="Y88"/>
  <c r="Y89"/>
  <c r="Y90"/>
  <c r="Y91"/>
  <c r="Y92"/>
  <c r="Y94"/>
  <c r="Y93"/>
  <c r="Y86"/>
  <c r="Y85"/>
  <c r="Y84"/>
  <c r="Y83"/>
  <c r="Y82"/>
  <c r="Y81"/>
  <c r="Y80"/>
  <c r="Y79"/>
  <c r="Y78"/>
  <c r="X82"/>
  <c r="X83"/>
  <c r="X84"/>
  <c r="X85"/>
  <c r="X86"/>
  <c r="X87"/>
  <c r="X88"/>
  <c r="X89"/>
  <c r="X90"/>
  <c r="X91"/>
  <c r="X92"/>
  <c r="X93"/>
  <c r="X94"/>
  <c r="X81"/>
  <c r="X80"/>
  <c r="X79"/>
  <c r="X78"/>
  <c r="Y77"/>
  <c r="Z77"/>
  <c r="AA77"/>
  <c r="AB77"/>
  <c r="AC77"/>
  <c r="AD77"/>
  <c r="X77"/>
  <c r="AD58"/>
  <c r="AD59"/>
  <c r="AD60"/>
  <c r="AD61"/>
  <c r="AD62"/>
  <c r="AD63"/>
  <c r="AD64"/>
  <c r="AD65"/>
  <c r="AD66"/>
  <c r="AD67"/>
  <c r="AD68"/>
  <c r="AD57"/>
  <c r="AD53"/>
  <c r="AC58"/>
  <c r="AC59"/>
  <c r="AC60"/>
  <c r="AC61"/>
  <c r="AC62"/>
  <c r="AC63"/>
  <c r="AC64"/>
  <c r="AC65"/>
  <c r="AC66"/>
  <c r="AC67"/>
  <c r="AC68"/>
  <c r="AC57"/>
  <c r="AC55"/>
  <c r="AC53"/>
  <c r="AB68"/>
  <c r="AB67"/>
  <c r="AB64"/>
  <c r="AB63"/>
  <c r="AB62"/>
  <c r="AB60"/>
  <c r="AB58"/>
  <c r="AB57"/>
  <c r="AB55"/>
  <c r="AA68"/>
  <c r="AA65"/>
  <c r="AA64"/>
  <c r="AA63"/>
  <c r="AA62"/>
  <c r="AA58"/>
  <c r="AA57"/>
  <c r="AA55"/>
  <c r="Z64"/>
  <c r="Z62"/>
  <c r="Z58"/>
  <c r="Z55"/>
  <c r="Z54"/>
  <c r="Y70"/>
  <c r="Y69"/>
  <c r="Y68"/>
  <c r="Y67"/>
  <c r="Y66"/>
  <c r="Y65"/>
  <c r="Y64"/>
  <c r="Y63"/>
  <c r="Y62"/>
  <c r="Y61"/>
  <c r="Y60"/>
  <c r="Y59"/>
  <c r="Y58"/>
  <c r="Y57"/>
  <c r="Y54"/>
  <c r="Y55"/>
  <c r="Y56"/>
  <c r="Y53"/>
  <c r="AD52"/>
  <c r="AC52"/>
  <c r="Z52"/>
  <c r="Y52"/>
  <c r="X67"/>
  <c r="X68"/>
  <c r="X69"/>
  <c r="X70"/>
  <c r="X66"/>
  <c r="X59"/>
  <c r="X60"/>
  <c r="X61"/>
  <c r="X62"/>
  <c r="X63"/>
  <c r="X64"/>
  <c r="X65"/>
  <c r="X58"/>
  <c r="X57"/>
  <c r="X52"/>
  <c r="X53"/>
  <c r="X54"/>
  <c r="X55"/>
  <c r="X56"/>
  <c r="AD32"/>
  <c r="AD33"/>
  <c r="AD34"/>
  <c r="AD35"/>
  <c r="AD36"/>
  <c r="AD37"/>
  <c r="AD38"/>
  <c r="AD39"/>
  <c r="AD40"/>
  <c r="AD41"/>
  <c r="AD42"/>
  <c r="AD43"/>
  <c r="AD44"/>
  <c r="AD45"/>
  <c r="AD31"/>
  <c r="AC45"/>
  <c r="AC32"/>
  <c r="AC33"/>
  <c r="AC34"/>
  <c r="AC35"/>
  <c r="AC36"/>
  <c r="AC37"/>
  <c r="AC38"/>
  <c r="AC39"/>
  <c r="AC40"/>
  <c r="AC41"/>
  <c r="AC42"/>
  <c r="AC43"/>
  <c r="AC44"/>
  <c r="AC31"/>
  <c r="AB45"/>
  <c r="AB35"/>
  <c r="AB36"/>
  <c r="AB37"/>
  <c r="AB38"/>
  <c r="AB39"/>
  <c r="AB40"/>
  <c r="AB41"/>
  <c r="AB42"/>
  <c r="AB43"/>
  <c r="AB34"/>
  <c r="AB32"/>
  <c r="AB31"/>
  <c r="AB44"/>
  <c r="AB33"/>
  <c r="AA34"/>
  <c r="AA35"/>
  <c r="AA36"/>
  <c r="AA37"/>
  <c r="AA38"/>
  <c r="AA39"/>
  <c r="AA40"/>
  <c r="AA41"/>
  <c r="AA42"/>
  <c r="AA43"/>
  <c r="AA44"/>
  <c r="AA45"/>
  <c r="AA32"/>
  <c r="Z45"/>
  <c r="Z44"/>
  <c r="Z43"/>
  <c r="Z42"/>
  <c r="Z38"/>
  <c r="Z39"/>
  <c r="Z40"/>
  <c r="Z41"/>
  <c r="Z37"/>
  <c r="Z36"/>
  <c r="Z35"/>
  <c r="Z34"/>
  <c r="Z32"/>
  <c r="Y38"/>
  <c r="Y39"/>
  <c r="Y40"/>
  <c r="Y41"/>
  <c r="Y42"/>
  <c r="Y43"/>
  <c r="Y44"/>
  <c r="Y37"/>
  <c r="Y45"/>
  <c r="Y32"/>
  <c r="Y34"/>
  <c r="Y35"/>
  <c r="Y36"/>
  <c r="AA31"/>
  <c r="Y30"/>
  <c r="Z31"/>
  <c r="Y31"/>
  <c r="AD30"/>
  <c r="AC30"/>
  <c r="Z30"/>
  <c r="AA30"/>
  <c r="AB30"/>
  <c r="AA29"/>
  <c r="AB29"/>
  <c r="AC29"/>
  <c r="AD29"/>
  <c r="Z29"/>
  <c r="Y29"/>
  <c r="Y33"/>
  <c r="Z33"/>
  <c r="AA33"/>
  <c r="Y28"/>
  <c r="Z28"/>
  <c r="AA28"/>
  <c r="AB28"/>
  <c r="AC28"/>
  <c r="AD28"/>
  <c r="X46"/>
  <c r="AD8"/>
  <c r="AD9"/>
  <c r="AD10"/>
  <c r="AD11"/>
  <c r="AD12"/>
  <c r="AD13"/>
  <c r="AD14"/>
  <c r="AD15"/>
  <c r="AD16"/>
  <c r="AD17"/>
  <c r="AD18"/>
  <c r="AD19"/>
  <c r="AD21"/>
  <c r="AD20"/>
  <c r="AD7"/>
  <c r="AD6"/>
  <c r="AD5"/>
  <c r="AC8"/>
  <c r="AC17"/>
  <c r="AC18"/>
  <c r="AC19"/>
  <c r="AC21"/>
  <c r="AC20"/>
  <c r="AC16"/>
  <c r="AC10"/>
  <c r="AC11"/>
  <c r="AC12"/>
  <c r="AC13"/>
  <c r="AC14"/>
  <c r="AC15"/>
  <c r="AC7"/>
  <c r="AC6"/>
  <c r="AC5"/>
  <c r="AB21"/>
  <c r="AB20"/>
  <c r="AB19"/>
  <c r="AB18"/>
  <c r="AB17"/>
  <c r="AB16"/>
  <c r="AB14"/>
  <c r="AB15"/>
  <c r="AB13"/>
  <c r="AB12"/>
  <c r="AB11"/>
  <c r="AB10"/>
  <c r="AB9"/>
  <c r="AB8"/>
  <c r="AB7"/>
  <c r="AB6"/>
  <c r="AB5"/>
  <c r="AA21"/>
  <c r="AA20"/>
  <c r="AA19"/>
  <c r="AA18"/>
  <c r="AA17"/>
  <c r="AA11"/>
  <c r="AA10"/>
  <c r="AA8"/>
  <c r="AA7"/>
  <c r="AA6"/>
  <c r="AA5"/>
  <c r="Z21"/>
  <c r="Z20"/>
  <c r="Z19"/>
  <c r="Z18"/>
  <c r="Z17"/>
  <c r="Z16"/>
  <c r="Z15"/>
  <c r="Z14"/>
  <c r="Z13"/>
  <c r="Z12"/>
  <c r="Z11"/>
  <c r="Z10"/>
  <c r="Z8"/>
  <c r="Z7"/>
  <c r="Z6"/>
  <c r="Z5"/>
  <c r="Y21"/>
  <c r="Y20"/>
  <c r="Y19"/>
  <c r="Y18"/>
  <c r="Y16"/>
  <c r="Y17"/>
  <c r="Y15"/>
  <c r="Y14"/>
  <c r="Y13"/>
  <c r="Y12"/>
  <c r="Y11"/>
  <c r="Y10"/>
  <c r="Y9"/>
  <c r="Z9"/>
  <c r="AA9"/>
  <c r="AC9"/>
  <c r="Y8"/>
  <c r="Y7"/>
  <c r="Y6"/>
  <c r="Y5"/>
  <c r="Y4"/>
  <c r="Z4"/>
  <c r="AA4"/>
  <c r="AB4"/>
  <c r="AC4"/>
  <c r="AD4"/>
  <c r="X7"/>
  <c r="X8"/>
  <c r="X16"/>
  <c r="X21"/>
  <c r="X10"/>
  <c r="X11"/>
  <c r="X12"/>
  <c r="X13"/>
  <c r="X14"/>
  <c r="X15"/>
  <c r="X19"/>
  <c r="X18"/>
  <c r="X17"/>
  <c r="X20"/>
  <c r="X9"/>
  <c r="X6"/>
  <c r="X22" s="1"/>
  <c r="X5"/>
  <c r="X4"/>
  <c r="X29"/>
  <c r="X30"/>
  <c r="X31"/>
  <c r="X32"/>
  <c r="X33"/>
  <c r="X34"/>
  <c r="X35"/>
  <c r="X36"/>
  <c r="X37"/>
  <c r="X38"/>
  <c r="X39"/>
  <c r="X40"/>
  <c r="X41"/>
  <c r="X42"/>
  <c r="X43"/>
  <c r="X44"/>
  <c r="X45"/>
  <c r="X28"/>
  <c r="Q164" i="1"/>
  <c r="Q160"/>
  <c r="V150"/>
  <c r="P166"/>
  <c r="S150"/>
  <c r="T150" s="1"/>
  <c r="P164"/>
  <c r="P160"/>
  <c r="M166"/>
  <c r="M154"/>
  <c r="N154" s="1"/>
  <c r="M151"/>
  <c r="N151" s="1"/>
  <c r="J164"/>
  <c r="K164" s="1"/>
  <c r="J160"/>
  <c r="K160" s="1"/>
  <c r="J156"/>
  <c r="J154"/>
  <c r="K154" s="1"/>
  <c r="J151"/>
  <c r="K151" s="1"/>
  <c r="J149"/>
  <c r="J140"/>
  <c r="K140" s="1"/>
  <c r="J132"/>
  <c r="K132" s="1"/>
  <c r="J131"/>
  <c r="K131" s="1"/>
  <c r="J130"/>
  <c r="J127"/>
  <c r="K127" s="1"/>
  <c r="T92"/>
  <c r="Q92"/>
  <c r="Q82"/>
  <c r="Q79"/>
  <c r="H92"/>
  <c r="E79"/>
  <c r="K108"/>
  <c r="K107"/>
  <c r="K101"/>
  <c r="G127"/>
  <c r="J118"/>
  <c r="K118" s="1"/>
  <c r="J116"/>
  <c r="K116" s="1"/>
  <c r="J112"/>
  <c r="K112" s="1"/>
  <c r="J108"/>
  <c r="J107"/>
  <c r="J106"/>
  <c r="K106" s="1"/>
  <c r="J103"/>
  <c r="K103" s="1"/>
  <c r="J101"/>
  <c r="G108"/>
  <c r="H108" s="1"/>
  <c r="G106"/>
  <c r="H106" s="1"/>
  <c r="G103"/>
  <c r="D103"/>
  <c r="E103" s="1"/>
  <c r="V92"/>
  <c r="W92" s="1"/>
  <c r="V78"/>
  <c r="V91"/>
  <c r="W91" s="1"/>
  <c r="S94"/>
  <c r="S92"/>
  <c r="S91"/>
  <c r="T91" s="1"/>
  <c r="S79"/>
  <c r="T79" s="1"/>
  <c r="S78"/>
  <c r="T78" s="1"/>
  <c r="P92"/>
  <c r="P90"/>
  <c r="Q90" s="1"/>
  <c r="P88"/>
  <c r="Q88" s="1"/>
  <c r="P82"/>
  <c r="P79"/>
  <c r="P78"/>
  <c r="Q78" s="1"/>
  <c r="M91"/>
  <c r="N91" s="1"/>
  <c r="M84"/>
  <c r="M83"/>
  <c r="M82"/>
  <c r="N82" s="1"/>
  <c r="M79"/>
  <c r="N79" s="1"/>
  <c r="J92"/>
  <c r="J91"/>
  <c r="J90"/>
  <c r="K90" s="1"/>
  <c r="J84"/>
  <c r="K84" s="1"/>
  <c r="J83"/>
  <c r="J82"/>
  <c r="J79"/>
  <c r="K79" s="1"/>
  <c r="J77"/>
  <c r="K77" s="1"/>
  <c r="G92"/>
  <c r="D79"/>
  <c r="N60"/>
  <c r="V68"/>
  <c r="V54"/>
  <c r="S54"/>
  <c r="P58"/>
  <c r="P60"/>
  <c r="Q60" s="1"/>
  <c r="P65"/>
  <c r="Q65" s="1"/>
  <c r="P66"/>
  <c r="P68"/>
  <c r="P54"/>
  <c r="M69"/>
  <c r="N69" s="1"/>
  <c r="M68"/>
  <c r="N68" s="1"/>
  <c r="M60"/>
  <c r="M55"/>
  <c r="N55" s="1"/>
  <c r="M54"/>
  <c r="N54" s="1"/>
  <c r="J68"/>
  <c r="J66"/>
  <c r="J60"/>
  <c r="K60" s="1"/>
  <c r="J59"/>
  <c r="J55"/>
  <c r="G64"/>
  <c r="G60"/>
  <c r="G55"/>
  <c r="D55"/>
  <c r="P34"/>
  <c r="P30"/>
  <c r="M31"/>
  <c r="V6"/>
  <c r="W6" s="1"/>
  <c r="S22"/>
  <c r="T22" s="1"/>
  <c r="S6"/>
  <c r="P10"/>
  <c r="P6"/>
  <c r="M7"/>
  <c r="J12"/>
  <c r="J10"/>
  <c r="J7"/>
  <c r="G22"/>
  <c r="H22" s="1"/>
  <c r="G12"/>
  <c r="G11"/>
  <c r="G10"/>
  <c r="H10" s="1"/>
  <c r="G5"/>
  <c r="H5" s="1"/>
  <c r="D7"/>
  <c r="U166"/>
  <c r="W150" s="1"/>
  <c r="R166"/>
  <c r="S166" s="1"/>
  <c r="O166"/>
  <c r="L166"/>
  <c r="I166"/>
  <c r="K156" s="1"/>
  <c r="F166"/>
  <c r="C166"/>
  <c r="U142"/>
  <c r="R142"/>
  <c r="O142"/>
  <c r="L142"/>
  <c r="I142"/>
  <c r="J142" s="1"/>
  <c r="K142" s="1"/>
  <c r="F142"/>
  <c r="C144" s="1"/>
  <c r="C142"/>
  <c r="U118"/>
  <c r="R118"/>
  <c r="O118"/>
  <c r="L118"/>
  <c r="I118"/>
  <c r="F118"/>
  <c r="H103" s="1"/>
  <c r="C118"/>
  <c r="C120" s="1"/>
  <c r="U94"/>
  <c r="V94" s="1"/>
  <c r="R94"/>
  <c r="O94"/>
  <c r="P94" s="1"/>
  <c r="L94"/>
  <c r="M94" s="1"/>
  <c r="I94"/>
  <c r="J94" s="1"/>
  <c r="F94"/>
  <c r="G94" s="1"/>
  <c r="C94"/>
  <c r="D94" s="1"/>
  <c r="U70"/>
  <c r="V70" s="1"/>
  <c r="R70"/>
  <c r="S70" s="1"/>
  <c r="O70"/>
  <c r="L70"/>
  <c r="M70" s="1"/>
  <c r="I70"/>
  <c r="J70" s="1"/>
  <c r="F70"/>
  <c r="G70" s="1"/>
  <c r="C70"/>
  <c r="E55" s="1"/>
  <c r="U46"/>
  <c r="R46"/>
  <c r="O46"/>
  <c r="Q30" s="1"/>
  <c r="L46"/>
  <c r="M46" s="1"/>
  <c r="I46"/>
  <c r="F46"/>
  <c r="C46"/>
  <c r="U22"/>
  <c r="V22" s="1"/>
  <c r="W22" s="1"/>
  <c r="R22"/>
  <c r="O22"/>
  <c r="P22" s="1"/>
  <c r="L22"/>
  <c r="M22" s="1"/>
  <c r="N22" s="1"/>
  <c r="I22"/>
  <c r="F22"/>
  <c r="C22"/>
  <c r="C24" s="1"/>
  <c r="V73" i="2"/>
  <c r="V68"/>
  <c r="W68" s="1"/>
  <c r="V58"/>
  <c r="W58" s="1"/>
  <c r="V57"/>
  <c r="V56"/>
  <c r="S73"/>
  <c r="T73" s="1"/>
  <c r="S72"/>
  <c r="S69"/>
  <c r="S68"/>
  <c r="T68" s="1"/>
  <c r="S64"/>
  <c r="T64" s="1"/>
  <c r="S63"/>
  <c r="S57"/>
  <c r="P73"/>
  <c r="Q73" s="1"/>
  <c r="P72"/>
  <c r="Q72" s="1"/>
  <c r="P71"/>
  <c r="Q71" s="1"/>
  <c r="P70"/>
  <c r="Q70" s="1"/>
  <c r="P69"/>
  <c r="Q69" s="1"/>
  <c r="P64"/>
  <c r="Q64" s="1"/>
  <c r="P62"/>
  <c r="Q62" s="1"/>
  <c r="P58"/>
  <c r="Q58" s="1"/>
  <c r="P57"/>
  <c r="Q57" s="1"/>
  <c r="M73"/>
  <c r="N73" s="1"/>
  <c r="M72"/>
  <c r="N72" s="1"/>
  <c r="M71"/>
  <c r="N71" s="1"/>
  <c r="M69"/>
  <c r="M68"/>
  <c r="N68" s="1"/>
  <c r="M64"/>
  <c r="N64" s="1"/>
  <c r="M63"/>
  <c r="N63" s="1"/>
  <c r="M62"/>
  <c r="M60"/>
  <c r="N60" s="1"/>
  <c r="M58"/>
  <c r="N58" s="1"/>
  <c r="M57"/>
  <c r="N57" s="1"/>
  <c r="M56"/>
  <c r="J73"/>
  <c r="K73" s="1"/>
  <c r="J72"/>
  <c r="K72" s="1"/>
  <c r="J71"/>
  <c r="J70"/>
  <c r="J69"/>
  <c r="K69" s="1"/>
  <c r="J68"/>
  <c r="K68" s="1"/>
  <c r="J66"/>
  <c r="J65"/>
  <c r="J64"/>
  <c r="K64" s="1"/>
  <c r="J63"/>
  <c r="K63" s="1"/>
  <c r="J62"/>
  <c r="J60"/>
  <c r="J58"/>
  <c r="K58" s="1"/>
  <c r="J56"/>
  <c r="K56" s="1"/>
  <c r="G72"/>
  <c r="G68"/>
  <c r="H68" s="1"/>
  <c r="G66"/>
  <c r="H66" s="1"/>
  <c r="G65"/>
  <c r="G64"/>
  <c r="G63"/>
  <c r="H63" s="1"/>
  <c r="G62"/>
  <c r="H62" s="1"/>
  <c r="G58"/>
  <c r="D60"/>
  <c r="E60" s="1"/>
  <c r="D58"/>
  <c r="E58" s="1"/>
  <c r="V48"/>
  <c r="W48" s="1"/>
  <c r="V47"/>
  <c r="W47" s="1"/>
  <c r="V46"/>
  <c r="W46" s="1"/>
  <c r="V43"/>
  <c r="W43" s="1"/>
  <c r="V39"/>
  <c r="W39" s="1"/>
  <c r="V35"/>
  <c r="W35" s="1"/>
  <c r="V33"/>
  <c r="W33" s="1"/>
  <c r="V32"/>
  <c r="W32" s="1"/>
  <c r="V31"/>
  <c r="W31" s="1"/>
  <c r="V30"/>
  <c r="W30" s="1"/>
  <c r="S48"/>
  <c r="T48" s="1"/>
  <c r="S47"/>
  <c r="S43"/>
  <c r="T43" s="1"/>
  <c r="S39"/>
  <c r="T39" s="1"/>
  <c r="S37"/>
  <c r="T37" s="1"/>
  <c r="S33"/>
  <c r="S32"/>
  <c r="T32" s="1"/>
  <c r="S31"/>
  <c r="T31" s="1"/>
  <c r="P48"/>
  <c r="P47"/>
  <c r="P45"/>
  <c r="Q45" s="1"/>
  <c r="P44"/>
  <c r="Q44" s="1"/>
  <c r="P43"/>
  <c r="P39"/>
  <c r="P38"/>
  <c r="Q38" s="1"/>
  <c r="P37"/>
  <c r="Q37" s="1"/>
  <c r="P36"/>
  <c r="P35"/>
  <c r="P33"/>
  <c r="Q33" s="1"/>
  <c r="P32"/>
  <c r="Q32" s="1"/>
  <c r="P31"/>
  <c r="M48"/>
  <c r="N48" s="1"/>
  <c r="M47"/>
  <c r="N47" s="1"/>
  <c r="M46"/>
  <c r="M45"/>
  <c r="M44"/>
  <c r="N44" s="1"/>
  <c r="M43"/>
  <c r="N43" s="1"/>
  <c r="M39"/>
  <c r="M38"/>
  <c r="M37"/>
  <c r="N37" s="1"/>
  <c r="M35"/>
  <c r="N35" s="1"/>
  <c r="M33"/>
  <c r="M32"/>
  <c r="M31"/>
  <c r="N31" s="1"/>
  <c r="J48"/>
  <c r="K48" s="1"/>
  <c r="J47"/>
  <c r="K47" s="1"/>
  <c r="J46"/>
  <c r="K46" s="1"/>
  <c r="J45"/>
  <c r="K45" s="1"/>
  <c r="J44"/>
  <c r="K44" s="1"/>
  <c r="J43"/>
  <c r="K43" s="1"/>
  <c r="J42"/>
  <c r="K42" s="1"/>
  <c r="J41"/>
  <c r="K41" s="1"/>
  <c r="J40"/>
  <c r="K40" s="1"/>
  <c r="J39"/>
  <c r="K39" s="1"/>
  <c r="J38"/>
  <c r="K38" s="1"/>
  <c r="J37"/>
  <c r="K37" s="1"/>
  <c r="J35"/>
  <c r="K35" s="1"/>
  <c r="J33"/>
  <c r="K33" s="1"/>
  <c r="J31"/>
  <c r="K31" s="1"/>
  <c r="G48"/>
  <c r="G47"/>
  <c r="H47" s="1"/>
  <c r="G44"/>
  <c r="H44" s="1"/>
  <c r="G43"/>
  <c r="H43" s="1"/>
  <c r="G41"/>
  <c r="G40"/>
  <c r="H40" s="1"/>
  <c r="G39"/>
  <c r="H39" s="1"/>
  <c r="G38"/>
  <c r="H38" s="1"/>
  <c r="G37"/>
  <c r="G35"/>
  <c r="H35" s="1"/>
  <c r="G34"/>
  <c r="H34" s="1"/>
  <c r="G33"/>
  <c r="H33" s="1"/>
  <c r="G31"/>
  <c r="D47"/>
  <c r="E47" s="1"/>
  <c r="D43"/>
  <c r="E43" s="1"/>
  <c r="D39"/>
  <c r="D38"/>
  <c r="D35"/>
  <c r="E35" s="1"/>
  <c r="D33"/>
  <c r="E33" s="1"/>
  <c r="D31"/>
  <c r="N20"/>
  <c r="N19"/>
  <c r="N14"/>
  <c r="N7"/>
  <c r="V23"/>
  <c r="W23" s="1"/>
  <c r="V22"/>
  <c r="W22" s="1"/>
  <c r="V18"/>
  <c r="W18" s="1"/>
  <c r="V8"/>
  <c r="W8" s="1"/>
  <c r="V7"/>
  <c r="W7" s="1"/>
  <c r="V6"/>
  <c r="W6" s="1"/>
  <c r="S23"/>
  <c r="S22"/>
  <c r="T22" s="1"/>
  <c r="S18"/>
  <c r="T18" s="1"/>
  <c r="S12"/>
  <c r="T12" s="1"/>
  <c r="S7"/>
  <c r="S6"/>
  <c r="T6" s="1"/>
  <c r="P22"/>
  <c r="Q22" s="1"/>
  <c r="P18"/>
  <c r="P14"/>
  <c r="P13"/>
  <c r="Q13" s="1"/>
  <c r="P12"/>
  <c r="Q12" s="1"/>
  <c r="P8"/>
  <c r="P7"/>
  <c r="M24"/>
  <c r="M22"/>
  <c r="N22" s="1"/>
  <c r="M21"/>
  <c r="M20"/>
  <c r="M19"/>
  <c r="M18"/>
  <c r="N18" s="1"/>
  <c r="M15"/>
  <c r="M14"/>
  <c r="M13"/>
  <c r="N13" s="1"/>
  <c r="M12"/>
  <c r="N12" s="1"/>
  <c r="M8"/>
  <c r="M7"/>
  <c r="M6"/>
  <c r="N6" s="1"/>
  <c r="J23"/>
  <c r="J22"/>
  <c r="J21"/>
  <c r="J20"/>
  <c r="J19"/>
  <c r="J18"/>
  <c r="J17"/>
  <c r="J16"/>
  <c r="J15"/>
  <c r="J14"/>
  <c r="J13"/>
  <c r="J12"/>
  <c r="J10"/>
  <c r="J8"/>
  <c r="J6"/>
  <c r="G23"/>
  <c r="H23" s="1"/>
  <c r="G22"/>
  <c r="G21"/>
  <c r="G20"/>
  <c r="H20" s="1"/>
  <c r="G16"/>
  <c r="H16" s="1"/>
  <c r="G15"/>
  <c r="G14"/>
  <c r="G13"/>
  <c r="H13" s="1"/>
  <c r="G12"/>
  <c r="H12" s="1"/>
  <c r="G8"/>
  <c r="D18"/>
  <c r="E18" s="1"/>
  <c r="D8"/>
  <c r="E8" s="1"/>
  <c r="V94" i="3"/>
  <c r="V89"/>
  <c r="V80"/>
  <c r="V79"/>
  <c r="S89"/>
  <c r="S79"/>
  <c r="P94"/>
  <c r="P93"/>
  <c r="P92"/>
  <c r="P91"/>
  <c r="P90"/>
  <c r="P89"/>
  <c r="P85"/>
  <c r="P84"/>
  <c r="P83"/>
  <c r="P80"/>
  <c r="P79"/>
  <c r="M94"/>
  <c r="M93"/>
  <c r="M92"/>
  <c r="M90"/>
  <c r="M89"/>
  <c r="M85"/>
  <c r="M84"/>
  <c r="M83"/>
  <c r="M80"/>
  <c r="M79"/>
  <c r="J94"/>
  <c r="J93"/>
  <c r="J92"/>
  <c r="J91"/>
  <c r="J90"/>
  <c r="J89"/>
  <c r="J86"/>
  <c r="J85"/>
  <c r="J84"/>
  <c r="J83"/>
  <c r="J80"/>
  <c r="J78"/>
  <c r="G94"/>
  <c r="G93"/>
  <c r="G85"/>
  <c r="G84"/>
  <c r="G81"/>
  <c r="G80"/>
  <c r="D80"/>
  <c r="V70"/>
  <c r="V69"/>
  <c r="V56"/>
  <c r="V55"/>
  <c r="V54"/>
  <c r="S70"/>
  <c r="S69"/>
  <c r="S56"/>
  <c r="S54"/>
  <c r="P70"/>
  <c r="P69"/>
  <c r="P66"/>
  <c r="P65"/>
  <c r="P61"/>
  <c r="P59"/>
  <c r="P56"/>
  <c r="P54"/>
  <c r="P52"/>
  <c r="M70"/>
  <c r="M69"/>
  <c r="M66"/>
  <c r="M61"/>
  <c r="M60"/>
  <c r="M59"/>
  <c r="M56"/>
  <c r="M54"/>
  <c r="J70"/>
  <c r="J69"/>
  <c r="J68"/>
  <c r="J67"/>
  <c r="J66"/>
  <c r="J65"/>
  <c r="J63"/>
  <c r="J61"/>
  <c r="J60"/>
  <c r="J56"/>
  <c r="J57"/>
  <c r="J59"/>
  <c r="J53"/>
  <c r="G70"/>
  <c r="G69"/>
  <c r="G68"/>
  <c r="G65"/>
  <c r="G63"/>
  <c r="G61"/>
  <c r="G60"/>
  <c r="G59"/>
  <c r="G57"/>
  <c r="G56"/>
  <c r="D65"/>
  <c r="D57"/>
  <c r="D56"/>
  <c r="V30"/>
  <c r="S44"/>
  <c r="S30"/>
  <c r="V21"/>
  <c r="V20"/>
  <c r="V6"/>
  <c r="S21"/>
  <c r="S20"/>
  <c r="S15"/>
  <c r="S6"/>
  <c r="S5"/>
  <c r="P44"/>
  <c r="P33"/>
  <c r="P30"/>
  <c r="M31"/>
  <c r="J45"/>
  <c r="J44"/>
  <c r="J43"/>
  <c r="J41"/>
  <c r="J36"/>
  <c r="J35"/>
  <c r="J34"/>
  <c r="J31"/>
  <c r="G45"/>
  <c r="G36"/>
  <c r="G31"/>
  <c r="G29"/>
  <c r="P21"/>
  <c r="P20"/>
  <c r="P18"/>
  <c r="P16"/>
  <c r="P12"/>
  <c r="P11"/>
  <c r="P10"/>
  <c r="P6"/>
  <c r="P5"/>
  <c r="M21"/>
  <c r="M20"/>
  <c r="M17"/>
  <c r="M11"/>
  <c r="M10"/>
  <c r="M7"/>
  <c r="M6"/>
  <c r="M5"/>
  <c r="J21"/>
  <c r="J20"/>
  <c r="J18"/>
  <c r="J17"/>
  <c r="J16"/>
  <c r="J13"/>
  <c r="J12"/>
  <c r="J11"/>
  <c r="J10"/>
  <c r="J7"/>
  <c r="J5"/>
  <c r="G21"/>
  <c r="G20"/>
  <c r="G19"/>
  <c r="G14"/>
  <c r="G13"/>
  <c r="G12"/>
  <c r="G11"/>
  <c r="G10"/>
  <c r="G7"/>
  <c r="G5"/>
  <c r="D21"/>
  <c r="D16"/>
  <c r="D8"/>
  <c r="D7"/>
  <c r="U74" i="2"/>
  <c r="V74" s="1"/>
  <c r="R74"/>
  <c r="T69" s="1"/>
  <c r="O74"/>
  <c r="P74" s="1"/>
  <c r="L74"/>
  <c r="M74" s="1"/>
  <c r="I74"/>
  <c r="K70" s="1"/>
  <c r="F74"/>
  <c r="G74" s="1"/>
  <c r="C74"/>
  <c r="C76" s="1"/>
  <c r="U49"/>
  <c r="V49" s="1"/>
  <c r="W49" s="1"/>
  <c r="R49"/>
  <c r="T47" s="1"/>
  <c r="O49"/>
  <c r="Q47" s="1"/>
  <c r="L49"/>
  <c r="N45" s="1"/>
  <c r="I49"/>
  <c r="J49" s="1"/>
  <c r="K49" s="1"/>
  <c r="F49"/>
  <c r="H48" s="1"/>
  <c r="C49"/>
  <c r="C51" s="1"/>
  <c r="U24"/>
  <c r="V24" s="1"/>
  <c r="R24"/>
  <c r="T23" s="1"/>
  <c r="O24"/>
  <c r="Q14" s="1"/>
  <c r="L24"/>
  <c r="N21" s="1"/>
  <c r="I24"/>
  <c r="K23" s="1"/>
  <c r="F24"/>
  <c r="H21" s="1"/>
  <c r="C24"/>
  <c r="D24" s="1"/>
  <c r="AA71" i="3" l="1"/>
  <c r="T118" i="1"/>
  <c r="W118"/>
  <c r="N118"/>
  <c r="Q118"/>
  <c r="W142"/>
  <c r="N142"/>
  <c r="Q142"/>
  <c r="E142"/>
  <c r="T142"/>
  <c r="Q74" i="2"/>
  <c r="N11" i="3"/>
  <c r="H12"/>
  <c r="H84"/>
  <c r="Q94"/>
  <c r="W74" i="2"/>
  <c r="H19" i="3"/>
  <c r="K34"/>
  <c r="H74" i="2"/>
  <c r="E16" i="3"/>
  <c r="N6"/>
  <c r="Q6"/>
  <c r="Q16"/>
  <c r="H29"/>
  <c r="K41"/>
  <c r="T30"/>
  <c r="N90"/>
  <c r="Q79"/>
  <c r="T89"/>
  <c r="Q22" i="1"/>
  <c r="Q5" i="3"/>
  <c r="E80"/>
  <c r="N89"/>
  <c r="N94"/>
  <c r="T79"/>
  <c r="W94" i="1"/>
  <c r="E8" i="3"/>
  <c r="Q12"/>
  <c r="H20"/>
  <c r="H94" i="1"/>
  <c r="N5" i="3"/>
  <c r="E56"/>
  <c r="N74" i="2"/>
  <c r="H36" i="3"/>
  <c r="K43"/>
  <c r="H8" i="2"/>
  <c r="H15"/>
  <c r="H22"/>
  <c r="N8"/>
  <c r="N15"/>
  <c r="D49"/>
  <c r="E49" s="1"/>
  <c r="M49"/>
  <c r="N49" s="1"/>
  <c r="N33"/>
  <c r="N39"/>
  <c r="N46"/>
  <c r="D74"/>
  <c r="E74" s="1"/>
  <c r="J74"/>
  <c r="K74" s="1"/>
  <c r="H58"/>
  <c r="H65"/>
  <c r="T63"/>
  <c r="T72"/>
  <c r="E7" i="1"/>
  <c r="H11"/>
  <c r="Q10"/>
  <c r="K66"/>
  <c r="D118"/>
  <c r="E118" s="1"/>
  <c r="G118"/>
  <c r="H118" s="1"/>
  <c r="K130"/>
  <c r="J166"/>
  <c r="Y22" i="3"/>
  <c r="Y46"/>
  <c r="AA46"/>
  <c r="AB46"/>
  <c r="AD46"/>
  <c r="Y71"/>
  <c r="X95"/>
  <c r="AC95"/>
  <c r="C96" i="1"/>
  <c r="K94" s="1"/>
  <c r="AD24" i="2"/>
  <c r="X49"/>
  <c r="AC74"/>
  <c r="X22" i="1"/>
  <c r="Y22"/>
  <c r="Z22"/>
  <c r="AD22"/>
  <c r="X94"/>
  <c r="Z94"/>
  <c r="Z24" i="2"/>
  <c r="J24"/>
  <c r="K24" s="1"/>
  <c r="G24"/>
  <c r="P24"/>
  <c r="H14"/>
  <c r="Q8"/>
  <c r="Q18"/>
  <c r="S49"/>
  <c r="T49" s="1"/>
  <c r="E31"/>
  <c r="E39"/>
  <c r="N32"/>
  <c r="N38"/>
  <c r="Q31"/>
  <c r="Q36"/>
  <c r="Q43"/>
  <c r="Q48"/>
  <c r="S74"/>
  <c r="T74" s="1"/>
  <c r="H64"/>
  <c r="H72"/>
  <c r="K62"/>
  <c r="K66"/>
  <c r="K71"/>
  <c r="T57"/>
  <c r="W57"/>
  <c r="Q6" i="1"/>
  <c r="W54"/>
  <c r="W68"/>
  <c r="K83"/>
  <c r="K92"/>
  <c r="N84"/>
  <c r="W78"/>
  <c r="K149"/>
  <c r="AB95" i="3"/>
  <c r="C72" i="1"/>
  <c r="K70" s="1"/>
  <c r="C168"/>
  <c r="AB49" i="2"/>
  <c r="Y74"/>
  <c r="AC22" i="1"/>
  <c r="Z70"/>
  <c r="AA70"/>
  <c r="Z142"/>
  <c r="S24" i="2"/>
  <c r="Q7"/>
  <c r="T7"/>
  <c r="G49"/>
  <c r="H49" s="1"/>
  <c r="P49"/>
  <c r="Q49" s="1"/>
  <c r="E38"/>
  <c r="H31"/>
  <c r="H37"/>
  <c r="H41"/>
  <c r="Q35"/>
  <c r="Q39"/>
  <c r="T33"/>
  <c r="K60"/>
  <c r="K65"/>
  <c r="N56"/>
  <c r="N62"/>
  <c r="N69"/>
  <c r="W56"/>
  <c r="W73"/>
  <c r="N7" i="1"/>
  <c r="K59"/>
  <c r="T54"/>
  <c r="G142"/>
  <c r="H142" s="1"/>
  <c r="K82"/>
  <c r="K91"/>
  <c r="N83"/>
  <c r="H127"/>
  <c r="V166"/>
  <c r="AD22" i="3"/>
  <c r="X71"/>
  <c r="Z71"/>
  <c r="AB71"/>
  <c r="AC71"/>
  <c r="AD71"/>
  <c r="Z95"/>
  <c r="AA95"/>
  <c r="C48" i="1"/>
  <c r="N46" s="1"/>
  <c r="AB24" i="2"/>
  <c r="AA22" i="1"/>
  <c r="AB22"/>
  <c r="AA46"/>
  <c r="Y70"/>
  <c r="AD70"/>
  <c r="X118"/>
  <c r="Z166"/>
  <c r="AA166"/>
  <c r="AB166"/>
  <c r="K7"/>
  <c r="Q66"/>
  <c r="D22"/>
  <c r="E22" s="1"/>
  <c r="H12"/>
  <c r="K12"/>
  <c r="T6"/>
  <c r="K55"/>
  <c r="K68"/>
  <c r="Q68"/>
  <c r="Q58"/>
  <c r="Z22" i="3"/>
  <c r="AA22"/>
  <c r="AB22"/>
  <c r="AC22"/>
  <c r="Z46"/>
  <c r="AC46"/>
  <c r="Y95"/>
  <c r="AD95"/>
  <c r="Y24" i="2"/>
  <c r="AC24"/>
  <c r="Y49"/>
  <c r="AA49"/>
  <c r="AC49"/>
  <c r="Z74"/>
  <c r="AA74"/>
  <c r="AB74"/>
  <c r="AD74"/>
  <c r="X70" i="1"/>
  <c r="AB70"/>
  <c r="AC70"/>
  <c r="Y94"/>
  <c r="AA94"/>
  <c r="AB94"/>
  <c r="Y118"/>
  <c r="K8" i="2"/>
  <c r="K14"/>
  <c r="K18"/>
  <c r="K22"/>
  <c r="K11"/>
  <c r="K6"/>
  <c r="K13"/>
  <c r="K17"/>
  <c r="K21"/>
  <c r="K12"/>
  <c r="K16"/>
  <c r="K20"/>
  <c r="C26"/>
  <c r="K10"/>
  <c r="K15"/>
  <c r="K19"/>
  <c r="Q34" i="1"/>
  <c r="D70"/>
  <c r="H64"/>
  <c r="H60"/>
  <c r="J22"/>
  <c r="K22" s="1"/>
  <c r="K10"/>
  <c r="P46"/>
  <c r="H55"/>
  <c r="N31"/>
  <c r="P70"/>
  <c r="Q54"/>
  <c r="U95" i="3"/>
  <c r="W79" s="1"/>
  <c r="R95"/>
  <c r="S95" s="1"/>
  <c r="O95"/>
  <c r="L95"/>
  <c r="I95"/>
  <c r="F95"/>
  <c r="G95" s="1"/>
  <c r="C95"/>
  <c r="U71"/>
  <c r="W56" s="1"/>
  <c r="R71"/>
  <c r="T70" s="1"/>
  <c r="O71"/>
  <c r="L71"/>
  <c r="I71"/>
  <c r="F71"/>
  <c r="C71"/>
  <c r="U46"/>
  <c r="R46"/>
  <c r="O46"/>
  <c r="Q44" s="1"/>
  <c r="L46"/>
  <c r="M46" s="1"/>
  <c r="I46"/>
  <c r="F46"/>
  <c r="U22"/>
  <c r="W6" s="1"/>
  <c r="R22"/>
  <c r="S22" s="1"/>
  <c r="O22"/>
  <c r="L22"/>
  <c r="I22"/>
  <c r="K5" s="1"/>
  <c r="F22"/>
  <c r="G22" s="1"/>
  <c r="C22"/>
  <c r="W55" l="1"/>
  <c r="N59"/>
  <c r="M71"/>
  <c r="K65"/>
  <c r="K60"/>
  <c r="K66"/>
  <c r="K59"/>
  <c r="K53"/>
  <c r="N66"/>
  <c r="N60"/>
  <c r="N70"/>
  <c r="G71"/>
  <c r="H69"/>
  <c r="H61"/>
  <c r="H56"/>
  <c r="H70"/>
  <c r="H63"/>
  <c r="H57"/>
  <c r="K91"/>
  <c r="K85"/>
  <c r="K78"/>
  <c r="K92"/>
  <c r="K86"/>
  <c r="K80"/>
  <c r="J95"/>
  <c r="K95" s="1"/>
  <c r="D71"/>
  <c r="C73"/>
  <c r="Q70"/>
  <c r="Q61"/>
  <c r="Q52"/>
  <c r="P71"/>
  <c r="E166" i="1"/>
  <c r="H166"/>
  <c r="C24" i="3"/>
  <c r="H22" s="1"/>
  <c r="D22"/>
  <c r="Q10"/>
  <c r="Q20"/>
  <c r="Q11"/>
  <c r="P22"/>
  <c r="Q18"/>
  <c r="K44"/>
  <c r="K35"/>
  <c r="K45"/>
  <c r="K36"/>
  <c r="J46"/>
  <c r="K46" s="1"/>
  <c r="W30"/>
  <c r="V46"/>
  <c r="N61"/>
  <c r="N54"/>
  <c r="C97"/>
  <c r="D95"/>
  <c r="Q93"/>
  <c r="Q89"/>
  <c r="Q80"/>
  <c r="P95"/>
  <c r="N7"/>
  <c r="N21"/>
  <c r="N10"/>
  <c r="N20"/>
  <c r="M22"/>
  <c r="N22" s="1"/>
  <c r="G46"/>
  <c r="H46" s="1"/>
  <c r="C48"/>
  <c r="N46" s="1"/>
  <c r="S46"/>
  <c r="T44"/>
  <c r="K61"/>
  <c r="K67"/>
  <c r="K68"/>
  <c r="K63"/>
  <c r="K57"/>
  <c r="J71"/>
  <c r="W69"/>
  <c r="V71"/>
  <c r="W70"/>
  <c r="W54"/>
  <c r="N92"/>
  <c r="N84"/>
  <c r="N93"/>
  <c r="N85"/>
  <c r="N79"/>
  <c r="M95"/>
  <c r="N95" s="1"/>
  <c r="K13"/>
  <c r="W70" i="1"/>
  <c r="K83" i="3"/>
  <c r="T69"/>
  <c r="K12"/>
  <c r="N70" i="1"/>
  <c r="K84" i="3"/>
  <c r="H68"/>
  <c r="T20"/>
  <c r="H95"/>
  <c r="T95"/>
  <c r="Q65"/>
  <c r="H13"/>
  <c r="T166" i="1"/>
  <c r="H70"/>
  <c r="N94"/>
  <c r="W94" i="3"/>
  <c r="K89"/>
  <c r="E57"/>
  <c r="N31"/>
  <c r="K18"/>
  <c r="H10"/>
  <c r="E94" i="1"/>
  <c r="K90" i="3"/>
  <c r="T6"/>
  <c r="K7"/>
  <c r="T15"/>
  <c r="H7"/>
  <c r="Q70" i="1"/>
  <c r="E70"/>
  <c r="H60" i="3"/>
  <c r="Q83"/>
  <c r="Q90"/>
  <c r="N166" i="1"/>
  <c r="T70"/>
  <c r="Q84" i="3"/>
  <c r="H85"/>
  <c r="N69"/>
  <c r="T94" i="1"/>
  <c r="Q85" i="3"/>
  <c r="K93"/>
  <c r="H80"/>
  <c r="Q59"/>
  <c r="H59"/>
  <c r="T5"/>
  <c r="H14"/>
  <c r="Q94" i="1"/>
  <c r="K94" i="3"/>
  <c r="K20"/>
  <c r="N56"/>
  <c r="Q56"/>
  <c r="Q46" i="1"/>
  <c r="W166"/>
  <c r="K166"/>
  <c r="H94" i="3"/>
  <c r="E21"/>
  <c r="H5"/>
  <c r="Q21"/>
  <c r="K69"/>
  <c r="Q166" i="1"/>
  <c r="Q91" i="3"/>
  <c r="N80"/>
  <c r="Q66"/>
  <c r="H21"/>
  <c r="Q92"/>
  <c r="N83"/>
  <c r="H93"/>
  <c r="Q69"/>
  <c r="K70"/>
  <c r="H65"/>
  <c r="T21"/>
  <c r="K31"/>
  <c r="N17"/>
  <c r="H81"/>
  <c r="E65"/>
  <c r="H31"/>
  <c r="H11"/>
  <c r="Q54"/>
  <c r="E7"/>
  <c r="H45"/>
  <c r="V22"/>
  <c r="W20"/>
  <c r="W21"/>
  <c r="J22"/>
  <c r="K21"/>
  <c r="K16"/>
  <c r="K17"/>
  <c r="K11"/>
  <c r="K10"/>
  <c r="T54"/>
  <c r="T56"/>
  <c r="S71"/>
  <c r="W46" i="1"/>
  <c r="H46"/>
  <c r="K46"/>
  <c r="E46"/>
  <c r="T46"/>
  <c r="T22" i="3"/>
  <c r="Q33"/>
  <c r="P46"/>
  <c r="Q46" s="1"/>
  <c r="Q30"/>
  <c r="W80"/>
  <c r="V95"/>
  <c r="W95" s="1"/>
  <c r="W89"/>
  <c r="T24" i="2"/>
  <c r="H24"/>
  <c r="W24"/>
  <c r="N24"/>
  <c r="Q24"/>
  <c r="E24"/>
  <c r="K71" i="3" l="1"/>
  <c r="T71"/>
  <c r="Q71"/>
  <c r="N71"/>
  <c r="E71"/>
  <c r="W71"/>
  <c r="K22"/>
  <c r="W46"/>
  <c r="Q22"/>
  <c r="E22"/>
  <c r="W22"/>
  <c r="T46"/>
  <c r="Q95"/>
  <c r="E95"/>
  <c r="H71"/>
</calcChain>
</file>

<file path=xl/sharedStrings.xml><?xml version="1.0" encoding="utf-8"?>
<sst xmlns="http://schemas.openxmlformats.org/spreadsheetml/2006/main" count="774" uniqueCount="84">
  <si>
    <t>Nominál</t>
  </si>
  <si>
    <t>Perióda Ia (510 pr. Kr. – 60 pr. Kr.)</t>
  </si>
  <si>
    <t>Perióda Ib (60 pr. Kr. – 54 po Kr.)</t>
  </si>
  <si>
    <t>Perióda II. (54 – 193 po Kr.)</t>
  </si>
  <si>
    <t>Perióda IIIa (193 – 235 po Kr.)</t>
  </si>
  <si>
    <t>Perióda IIIb (235 – 260 po Kr.)</t>
  </si>
  <si>
    <t>Perióda IIIc (260 – 275 po Kr.)</t>
  </si>
  <si>
    <t>Perióda IIId (275 - 285 po Kr.)</t>
  </si>
  <si>
    <t>Dvojaureus (2Au)</t>
  </si>
  <si>
    <t>Aureus (Au)</t>
  </si>
  <si>
    <t>Antoniniánus (An)</t>
  </si>
  <si>
    <t>Denarius (D)</t>
  </si>
  <si>
    <t>Kvinarius (Q)</t>
  </si>
  <si>
    <t>Dvojsestercius (2S)</t>
  </si>
  <si>
    <t>Sestercius (S)</t>
  </si>
  <si>
    <t>Dupondius (Dp)</t>
  </si>
  <si>
    <t>As (As)</t>
  </si>
  <si>
    <t>Semis (Sm)</t>
  </si>
  <si>
    <t>Kvadrans (Qd)</t>
  </si>
  <si>
    <t>Zlato (AV)</t>
  </si>
  <si>
    <t>Striebro (AR)</t>
  </si>
  <si>
    <t>Veľký bronz (VB)</t>
  </si>
  <si>
    <t>Stredný bronz (SB)</t>
  </si>
  <si>
    <t>Malý bronz (MB)</t>
  </si>
  <si>
    <t>Bronz (BR/AE)</t>
  </si>
  <si>
    <t>Nezistená minca</t>
  </si>
  <si>
    <t>Celkom:</t>
  </si>
  <si>
    <t>Okruh 1 - Horné Polabie</t>
  </si>
  <si>
    <t>Okruh 2 - Južné Čechy</t>
  </si>
  <si>
    <t>Okruh 3 - Morava-Dolné a Horné Rakúsko-Záhorie</t>
  </si>
  <si>
    <t>Perióda IIIc (260 – 270 po Kr.)</t>
  </si>
  <si>
    <t>Perióda IIId (270 - 285 po Kr.)</t>
  </si>
  <si>
    <t>Dvojdenarius (2D)</t>
  </si>
  <si>
    <t>Okruh 4 - Podunajská nížina a priľahlé kotliny-oblasť severne od ohybu Dunaja-stredné Slovensko</t>
  </si>
  <si>
    <t>Priemer</t>
  </si>
  <si>
    <t>Index</t>
  </si>
  <si>
    <t>Perióda Ia (510 pr. Kr. – 44 pr. Kr.)</t>
  </si>
  <si>
    <t>Perióda Ib (44 pr. Kr. – 54 po Kr.)</t>
  </si>
  <si>
    <t>Perióda IIIa (193 – 238 po Kr.)</t>
  </si>
  <si>
    <t>Perióda IIIb (238 – 253 po Kr.)</t>
  </si>
  <si>
    <t>Perióda IIIc (253 – 270 po Kr.)</t>
  </si>
  <si>
    <t>Kvinarius (QuAv)</t>
  </si>
  <si>
    <t>Provincia 1 - Norikum</t>
  </si>
  <si>
    <t>Provincia 2 - Horná Panónia</t>
  </si>
  <si>
    <t>Kvinarius (Qu)</t>
  </si>
  <si>
    <t>Provincia 3 - Dolná Panónia</t>
  </si>
  <si>
    <t>Percento Ia</t>
  </si>
  <si>
    <t>Percento Ib</t>
  </si>
  <si>
    <t>Percento II</t>
  </si>
  <si>
    <t>Percento IIIa</t>
  </si>
  <si>
    <t>Percento IIIb</t>
  </si>
  <si>
    <t>Percento IIIc</t>
  </si>
  <si>
    <t>Percento IIId</t>
  </si>
  <si>
    <t>Barbarikum - Bratislava-Devín</t>
  </si>
  <si>
    <t>Barbarikum - Bratislava-Dúbravka</t>
  </si>
  <si>
    <t>Barbarikum - Iža, kastell</t>
  </si>
  <si>
    <t>Barbarikum - Iža, predpolie kastella</t>
  </si>
  <si>
    <t>Barbarikum - Mušov, poloha Burgstal</t>
  </si>
  <si>
    <t>Barbarikum - Mušov, poloha Neurissen</t>
  </si>
  <si>
    <t>Barbarikum - Stupava, poloha Kopec</t>
  </si>
  <si>
    <t>Celkový počet:</t>
  </si>
  <si>
    <t>Okruh 1</t>
  </si>
  <si>
    <t>Okruh 2</t>
  </si>
  <si>
    <t>Okruh 3</t>
  </si>
  <si>
    <t>Okruh 4</t>
  </si>
  <si>
    <t>Perióda IIIc (260 – 270/275 po Kr.)</t>
  </si>
  <si>
    <t>Perióda IIId (270/275 - 285 po Kr.)</t>
  </si>
  <si>
    <t>Norikum</t>
  </si>
  <si>
    <t>Horná Panónia</t>
  </si>
  <si>
    <t>Dolná Panónia</t>
  </si>
  <si>
    <t>Perióda Ia</t>
  </si>
  <si>
    <t>Perióda Ib</t>
  </si>
  <si>
    <t>Perióda II.</t>
  </si>
  <si>
    <t>Perióda IIIa</t>
  </si>
  <si>
    <t>Perióda IIIb</t>
  </si>
  <si>
    <t>Perióda IIIc</t>
  </si>
  <si>
    <t>Perióda IIId</t>
  </si>
  <si>
    <t>Bratislava-Devín</t>
  </si>
  <si>
    <t>Bratislava-Dúbravka</t>
  </si>
  <si>
    <t>Iža, kastell</t>
  </si>
  <si>
    <t>Iža, predpolie kastella</t>
  </si>
  <si>
    <t>Mušov, poloha Burgstal</t>
  </si>
  <si>
    <t>Mušov, poloha Neurissen</t>
  </si>
  <si>
    <t>Stupava, poloha Kopec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</si>
</sst>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0" borderId="2" xfId="0" applyFill="1" applyBorder="1"/>
    <xf numFmtId="0" fontId="0" fillId="0" borderId="0" xfId="0" applyAlignment="1">
      <alignment horizontal="center"/>
    </xf>
    <xf numFmtId="0" fontId="0" fillId="0" borderId="3" xfId="0" applyBorder="1"/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0" borderId="0" xfId="0" applyFill="1" applyBorder="1"/>
    <xf numFmtId="0" fontId="2" fillId="0" borderId="0" xfId="0" applyFont="1" applyFill="1" applyBorder="1" applyAlignment="1"/>
    <xf numFmtId="0" fontId="0" fillId="0" borderId="0" xfId="0" applyFill="1" applyBorder="1" applyAlignment="1"/>
    <xf numFmtId="164" fontId="0" fillId="0" borderId="1" xfId="0" applyNumberFormat="1" applyBorder="1"/>
    <xf numFmtId="164" fontId="0" fillId="0" borderId="1" xfId="0" applyNumberFormat="1" applyBorder="1" applyAlignment="1"/>
    <xf numFmtId="164" fontId="0" fillId="0" borderId="1" xfId="0" applyNumberFormat="1" applyBorder="1" applyAlignment="1">
      <alignment horizontal="right"/>
    </xf>
    <xf numFmtId="0" fontId="1" fillId="0" borderId="3" xfId="0" applyFont="1" applyFill="1" applyBorder="1" applyAlignment="1">
      <alignment horizontal="right"/>
    </xf>
    <xf numFmtId="0" fontId="0" fillId="0" borderId="0" xfId="0" applyAlignment="1">
      <alignment horizontal="right"/>
    </xf>
    <xf numFmtId="164" fontId="0" fillId="0" borderId="2" xfId="0" applyNumberFormat="1" applyFill="1" applyBorder="1"/>
    <xf numFmtId="164" fontId="0" fillId="0" borderId="2" xfId="0" applyNumberFormat="1" applyBorder="1"/>
    <xf numFmtId="0" fontId="0" fillId="0" borderId="1" xfId="0" applyFill="1" applyBorder="1"/>
    <xf numFmtId="0" fontId="1" fillId="3" borderId="3" xfId="0" applyFont="1" applyFill="1" applyBorder="1"/>
    <xf numFmtId="0" fontId="1" fillId="3" borderId="3" xfId="0" applyFont="1" applyFill="1" applyBorder="1" applyAlignment="1">
      <alignment horizontal="center"/>
    </xf>
    <xf numFmtId="0" fontId="0" fillId="3" borderId="1" xfId="0" applyFill="1" applyBorder="1"/>
    <xf numFmtId="164" fontId="0" fillId="3" borderId="1" xfId="0" applyNumberFormat="1" applyFill="1" applyBorder="1" applyAlignment="1">
      <alignment horizontal="right"/>
    </xf>
    <xf numFmtId="164" fontId="0" fillId="3" borderId="1" xfId="0" applyNumberFormat="1" applyFill="1" applyBorder="1" applyAlignment="1"/>
    <xf numFmtId="164" fontId="0" fillId="3" borderId="1" xfId="0" applyNumberFormat="1" applyFill="1" applyBorder="1"/>
    <xf numFmtId="164" fontId="0" fillId="0" borderId="1" xfId="0" applyNumberFormat="1" applyFill="1" applyBorder="1"/>
    <xf numFmtId="2" fontId="0" fillId="4" borderId="1" xfId="0" applyNumberFormat="1" applyFill="1" applyBorder="1"/>
    <xf numFmtId="0" fontId="1" fillId="0" borderId="0" xfId="0" applyFont="1"/>
    <xf numFmtId="0" fontId="1" fillId="0" borderId="3" xfId="0" applyFont="1" applyBorder="1" applyAlignment="1">
      <alignment horizontal="right"/>
    </xf>
    <xf numFmtId="1" fontId="0" fillId="0" borderId="1" xfId="0" applyNumberFormat="1" applyBorder="1"/>
    <xf numFmtId="0" fontId="1" fillId="0" borderId="0" xfId="0" applyFont="1" applyBorder="1"/>
    <xf numFmtId="0" fontId="0" fillId="0" borderId="0" xfId="0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Fill="1"/>
    <xf numFmtId="0" fontId="2" fillId="2" borderId="1" xfId="0" applyFont="1" applyFill="1" applyBorder="1" applyAlignment="1"/>
    <xf numFmtId="0" fontId="0" fillId="0" borderId="1" xfId="0" applyBorder="1" applyAlignment="1"/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/>
            </a:pPr>
            <a:r>
              <a:rPr lang="sk-SK"/>
              <a:t>Norikum - </a:t>
            </a:r>
            <a:r>
              <a:rPr lang="en-US"/>
              <a:t>Per</a:t>
            </a:r>
            <a:r>
              <a:rPr lang="sk-SK"/>
              <a:t>ióda</a:t>
            </a:r>
            <a:r>
              <a:rPr lang="en-US"/>
              <a:t> Ia</a:t>
            </a:r>
          </a:p>
        </c:rich>
      </c:tx>
    </c:title>
    <c:view3D>
      <c:rAngAx val="1"/>
    </c:view3D>
    <c:plotArea>
      <c:layout/>
      <c:pie3DChart>
        <c:varyColors val="1"/>
        <c:ser>
          <c:idx val="0"/>
          <c:order val="0"/>
          <c:tx>
            <c:strRef>
              <c:f>Provincie!$X$4</c:f>
              <c:strCache>
                <c:ptCount val="1"/>
                <c:pt idx="0">
                  <c:v>Percento Ia</c:v>
                </c:pt>
              </c:strCache>
            </c:strRef>
          </c:tx>
          <c:explosion val="25"/>
          <c:dLbls>
            <c:dLblPos val="bestFit"/>
            <c:showVal val="1"/>
            <c:showLeaderLines val="1"/>
          </c:dLbls>
          <c:cat>
            <c:strRef>
              <c:f>Provincie!$B$5:$B$23</c:f>
              <c:strCache>
                <c:ptCount val="19"/>
                <c:pt idx="0">
                  <c:v>Dvojaureus (2Au)</c:v>
                </c:pt>
                <c:pt idx="1">
                  <c:v>Aureus (Au)</c:v>
                </c:pt>
                <c:pt idx="2">
                  <c:v>Antoniniánus (An)</c:v>
                </c:pt>
                <c:pt idx="3">
                  <c:v>Denarius (D)</c:v>
                </c:pt>
                <c:pt idx="4">
                  <c:v>Kvinarius (QuAv)</c:v>
                </c:pt>
                <c:pt idx="5">
                  <c:v>Kvinarius (Q)</c:v>
                </c:pt>
                <c:pt idx="6">
                  <c:v>Dvojsestercius (2S)</c:v>
                </c:pt>
                <c:pt idx="7">
                  <c:v>Sestercius (S)</c:v>
                </c:pt>
                <c:pt idx="8">
                  <c:v>Dupondius (Dp)</c:v>
                </c:pt>
                <c:pt idx="9">
                  <c:v>As (As)</c:v>
                </c:pt>
                <c:pt idx="10">
                  <c:v>Semis (Sm)</c:v>
                </c:pt>
                <c:pt idx="11">
                  <c:v>Kvadrans (Qd)</c:v>
                </c:pt>
                <c:pt idx="12">
                  <c:v>Zlato (AV)</c:v>
                </c:pt>
                <c:pt idx="13">
                  <c:v>Striebro (AR)</c:v>
                </c:pt>
                <c:pt idx="14">
                  <c:v>Veľký bronz (VB)</c:v>
                </c:pt>
                <c:pt idx="15">
                  <c:v>Stredný bronz (SB)</c:v>
                </c:pt>
                <c:pt idx="16">
                  <c:v>Malý bronz (MB)</c:v>
                </c:pt>
                <c:pt idx="17">
                  <c:v>Bronz (BR/AE)</c:v>
                </c:pt>
                <c:pt idx="18">
                  <c:v>Nezistená minca</c:v>
                </c:pt>
              </c:strCache>
            </c:strRef>
          </c:cat>
          <c:val>
            <c:numRef>
              <c:f>Provincie!$X$5:$X$23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</c:pie3DChart>
    </c:plotArea>
    <c:legend>
      <c:legendPos val="r"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/>
            </a:pPr>
            <a:r>
              <a:rPr lang="sk-SK"/>
              <a:t>Norikum - </a:t>
            </a:r>
            <a:r>
              <a:rPr lang="en-US"/>
              <a:t>Per</a:t>
            </a:r>
            <a:r>
              <a:rPr lang="sk-SK"/>
              <a:t>ióda</a:t>
            </a:r>
            <a:r>
              <a:rPr lang="en-US"/>
              <a:t> Ib</a:t>
            </a:r>
          </a:p>
        </c:rich>
      </c:tx>
    </c:title>
    <c:view3D>
      <c:rAngAx val="1"/>
    </c:view3D>
    <c:plotArea>
      <c:layout/>
      <c:pie3DChart>
        <c:varyColors val="1"/>
        <c:ser>
          <c:idx val="0"/>
          <c:order val="0"/>
          <c:tx>
            <c:strRef>
              <c:f>Provincie!$Y$4</c:f>
              <c:strCache>
                <c:ptCount val="1"/>
                <c:pt idx="0">
                  <c:v>Percento Ib</c:v>
                </c:pt>
              </c:strCache>
            </c:strRef>
          </c:tx>
          <c:explosion val="25"/>
          <c:dLbls>
            <c:showVal val="1"/>
            <c:showLeaderLines val="1"/>
          </c:dLbls>
          <c:cat>
            <c:strRef>
              <c:f>Provincie!$B$5:$B$23</c:f>
              <c:strCache>
                <c:ptCount val="19"/>
                <c:pt idx="0">
                  <c:v>Dvojaureus (2Au)</c:v>
                </c:pt>
                <c:pt idx="1">
                  <c:v>Aureus (Au)</c:v>
                </c:pt>
                <c:pt idx="2">
                  <c:v>Antoniniánus (An)</c:v>
                </c:pt>
                <c:pt idx="3">
                  <c:v>Denarius (D)</c:v>
                </c:pt>
                <c:pt idx="4">
                  <c:v>Kvinarius (QuAv)</c:v>
                </c:pt>
                <c:pt idx="5">
                  <c:v>Kvinarius (Q)</c:v>
                </c:pt>
                <c:pt idx="6">
                  <c:v>Dvojsestercius (2S)</c:v>
                </c:pt>
                <c:pt idx="7">
                  <c:v>Sestercius (S)</c:v>
                </c:pt>
                <c:pt idx="8">
                  <c:v>Dupondius (Dp)</c:v>
                </c:pt>
                <c:pt idx="9">
                  <c:v>As (As)</c:v>
                </c:pt>
                <c:pt idx="10">
                  <c:v>Semis (Sm)</c:v>
                </c:pt>
                <c:pt idx="11">
                  <c:v>Kvadrans (Qd)</c:v>
                </c:pt>
                <c:pt idx="12">
                  <c:v>Zlato (AV)</c:v>
                </c:pt>
                <c:pt idx="13">
                  <c:v>Striebro (AR)</c:v>
                </c:pt>
                <c:pt idx="14">
                  <c:v>Veľký bronz (VB)</c:v>
                </c:pt>
                <c:pt idx="15">
                  <c:v>Stredný bronz (SB)</c:v>
                </c:pt>
                <c:pt idx="16">
                  <c:v>Malý bronz (MB)</c:v>
                </c:pt>
                <c:pt idx="17">
                  <c:v>Bronz (BR/AE)</c:v>
                </c:pt>
                <c:pt idx="18">
                  <c:v>Nezistená minca</c:v>
                </c:pt>
              </c:strCache>
            </c:strRef>
          </c:cat>
          <c:val>
            <c:numRef>
              <c:f>Provincie!$Y$5:$Y$23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34.645669291338585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4.3307086614173231</c:v>
                </c:pt>
                <c:pt idx="8">
                  <c:v>5.5118110236220472</c:v>
                </c:pt>
                <c:pt idx="9">
                  <c:v>48.818897637795274</c:v>
                </c:pt>
                <c:pt idx="10">
                  <c:v>0.78740157480314954</c:v>
                </c:pt>
                <c:pt idx="11">
                  <c:v>1.1811023622047243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0.39370078740157477</c:v>
                </c:pt>
                <c:pt idx="16">
                  <c:v>0.39370078740157477</c:v>
                </c:pt>
                <c:pt idx="17">
                  <c:v>3.5433070866141732</c:v>
                </c:pt>
                <c:pt idx="18">
                  <c:v>0.39370078740157477</c:v>
                </c:pt>
              </c:numCache>
            </c:numRef>
          </c:val>
        </c:ser>
      </c:pie3DChart>
    </c:plotArea>
    <c:legend>
      <c:legendPos val="r"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/>
            </a:pPr>
            <a:r>
              <a:rPr lang="sk-SK"/>
              <a:t>Norikum - </a:t>
            </a:r>
            <a:r>
              <a:rPr lang="en-US"/>
              <a:t>Per</a:t>
            </a:r>
            <a:r>
              <a:rPr lang="sk-SK"/>
              <a:t>ióda</a:t>
            </a:r>
            <a:r>
              <a:rPr lang="en-US"/>
              <a:t> II</a:t>
            </a:r>
          </a:p>
        </c:rich>
      </c:tx>
    </c:title>
    <c:view3D>
      <c:rAngAx val="1"/>
    </c:view3D>
    <c:plotArea>
      <c:layout/>
      <c:pie3DChart>
        <c:varyColors val="1"/>
        <c:ser>
          <c:idx val="0"/>
          <c:order val="0"/>
          <c:tx>
            <c:strRef>
              <c:f>Provincie!$Z$4</c:f>
              <c:strCache>
                <c:ptCount val="1"/>
                <c:pt idx="0">
                  <c:v>Percento II</c:v>
                </c:pt>
              </c:strCache>
            </c:strRef>
          </c:tx>
          <c:explosion val="25"/>
          <c:dLbls>
            <c:showVal val="1"/>
            <c:showLeaderLines val="1"/>
          </c:dLbls>
          <c:cat>
            <c:strRef>
              <c:f>Provincie!$B$5:$B$23</c:f>
              <c:strCache>
                <c:ptCount val="19"/>
                <c:pt idx="0">
                  <c:v>Dvojaureus (2Au)</c:v>
                </c:pt>
                <c:pt idx="1">
                  <c:v>Aureus (Au)</c:v>
                </c:pt>
                <c:pt idx="2">
                  <c:v>Antoniniánus (An)</c:v>
                </c:pt>
                <c:pt idx="3">
                  <c:v>Denarius (D)</c:v>
                </c:pt>
                <c:pt idx="4">
                  <c:v>Kvinarius (QuAv)</c:v>
                </c:pt>
                <c:pt idx="5">
                  <c:v>Kvinarius (Q)</c:v>
                </c:pt>
                <c:pt idx="6">
                  <c:v>Dvojsestercius (2S)</c:v>
                </c:pt>
                <c:pt idx="7">
                  <c:v>Sestercius (S)</c:v>
                </c:pt>
                <c:pt idx="8">
                  <c:v>Dupondius (Dp)</c:v>
                </c:pt>
                <c:pt idx="9">
                  <c:v>As (As)</c:v>
                </c:pt>
                <c:pt idx="10">
                  <c:v>Semis (Sm)</c:v>
                </c:pt>
                <c:pt idx="11">
                  <c:v>Kvadrans (Qd)</c:v>
                </c:pt>
                <c:pt idx="12">
                  <c:v>Zlato (AV)</c:v>
                </c:pt>
                <c:pt idx="13">
                  <c:v>Striebro (AR)</c:v>
                </c:pt>
                <c:pt idx="14">
                  <c:v>Veľký bronz (VB)</c:v>
                </c:pt>
                <c:pt idx="15">
                  <c:v>Stredný bronz (SB)</c:v>
                </c:pt>
                <c:pt idx="16">
                  <c:v>Malý bronz (MB)</c:v>
                </c:pt>
                <c:pt idx="17">
                  <c:v>Bronz (BR/AE)</c:v>
                </c:pt>
                <c:pt idx="18">
                  <c:v>Nezistená minca</c:v>
                </c:pt>
              </c:strCache>
            </c:strRef>
          </c:cat>
          <c:val>
            <c:numRef>
              <c:f>Provincie!$Z$5:$Z$23</c:f>
              <c:numCache>
                <c:formatCode>0.00</c:formatCode>
                <c:ptCount val="19"/>
                <c:pt idx="0">
                  <c:v>0</c:v>
                </c:pt>
                <c:pt idx="1">
                  <c:v>2.6369629461241191</c:v>
                </c:pt>
                <c:pt idx="2">
                  <c:v>0</c:v>
                </c:pt>
                <c:pt idx="3">
                  <c:v>39.440781995908161</c:v>
                </c:pt>
                <c:pt idx="4">
                  <c:v>0</c:v>
                </c:pt>
                <c:pt idx="5">
                  <c:v>4.546487838145033E-2</c:v>
                </c:pt>
                <c:pt idx="6">
                  <c:v>2.2732439190725165E-2</c:v>
                </c:pt>
                <c:pt idx="7">
                  <c:v>19.277108433734938</c:v>
                </c:pt>
                <c:pt idx="8">
                  <c:v>12.480109115708116</c:v>
                </c:pt>
                <c:pt idx="9">
                  <c:v>20.572857467606273</c:v>
                </c:pt>
                <c:pt idx="10">
                  <c:v>2.2732439190725165E-2</c:v>
                </c:pt>
                <c:pt idx="11">
                  <c:v>0.13639463514435099</c:v>
                </c:pt>
                <c:pt idx="12">
                  <c:v>2.2732439190725165E-2</c:v>
                </c:pt>
                <c:pt idx="13">
                  <c:v>0.22732439190725165</c:v>
                </c:pt>
                <c:pt idx="14">
                  <c:v>4.546487838145033E-2</c:v>
                </c:pt>
                <c:pt idx="15">
                  <c:v>9.092975676290066E-2</c:v>
                </c:pt>
                <c:pt idx="16">
                  <c:v>2.2732439190725165E-2</c:v>
                </c:pt>
                <c:pt idx="17">
                  <c:v>4.6146851557172086</c:v>
                </c:pt>
                <c:pt idx="18">
                  <c:v>0.34098658786087743</c:v>
                </c:pt>
              </c:numCache>
            </c:numRef>
          </c:val>
        </c:ser>
      </c:pie3DChart>
    </c:plotArea>
    <c:legend>
      <c:legendPos val="r"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'Celkové indexy'!$C$11</c:f>
              <c:strCache>
                <c:ptCount val="1"/>
                <c:pt idx="0">
                  <c:v>Okruh 1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strRef>
              <c:f>'Celkové indexy'!$B$12:$B$18</c:f>
              <c:strCache>
                <c:ptCount val="7"/>
                <c:pt idx="0">
                  <c:v>Perióda Ia</c:v>
                </c:pt>
                <c:pt idx="1">
                  <c:v>Perióda Ib</c:v>
                </c:pt>
                <c:pt idx="2">
                  <c:v>Perióda II.</c:v>
                </c:pt>
                <c:pt idx="3">
                  <c:v>Perióda IIIa</c:v>
                </c:pt>
                <c:pt idx="4">
                  <c:v>Perióda IIIb</c:v>
                </c:pt>
                <c:pt idx="5">
                  <c:v>Perióda IIIc</c:v>
                </c:pt>
                <c:pt idx="6">
                  <c:v>Perióda IIId</c:v>
                </c:pt>
              </c:strCache>
            </c:strRef>
          </c:cat>
          <c:val>
            <c:numRef>
              <c:f>'Celkové indexy'!$C$12:$C$18</c:f>
              <c:numCache>
                <c:formatCode>0.000</c:formatCode>
                <c:ptCount val="7"/>
                <c:pt idx="0">
                  <c:v>2.1999999999999999E-2</c:v>
                </c:pt>
                <c:pt idx="1">
                  <c:v>6.9000000000000006E-2</c:v>
                </c:pt>
                <c:pt idx="2">
                  <c:v>0.38700000000000001</c:v>
                </c:pt>
                <c:pt idx="3">
                  <c:v>0.26100000000000001</c:v>
                </c:pt>
                <c:pt idx="4">
                  <c:v>0.317</c:v>
                </c:pt>
                <c:pt idx="5">
                  <c:v>0.40600000000000003</c:v>
                </c:pt>
                <c:pt idx="6">
                  <c:v>0.16700000000000001</c:v>
                </c:pt>
              </c:numCache>
            </c:numRef>
          </c:val>
        </c:ser>
        <c:ser>
          <c:idx val="1"/>
          <c:order val="1"/>
          <c:tx>
            <c:strRef>
              <c:f>'Celkové indexy'!$D$11</c:f>
              <c:strCache>
                <c:ptCount val="1"/>
                <c:pt idx="0">
                  <c:v>Okruh 2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strRef>
              <c:f>'Celkové indexy'!$B$12:$B$18</c:f>
              <c:strCache>
                <c:ptCount val="7"/>
                <c:pt idx="0">
                  <c:v>Perióda Ia</c:v>
                </c:pt>
                <c:pt idx="1">
                  <c:v>Perióda Ib</c:v>
                </c:pt>
                <c:pt idx="2">
                  <c:v>Perióda II.</c:v>
                </c:pt>
                <c:pt idx="3">
                  <c:v>Perióda IIIa</c:v>
                </c:pt>
                <c:pt idx="4">
                  <c:v>Perióda IIIb</c:v>
                </c:pt>
                <c:pt idx="5">
                  <c:v>Perióda IIIc</c:v>
                </c:pt>
                <c:pt idx="6">
                  <c:v>Perióda IIId</c:v>
                </c:pt>
              </c:strCache>
            </c:strRef>
          </c:cat>
          <c:val>
            <c:numRef>
              <c:f>'Celkové indexy'!$D$12:$D$18</c:f>
              <c:numCache>
                <c:formatCode>0.000</c:formatCode>
                <c:ptCount val="7"/>
                <c:pt idx="0">
                  <c:v>0</c:v>
                </c:pt>
                <c:pt idx="1">
                  <c:v>0.111</c:v>
                </c:pt>
                <c:pt idx="2">
                  <c:v>0.41</c:v>
                </c:pt>
                <c:pt idx="3">
                  <c:v>0.14799999999999999</c:v>
                </c:pt>
                <c:pt idx="4">
                  <c:v>0.40899999999999997</c:v>
                </c:pt>
                <c:pt idx="5">
                  <c:v>0.66500000000000004</c:v>
                </c:pt>
                <c:pt idx="6">
                  <c:v>0.193</c:v>
                </c:pt>
              </c:numCache>
            </c:numRef>
          </c:val>
        </c:ser>
        <c:ser>
          <c:idx val="2"/>
          <c:order val="2"/>
          <c:tx>
            <c:strRef>
              <c:f>'Celkové indexy'!$E$11</c:f>
              <c:strCache>
                <c:ptCount val="1"/>
                <c:pt idx="0">
                  <c:v>Okruh 3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strRef>
              <c:f>'Celkové indexy'!$B$12:$B$18</c:f>
              <c:strCache>
                <c:ptCount val="7"/>
                <c:pt idx="0">
                  <c:v>Perióda Ia</c:v>
                </c:pt>
                <c:pt idx="1">
                  <c:v>Perióda Ib</c:v>
                </c:pt>
                <c:pt idx="2">
                  <c:v>Perióda II.</c:v>
                </c:pt>
                <c:pt idx="3">
                  <c:v>Perióda IIIa</c:v>
                </c:pt>
                <c:pt idx="4">
                  <c:v>Perióda IIIb</c:v>
                </c:pt>
                <c:pt idx="5">
                  <c:v>Perióda IIIc</c:v>
                </c:pt>
                <c:pt idx="6">
                  <c:v>Perióda IIId</c:v>
                </c:pt>
              </c:strCache>
            </c:strRef>
          </c:cat>
          <c:val>
            <c:numRef>
              <c:f>'Celkové indexy'!$E$12:$E$18</c:f>
              <c:numCache>
                <c:formatCode>0.000</c:formatCode>
                <c:ptCount val="7"/>
                <c:pt idx="0">
                  <c:v>6.0000000000000001E-3</c:v>
                </c:pt>
                <c:pt idx="1">
                  <c:v>3.5000000000000003E-2</c:v>
                </c:pt>
                <c:pt idx="2">
                  <c:v>0.29199999999999998</c:v>
                </c:pt>
                <c:pt idx="3">
                  <c:v>0.33500000000000002</c:v>
                </c:pt>
                <c:pt idx="4">
                  <c:v>0.53</c:v>
                </c:pt>
                <c:pt idx="5">
                  <c:v>0.82399999999999995</c:v>
                </c:pt>
                <c:pt idx="6">
                  <c:v>0.95499999999999996</c:v>
                </c:pt>
              </c:numCache>
            </c:numRef>
          </c:val>
        </c:ser>
        <c:ser>
          <c:idx val="3"/>
          <c:order val="3"/>
          <c:tx>
            <c:strRef>
              <c:f>'Celkové indexy'!$F$11</c:f>
              <c:strCache>
                <c:ptCount val="1"/>
                <c:pt idx="0">
                  <c:v>Okruh 4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strRef>
              <c:f>'Celkové indexy'!$B$12:$B$18</c:f>
              <c:strCache>
                <c:ptCount val="7"/>
                <c:pt idx="0">
                  <c:v>Perióda Ia</c:v>
                </c:pt>
                <c:pt idx="1">
                  <c:v>Perióda Ib</c:v>
                </c:pt>
                <c:pt idx="2">
                  <c:v>Perióda II.</c:v>
                </c:pt>
                <c:pt idx="3">
                  <c:v>Perióda IIIa</c:v>
                </c:pt>
                <c:pt idx="4">
                  <c:v>Perióda IIIb</c:v>
                </c:pt>
                <c:pt idx="5">
                  <c:v>Perióda IIIc</c:v>
                </c:pt>
                <c:pt idx="6">
                  <c:v>Perióda IIId</c:v>
                </c:pt>
              </c:strCache>
            </c:strRef>
          </c:cat>
          <c:val>
            <c:numRef>
              <c:f>'Celkové indexy'!$F$12:$F$18</c:f>
              <c:numCache>
                <c:formatCode>0.000</c:formatCode>
                <c:ptCount val="7"/>
                <c:pt idx="0">
                  <c:v>1E-3</c:v>
                </c:pt>
                <c:pt idx="1">
                  <c:v>1.4E-2</c:v>
                </c:pt>
                <c:pt idx="2">
                  <c:v>0.54</c:v>
                </c:pt>
                <c:pt idx="3">
                  <c:v>0.13300000000000001</c:v>
                </c:pt>
                <c:pt idx="4">
                  <c:v>0.27900000000000003</c:v>
                </c:pt>
                <c:pt idx="5">
                  <c:v>0.41499999999999998</c:v>
                </c:pt>
                <c:pt idx="6">
                  <c:v>0.29199999999999998</c:v>
                </c:pt>
              </c:numCache>
            </c:numRef>
          </c:val>
        </c:ser>
        <c:marker val="1"/>
        <c:axId val="148998400"/>
        <c:axId val="149008384"/>
      </c:lineChart>
      <c:catAx>
        <c:axId val="148998400"/>
        <c:scaling>
          <c:orientation val="minMax"/>
        </c:scaling>
        <c:axPos val="b"/>
        <c:majorTickMark val="none"/>
        <c:tickLblPos val="nextTo"/>
        <c:crossAx val="149008384"/>
        <c:crosses val="autoZero"/>
        <c:auto val="1"/>
        <c:lblAlgn val="ctr"/>
        <c:lblOffset val="100"/>
      </c:catAx>
      <c:valAx>
        <c:axId val="149008384"/>
        <c:scaling>
          <c:orientation val="minMax"/>
        </c:scaling>
        <c:axPos val="l"/>
        <c:majorGridlines/>
        <c:numFmt formatCode="0.000" sourceLinked="1"/>
        <c:majorTickMark val="none"/>
        <c:tickLblPos val="nextTo"/>
        <c:spPr>
          <a:ln w="9525">
            <a:noFill/>
          </a:ln>
        </c:spPr>
        <c:crossAx val="14899840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/>
      <c:lineChart>
        <c:grouping val="standard"/>
        <c:ser>
          <c:idx val="0"/>
          <c:order val="0"/>
          <c:tx>
            <c:strRef>
              <c:f>'Celkové indexy'!$I$11</c:f>
              <c:strCache>
                <c:ptCount val="1"/>
                <c:pt idx="0">
                  <c:v>Norikum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strRef>
              <c:f>'Celkové indexy'!$H$12:$H$18</c:f>
              <c:strCache>
                <c:ptCount val="7"/>
                <c:pt idx="0">
                  <c:v>Perióda Ia</c:v>
                </c:pt>
                <c:pt idx="1">
                  <c:v>Perióda Ib</c:v>
                </c:pt>
                <c:pt idx="2">
                  <c:v>Perióda II.</c:v>
                </c:pt>
                <c:pt idx="3">
                  <c:v>Perióda IIIa</c:v>
                </c:pt>
                <c:pt idx="4">
                  <c:v>Perióda IIIb</c:v>
                </c:pt>
                <c:pt idx="5">
                  <c:v>Perióda IIIc</c:v>
                </c:pt>
                <c:pt idx="6">
                  <c:v>Perióda IIId</c:v>
                </c:pt>
              </c:strCache>
            </c:strRef>
          </c:cat>
          <c:val>
            <c:numRef>
              <c:f>'Celkové indexy'!$I$12:$I$18</c:f>
              <c:numCache>
                <c:formatCode>0.000</c:formatCode>
                <c:ptCount val="7"/>
                <c:pt idx="0">
                  <c:v>0</c:v>
                </c:pt>
                <c:pt idx="1">
                  <c:v>1.9E-2</c:v>
                </c:pt>
                <c:pt idx="2">
                  <c:v>0.23699999999999999</c:v>
                </c:pt>
                <c:pt idx="3">
                  <c:v>0.61299999999999999</c:v>
                </c:pt>
                <c:pt idx="4">
                  <c:v>0.63500000000000001</c:v>
                </c:pt>
                <c:pt idx="5">
                  <c:v>0.94599999999999995</c:v>
                </c:pt>
                <c:pt idx="6">
                  <c:v>0.57999999999999996</c:v>
                </c:pt>
              </c:numCache>
            </c:numRef>
          </c:val>
        </c:ser>
        <c:ser>
          <c:idx val="1"/>
          <c:order val="1"/>
          <c:tx>
            <c:strRef>
              <c:f>'Celkové indexy'!$J$11</c:f>
              <c:strCache>
                <c:ptCount val="1"/>
                <c:pt idx="0">
                  <c:v>Horná Panónia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strRef>
              <c:f>'Celkové indexy'!$H$12:$H$18</c:f>
              <c:strCache>
                <c:ptCount val="7"/>
                <c:pt idx="0">
                  <c:v>Perióda Ia</c:v>
                </c:pt>
                <c:pt idx="1">
                  <c:v>Perióda Ib</c:v>
                </c:pt>
                <c:pt idx="2">
                  <c:v>Perióda II.</c:v>
                </c:pt>
                <c:pt idx="3">
                  <c:v>Perióda IIIa</c:v>
                </c:pt>
                <c:pt idx="4">
                  <c:v>Perióda IIIb</c:v>
                </c:pt>
                <c:pt idx="5">
                  <c:v>Perióda IIIc</c:v>
                </c:pt>
                <c:pt idx="6">
                  <c:v>Perióda IIId</c:v>
                </c:pt>
              </c:strCache>
            </c:strRef>
          </c:cat>
          <c:val>
            <c:numRef>
              <c:f>'Celkové indexy'!$J$12:$J$18</c:f>
              <c:numCache>
                <c:formatCode>0.000</c:formatCode>
                <c:ptCount val="7"/>
                <c:pt idx="0">
                  <c:v>3.0000000000000001E-3</c:v>
                </c:pt>
                <c:pt idx="1">
                  <c:v>5.7000000000000002E-2</c:v>
                </c:pt>
                <c:pt idx="2">
                  <c:v>0.25</c:v>
                </c:pt>
                <c:pt idx="3">
                  <c:v>0.51400000000000001</c:v>
                </c:pt>
                <c:pt idx="4">
                  <c:v>0.157</c:v>
                </c:pt>
                <c:pt idx="5">
                  <c:v>0.84099999999999997</c:v>
                </c:pt>
                <c:pt idx="6">
                  <c:v>0.746</c:v>
                </c:pt>
              </c:numCache>
            </c:numRef>
          </c:val>
        </c:ser>
        <c:ser>
          <c:idx val="2"/>
          <c:order val="2"/>
          <c:tx>
            <c:strRef>
              <c:f>'Celkové indexy'!$K$11</c:f>
              <c:strCache>
                <c:ptCount val="1"/>
                <c:pt idx="0">
                  <c:v>Dolná Panónia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strRef>
              <c:f>'Celkové indexy'!$H$12:$H$18</c:f>
              <c:strCache>
                <c:ptCount val="7"/>
                <c:pt idx="0">
                  <c:v>Perióda Ia</c:v>
                </c:pt>
                <c:pt idx="1">
                  <c:v>Perióda Ib</c:v>
                </c:pt>
                <c:pt idx="2">
                  <c:v>Perióda II.</c:v>
                </c:pt>
                <c:pt idx="3">
                  <c:v>Perióda IIIa</c:v>
                </c:pt>
                <c:pt idx="4">
                  <c:v>Perióda IIIb</c:v>
                </c:pt>
                <c:pt idx="5">
                  <c:v>Perióda IIIc</c:v>
                </c:pt>
                <c:pt idx="6">
                  <c:v>Perióda IIId</c:v>
                </c:pt>
              </c:strCache>
            </c:strRef>
          </c:cat>
          <c:val>
            <c:numRef>
              <c:f>'Celkové indexy'!$K$12:$K$18</c:f>
              <c:numCache>
                <c:formatCode>0.000</c:formatCode>
                <c:ptCount val="7"/>
                <c:pt idx="0">
                  <c:v>1E-3</c:v>
                </c:pt>
                <c:pt idx="1">
                  <c:v>2.3E-2</c:v>
                </c:pt>
                <c:pt idx="2">
                  <c:v>0.18099999999999999</c:v>
                </c:pt>
                <c:pt idx="3">
                  <c:v>0.36</c:v>
                </c:pt>
                <c:pt idx="4">
                  <c:v>1.115</c:v>
                </c:pt>
                <c:pt idx="5">
                  <c:v>0.88300000000000001</c:v>
                </c:pt>
                <c:pt idx="6">
                  <c:v>1.3540000000000001</c:v>
                </c:pt>
              </c:numCache>
            </c:numRef>
          </c:val>
        </c:ser>
        <c:marker val="1"/>
        <c:axId val="149165184"/>
        <c:axId val="149166720"/>
      </c:lineChart>
      <c:catAx>
        <c:axId val="149165184"/>
        <c:scaling>
          <c:orientation val="minMax"/>
        </c:scaling>
        <c:axPos val="b"/>
        <c:tickLblPos val="nextTo"/>
        <c:crossAx val="149166720"/>
        <c:crosses val="autoZero"/>
        <c:auto val="1"/>
        <c:lblAlgn val="ctr"/>
        <c:lblOffset val="100"/>
      </c:catAx>
      <c:valAx>
        <c:axId val="149166720"/>
        <c:scaling>
          <c:orientation val="minMax"/>
        </c:scaling>
        <c:axPos val="l"/>
        <c:majorGridlines/>
        <c:numFmt formatCode="0.000" sourceLinked="1"/>
        <c:tickLblPos val="nextTo"/>
        <c:crossAx val="1491651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/>
      <c:lineChart>
        <c:grouping val="standard"/>
        <c:ser>
          <c:idx val="0"/>
          <c:order val="0"/>
          <c:tx>
            <c:strRef>
              <c:f>'Celkové indexy'!$M$12</c:f>
              <c:strCache>
                <c:ptCount val="1"/>
                <c:pt idx="0">
                  <c:v>Bratislava-Devín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strRef>
              <c:f>'Celkové indexy'!$N$11:$T$11</c:f>
              <c:strCache>
                <c:ptCount val="7"/>
                <c:pt idx="0">
                  <c:v>Perióda Ia</c:v>
                </c:pt>
                <c:pt idx="1">
                  <c:v>Perióda Ib</c:v>
                </c:pt>
                <c:pt idx="2">
                  <c:v>Perióda II.</c:v>
                </c:pt>
                <c:pt idx="3">
                  <c:v>Perióda IIIa</c:v>
                </c:pt>
                <c:pt idx="4">
                  <c:v>Perióda IIIb</c:v>
                </c:pt>
                <c:pt idx="5">
                  <c:v>Perióda IIIc</c:v>
                </c:pt>
                <c:pt idx="6">
                  <c:v>Perióda IIId</c:v>
                </c:pt>
              </c:strCache>
            </c:strRef>
          </c:cat>
          <c:val>
            <c:numRef>
              <c:f>'Celkové indexy'!$N$12:$T$12</c:f>
              <c:numCache>
                <c:formatCode>0.000</c:formatCode>
                <c:ptCount val="7"/>
                <c:pt idx="0">
                  <c:v>6.0000000000000001E-3</c:v>
                </c:pt>
                <c:pt idx="1">
                  <c:v>0.505</c:v>
                </c:pt>
                <c:pt idx="2">
                  <c:v>0.17899999999999999</c:v>
                </c:pt>
                <c:pt idx="3">
                  <c:v>0.06</c:v>
                </c:pt>
                <c:pt idx="4">
                  <c:v>0.69399999999999995</c:v>
                </c:pt>
                <c:pt idx="5">
                  <c:v>0.154</c:v>
                </c:pt>
                <c:pt idx="6">
                  <c:v>0.34699999999999998</c:v>
                </c:pt>
              </c:numCache>
            </c:numRef>
          </c:val>
        </c:ser>
        <c:ser>
          <c:idx val="1"/>
          <c:order val="1"/>
          <c:tx>
            <c:strRef>
              <c:f>'Celkové indexy'!$M$13</c:f>
              <c:strCache>
                <c:ptCount val="1"/>
                <c:pt idx="0">
                  <c:v>Bratislava-Dúbravka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strRef>
              <c:f>'Celkové indexy'!$N$11:$T$11</c:f>
              <c:strCache>
                <c:ptCount val="7"/>
                <c:pt idx="0">
                  <c:v>Perióda Ia</c:v>
                </c:pt>
                <c:pt idx="1">
                  <c:v>Perióda Ib</c:v>
                </c:pt>
                <c:pt idx="2">
                  <c:v>Perióda II.</c:v>
                </c:pt>
                <c:pt idx="3">
                  <c:v>Perióda IIIa</c:v>
                </c:pt>
                <c:pt idx="4">
                  <c:v>Perióda IIIb</c:v>
                </c:pt>
                <c:pt idx="5">
                  <c:v>Perióda IIIc</c:v>
                </c:pt>
                <c:pt idx="6">
                  <c:v>Perióda IIId</c:v>
                </c:pt>
              </c:strCache>
            </c:strRef>
          </c:cat>
          <c:val>
            <c:numRef>
              <c:f>'Celkové indexy'!$N$13:$T$13</c:f>
              <c:numCache>
                <c:formatCode>0.000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1.304</c:v>
                </c:pt>
                <c:pt idx="4">
                  <c:v>2.5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2"/>
          <c:order val="2"/>
          <c:tx>
            <c:strRef>
              <c:f>'Celkové indexy'!$M$14</c:f>
              <c:strCache>
                <c:ptCount val="1"/>
                <c:pt idx="0">
                  <c:v>Iža, kastell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strRef>
              <c:f>'Celkové indexy'!$N$11:$T$11</c:f>
              <c:strCache>
                <c:ptCount val="7"/>
                <c:pt idx="0">
                  <c:v>Perióda Ia</c:v>
                </c:pt>
                <c:pt idx="1">
                  <c:v>Perióda Ib</c:v>
                </c:pt>
                <c:pt idx="2">
                  <c:v>Perióda II.</c:v>
                </c:pt>
                <c:pt idx="3">
                  <c:v>Perióda IIIa</c:v>
                </c:pt>
                <c:pt idx="4">
                  <c:v>Perióda IIIb</c:v>
                </c:pt>
                <c:pt idx="5">
                  <c:v>Perióda IIIc</c:v>
                </c:pt>
                <c:pt idx="6">
                  <c:v>Perióda IIId</c:v>
                </c:pt>
              </c:strCache>
            </c:strRef>
          </c:cat>
          <c:val>
            <c:numRef>
              <c:f>'Celkové indexy'!$N$14:$T$14</c:f>
              <c:numCache>
                <c:formatCode>0.000</c:formatCode>
                <c:ptCount val="7"/>
                <c:pt idx="0">
                  <c:v>0</c:v>
                </c:pt>
                <c:pt idx="1">
                  <c:v>8.9999999999999993E-3</c:v>
                </c:pt>
                <c:pt idx="2">
                  <c:v>0.499</c:v>
                </c:pt>
                <c:pt idx="3">
                  <c:v>0.13</c:v>
                </c:pt>
                <c:pt idx="4">
                  <c:v>0.23599999999999999</c:v>
                </c:pt>
                <c:pt idx="5">
                  <c:v>0.28299999999999997</c:v>
                </c:pt>
                <c:pt idx="6">
                  <c:v>0.88700000000000001</c:v>
                </c:pt>
              </c:numCache>
            </c:numRef>
          </c:val>
        </c:ser>
        <c:ser>
          <c:idx val="3"/>
          <c:order val="3"/>
          <c:tx>
            <c:strRef>
              <c:f>'Celkové indexy'!$M$15</c:f>
              <c:strCache>
                <c:ptCount val="1"/>
                <c:pt idx="0">
                  <c:v>Iža, predpolie kastella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strRef>
              <c:f>'Celkové indexy'!$N$11:$T$11</c:f>
              <c:strCache>
                <c:ptCount val="7"/>
                <c:pt idx="0">
                  <c:v>Perióda Ia</c:v>
                </c:pt>
                <c:pt idx="1">
                  <c:v>Perióda Ib</c:v>
                </c:pt>
                <c:pt idx="2">
                  <c:v>Perióda II.</c:v>
                </c:pt>
                <c:pt idx="3">
                  <c:v>Perióda IIIa</c:v>
                </c:pt>
                <c:pt idx="4">
                  <c:v>Perióda IIIb</c:v>
                </c:pt>
                <c:pt idx="5">
                  <c:v>Perióda IIIc</c:v>
                </c:pt>
                <c:pt idx="6">
                  <c:v>Perióda IIId</c:v>
                </c:pt>
              </c:strCache>
            </c:strRef>
          </c:cat>
          <c:val>
            <c:numRef>
              <c:f>'Celkové indexy'!$N$15:$T$15</c:f>
              <c:numCache>
                <c:formatCode>0.000</c:formatCode>
                <c:ptCount val="7"/>
                <c:pt idx="0">
                  <c:v>3.0000000000000001E-3</c:v>
                </c:pt>
                <c:pt idx="1">
                  <c:v>4.0000000000000001E-3</c:v>
                </c:pt>
                <c:pt idx="2">
                  <c:v>0.26800000000000002</c:v>
                </c:pt>
                <c:pt idx="3">
                  <c:v>0.46500000000000002</c:v>
                </c:pt>
                <c:pt idx="4">
                  <c:v>0.65500000000000003</c:v>
                </c:pt>
                <c:pt idx="5">
                  <c:v>1.0529999999999999</c:v>
                </c:pt>
                <c:pt idx="6">
                  <c:v>0.63</c:v>
                </c:pt>
              </c:numCache>
            </c:numRef>
          </c:val>
        </c:ser>
        <c:ser>
          <c:idx val="4"/>
          <c:order val="4"/>
          <c:tx>
            <c:strRef>
              <c:f>'Celkové indexy'!$M$16</c:f>
              <c:strCache>
                <c:ptCount val="1"/>
                <c:pt idx="0">
                  <c:v>Mušov, poloha Burgstal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strRef>
              <c:f>'Celkové indexy'!$N$11:$T$11</c:f>
              <c:strCache>
                <c:ptCount val="7"/>
                <c:pt idx="0">
                  <c:v>Perióda Ia</c:v>
                </c:pt>
                <c:pt idx="1">
                  <c:v>Perióda Ib</c:v>
                </c:pt>
                <c:pt idx="2">
                  <c:v>Perióda II.</c:v>
                </c:pt>
                <c:pt idx="3">
                  <c:v>Perióda IIIa</c:v>
                </c:pt>
                <c:pt idx="4">
                  <c:v>Perióda IIIb</c:v>
                </c:pt>
                <c:pt idx="5">
                  <c:v>Perióda IIIc</c:v>
                </c:pt>
                <c:pt idx="6">
                  <c:v>Perióda IIId</c:v>
                </c:pt>
              </c:strCache>
            </c:strRef>
          </c:cat>
          <c:val>
            <c:numRef>
              <c:f>'Celkové indexy'!$N$16:$T$16</c:f>
              <c:numCache>
                <c:formatCode>0.000</c:formatCode>
                <c:ptCount val="7"/>
                <c:pt idx="0">
                  <c:v>3.0000000000000001E-3</c:v>
                </c:pt>
                <c:pt idx="1">
                  <c:v>5.3999999999999999E-2</c:v>
                </c:pt>
                <c:pt idx="2">
                  <c:v>0.66800000000000004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5"/>
          <c:order val="5"/>
          <c:tx>
            <c:strRef>
              <c:f>'Celkové indexy'!$M$17</c:f>
              <c:strCache>
                <c:ptCount val="1"/>
                <c:pt idx="0">
                  <c:v>Mušov, poloha Neurissen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strRef>
              <c:f>'Celkové indexy'!$N$11:$T$11</c:f>
              <c:strCache>
                <c:ptCount val="7"/>
                <c:pt idx="0">
                  <c:v>Perióda Ia</c:v>
                </c:pt>
                <c:pt idx="1">
                  <c:v>Perióda Ib</c:v>
                </c:pt>
                <c:pt idx="2">
                  <c:v>Perióda II.</c:v>
                </c:pt>
                <c:pt idx="3">
                  <c:v>Perióda IIIa</c:v>
                </c:pt>
                <c:pt idx="4">
                  <c:v>Perióda IIIb</c:v>
                </c:pt>
                <c:pt idx="5">
                  <c:v>Perióda IIIc</c:v>
                </c:pt>
                <c:pt idx="6">
                  <c:v>Perióda IIId</c:v>
                </c:pt>
              </c:strCache>
            </c:strRef>
          </c:cat>
          <c:val>
            <c:numRef>
              <c:f>'Celkové indexy'!$N$17:$T$17</c:f>
              <c:numCache>
                <c:formatCode>0.000</c:formatCode>
                <c:ptCount val="7"/>
                <c:pt idx="0">
                  <c:v>0</c:v>
                </c:pt>
                <c:pt idx="1">
                  <c:v>0.10100000000000001</c:v>
                </c:pt>
                <c:pt idx="2">
                  <c:v>0.64300000000000002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6"/>
          <c:order val="6"/>
          <c:tx>
            <c:strRef>
              <c:f>'Celkové indexy'!$M$18</c:f>
              <c:strCache>
                <c:ptCount val="1"/>
                <c:pt idx="0">
                  <c:v>Stupava, poloha Kopec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strRef>
              <c:f>'Celkové indexy'!$N$11:$T$11</c:f>
              <c:strCache>
                <c:ptCount val="7"/>
                <c:pt idx="0">
                  <c:v>Perióda Ia</c:v>
                </c:pt>
                <c:pt idx="1">
                  <c:v>Perióda Ib</c:v>
                </c:pt>
                <c:pt idx="2">
                  <c:v>Perióda II.</c:v>
                </c:pt>
                <c:pt idx="3">
                  <c:v>Perióda IIIa</c:v>
                </c:pt>
                <c:pt idx="4">
                  <c:v>Perióda IIIb</c:v>
                </c:pt>
                <c:pt idx="5">
                  <c:v>Perióda IIIc</c:v>
                </c:pt>
                <c:pt idx="6">
                  <c:v>Perióda IIId</c:v>
                </c:pt>
              </c:strCache>
            </c:strRef>
          </c:cat>
          <c:val>
            <c:numRef>
              <c:f>'Celkové indexy'!$N$18:$T$18</c:f>
              <c:numCache>
                <c:formatCode>0.000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0.39700000000000002</c:v>
                </c:pt>
                <c:pt idx="3">
                  <c:v>0.48299999999999998</c:v>
                </c:pt>
                <c:pt idx="4">
                  <c:v>0.69399999999999995</c:v>
                </c:pt>
                <c:pt idx="5">
                  <c:v>0.309</c:v>
                </c:pt>
                <c:pt idx="6">
                  <c:v>0.34699999999999998</c:v>
                </c:pt>
              </c:numCache>
            </c:numRef>
          </c:val>
        </c:ser>
        <c:marker val="1"/>
        <c:axId val="149211776"/>
        <c:axId val="149217664"/>
      </c:lineChart>
      <c:catAx>
        <c:axId val="149211776"/>
        <c:scaling>
          <c:orientation val="minMax"/>
        </c:scaling>
        <c:axPos val="b"/>
        <c:tickLblPos val="nextTo"/>
        <c:crossAx val="149217664"/>
        <c:crosses val="autoZero"/>
        <c:auto val="1"/>
        <c:lblAlgn val="ctr"/>
        <c:lblOffset val="100"/>
      </c:catAx>
      <c:valAx>
        <c:axId val="149217664"/>
        <c:scaling>
          <c:orientation val="minMax"/>
        </c:scaling>
        <c:axPos val="l"/>
        <c:majorGridlines/>
        <c:numFmt formatCode="0.000" sourceLinked="1"/>
        <c:tickLblPos val="nextTo"/>
        <c:crossAx val="1492117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326571</xdr:colOff>
      <xdr:row>2</xdr:row>
      <xdr:rowOff>13607</xdr:rowOff>
    </xdr:from>
    <xdr:to>
      <xdr:col>45</xdr:col>
      <xdr:colOff>40821</xdr:colOff>
      <xdr:row>24</xdr:row>
      <xdr:rowOff>27214</xdr:rowOff>
    </xdr:to>
    <xdr:graphicFrame macro="">
      <xdr:nvGraphicFramePr>
        <xdr:cNvPr id="7" name="Graf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45</xdr:col>
      <xdr:colOff>326572</xdr:colOff>
      <xdr:row>1</xdr:row>
      <xdr:rowOff>176894</xdr:rowOff>
    </xdr:from>
    <xdr:to>
      <xdr:col>58</xdr:col>
      <xdr:colOff>421821</xdr:colOff>
      <xdr:row>24</xdr:row>
      <xdr:rowOff>0</xdr:rowOff>
    </xdr:to>
    <xdr:graphicFrame macro="">
      <xdr:nvGraphicFramePr>
        <xdr:cNvPr id="8" name="Graf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517071</xdr:colOff>
      <xdr:row>14</xdr:row>
      <xdr:rowOff>108858</xdr:rowOff>
    </xdr:from>
    <xdr:to>
      <xdr:col>46</xdr:col>
      <xdr:colOff>40821</xdr:colOff>
      <xdr:row>42</xdr:row>
      <xdr:rowOff>0</xdr:rowOff>
    </xdr:to>
    <xdr:graphicFrame macro="">
      <xdr:nvGraphicFramePr>
        <xdr:cNvPr id="9" name="Graf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19</xdr:row>
      <xdr:rowOff>123825</xdr:rowOff>
    </xdr:from>
    <xdr:to>
      <xdr:col>6</xdr:col>
      <xdr:colOff>142875</xdr:colOff>
      <xdr:row>36</xdr:row>
      <xdr:rowOff>161925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19</xdr:row>
      <xdr:rowOff>161924</xdr:rowOff>
    </xdr:from>
    <xdr:to>
      <xdr:col>11</xdr:col>
      <xdr:colOff>581025</xdr:colOff>
      <xdr:row>36</xdr:row>
      <xdr:rowOff>171449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696383</xdr:colOff>
      <xdr:row>19</xdr:row>
      <xdr:rowOff>127000</xdr:rowOff>
    </xdr:from>
    <xdr:to>
      <xdr:col>17</xdr:col>
      <xdr:colOff>1153583</xdr:colOff>
      <xdr:row>36</xdr:row>
      <xdr:rowOff>174625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D97"/>
  <sheetViews>
    <sheetView tabSelected="1" zoomScale="70" zoomScaleNormal="70" workbookViewId="0">
      <selection activeCell="I109" sqref="I109"/>
    </sheetView>
  </sheetViews>
  <sheetFormatPr defaultRowHeight="15"/>
  <cols>
    <col min="2" max="2" width="18" bestFit="1" customWidth="1"/>
    <col min="3" max="3" width="30.7109375" bestFit="1" customWidth="1"/>
    <col min="4" max="4" width="8.28515625" style="3" bestFit="1" customWidth="1"/>
    <col min="5" max="5" width="7.140625" style="3" bestFit="1" customWidth="1"/>
    <col min="6" max="6" width="29.7109375" bestFit="1" customWidth="1"/>
    <col min="7" max="7" width="8.28515625" bestFit="1" customWidth="1"/>
    <col min="8" max="8" width="7.140625" bestFit="1" customWidth="1"/>
    <col min="9" max="9" width="24.7109375" bestFit="1" customWidth="1"/>
    <col min="10" max="10" width="8.28515625" bestFit="1" customWidth="1"/>
    <col min="11" max="11" width="7.140625" bestFit="1" customWidth="1"/>
    <col min="12" max="12" width="26.85546875" bestFit="1" customWidth="1"/>
    <col min="13" max="13" width="8.140625" bestFit="1" customWidth="1"/>
    <col min="14" max="14" width="6.85546875" style="15" customWidth="1"/>
    <col min="15" max="15" width="27" bestFit="1" customWidth="1"/>
    <col min="16" max="16" width="9.140625" bestFit="1" customWidth="1"/>
    <col min="17" max="17" width="7.140625" bestFit="1" customWidth="1"/>
    <col min="18" max="18" width="26.7109375" bestFit="1" customWidth="1"/>
    <col min="19" max="19" width="8.28515625" bestFit="1" customWidth="1"/>
    <col min="20" max="20" width="7.140625" bestFit="1" customWidth="1"/>
    <col min="21" max="21" width="27" bestFit="1" customWidth="1"/>
    <col min="22" max="22" width="8.140625" bestFit="1" customWidth="1"/>
    <col min="23" max="23" width="6" bestFit="1" customWidth="1"/>
    <col min="24" max="24" width="11.140625" bestFit="1" customWidth="1"/>
    <col min="25" max="25" width="11.28515625" bestFit="1" customWidth="1"/>
    <col min="26" max="26" width="10.7109375" bestFit="1" customWidth="1"/>
    <col min="27" max="27" width="12.28515625" bestFit="1" customWidth="1"/>
    <col min="28" max="28" width="12.42578125" bestFit="1" customWidth="1"/>
    <col min="29" max="29" width="12.140625" bestFit="1" customWidth="1"/>
    <col min="30" max="30" width="12.42578125" bestFit="1" customWidth="1"/>
  </cols>
  <sheetData>
    <row r="2" spans="2:30" ht="15.75">
      <c r="B2" s="36" t="s">
        <v>27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7"/>
      <c r="W2" s="37"/>
      <c r="X2" s="37"/>
      <c r="Y2" s="37"/>
      <c r="Z2" s="37"/>
      <c r="AA2" s="37"/>
      <c r="AB2" s="37"/>
      <c r="AC2" s="37"/>
      <c r="AD2" s="37"/>
    </row>
    <row r="3" spans="2:30">
      <c r="B3" s="5" t="s">
        <v>0</v>
      </c>
      <c r="C3" s="5" t="s">
        <v>1</v>
      </c>
      <c r="D3" s="6" t="s">
        <v>34</v>
      </c>
      <c r="E3" s="7" t="s">
        <v>35</v>
      </c>
      <c r="F3" s="5" t="s">
        <v>2</v>
      </c>
      <c r="G3" s="6" t="s">
        <v>34</v>
      </c>
      <c r="H3" s="7" t="s">
        <v>35</v>
      </c>
      <c r="I3" s="5" t="s">
        <v>3</v>
      </c>
      <c r="J3" s="6" t="s">
        <v>34</v>
      </c>
      <c r="K3" s="7" t="s">
        <v>35</v>
      </c>
      <c r="L3" s="5" t="s">
        <v>4</v>
      </c>
      <c r="M3" s="6" t="s">
        <v>34</v>
      </c>
      <c r="N3" s="14" t="s">
        <v>35</v>
      </c>
      <c r="O3" s="5" t="s">
        <v>5</v>
      </c>
      <c r="P3" s="6" t="s">
        <v>34</v>
      </c>
      <c r="Q3" s="7" t="s">
        <v>35</v>
      </c>
      <c r="R3" s="5" t="s">
        <v>6</v>
      </c>
      <c r="S3" s="6" t="s">
        <v>34</v>
      </c>
      <c r="T3" s="7" t="s">
        <v>35</v>
      </c>
      <c r="U3" s="5" t="s">
        <v>7</v>
      </c>
      <c r="V3" s="6" t="s">
        <v>34</v>
      </c>
      <c r="W3" s="7" t="s">
        <v>35</v>
      </c>
      <c r="X3" s="7" t="s">
        <v>46</v>
      </c>
      <c r="Y3" s="7" t="s">
        <v>47</v>
      </c>
      <c r="Z3" s="7" t="s">
        <v>48</v>
      </c>
      <c r="AA3" s="7" t="s">
        <v>49</v>
      </c>
      <c r="AB3" s="7" t="s">
        <v>50</v>
      </c>
      <c r="AC3" s="7" t="s">
        <v>51</v>
      </c>
      <c r="AD3" s="7" t="s">
        <v>52</v>
      </c>
    </row>
    <row r="4" spans="2:30">
      <c r="B4" s="1" t="s">
        <v>8</v>
      </c>
      <c r="C4" s="1">
        <v>0</v>
      </c>
      <c r="D4" s="13">
        <v>0</v>
      </c>
      <c r="E4" s="13">
        <v>0</v>
      </c>
      <c r="F4" s="32">
        <v>0</v>
      </c>
      <c r="G4" s="13">
        <v>0</v>
      </c>
      <c r="H4" s="13">
        <v>0</v>
      </c>
      <c r="I4" s="32">
        <v>0</v>
      </c>
      <c r="J4" s="13">
        <v>0</v>
      </c>
      <c r="K4" s="13">
        <v>0</v>
      </c>
      <c r="L4" s="32">
        <v>0</v>
      </c>
      <c r="M4" s="13">
        <v>0</v>
      </c>
      <c r="N4" s="13">
        <v>0</v>
      </c>
      <c r="O4" s="32">
        <v>0</v>
      </c>
      <c r="P4" s="13">
        <v>0</v>
      </c>
      <c r="Q4" s="13">
        <v>0</v>
      </c>
      <c r="R4" s="32">
        <v>0</v>
      </c>
      <c r="S4" s="13">
        <v>0</v>
      </c>
      <c r="T4" s="13">
        <v>0</v>
      </c>
      <c r="U4" s="32">
        <v>0</v>
      </c>
      <c r="V4" s="13">
        <v>0</v>
      </c>
      <c r="W4" s="13">
        <v>0</v>
      </c>
      <c r="X4" s="26">
        <f>1.04*0</f>
        <v>0</v>
      </c>
      <c r="Y4" s="26">
        <f t="shared" ref="Y4:AD4" si="0">1.04*0</f>
        <v>0</v>
      </c>
      <c r="Z4" s="26">
        <f t="shared" si="0"/>
        <v>0</v>
      </c>
      <c r="AA4" s="26">
        <f t="shared" si="0"/>
        <v>0</v>
      </c>
      <c r="AB4" s="26">
        <f t="shared" si="0"/>
        <v>0</v>
      </c>
      <c r="AC4" s="26">
        <f t="shared" si="0"/>
        <v>0</v>
      </c>
      <c r="AD4" s="26">
        <f t="shared" si="0"/>
        <v>0</v>
      </c>
    </row>
    <row r="5" spans="2:30">
      <c r="B5" s="1" t="s">
        <v>9</v>
      </c>
      <c r="C5" s="1">
        <v>0</v>
      </c>
      <c r="D5" s="13">
        <v>0</v>
      </c>
      <c r="E5" s="13">
        <v>0</v>
      </c>
      <c r="F5" s="32">
        <v>2</v>
      </c>
      <c r="G5" s="13">
        <f>F5/115</f>
        <v>1.7391304347826087E-2</v>
      </c>
      <c r="H5" s="13">
        <f>G5/F22*100</f>
        <v>2.1208907741251327E-2</v>
      </c>
      <c r="I5" s="32">
        <v>4</v>
      </c>
      <c r="J5" s="13">
        <f>I5/140</f>
        <v>2.8571428571428571E-2</v>
      </c>
      <c r="K5" s="13">
        <f>J5/I22*100</f>
        <v>5.1111679018655759E-3</v>
      </c>
      <c r="L5" s="32">
        <v>2</v>
      </c>
      <c r="M5" s="13">
        <f>L5/43</f>
        <v>4.6511627906976744E-2</v>
      </c>
      <c r="N5" s="13">
        <f>M5/L22*100</f>
        <v>4.0096230954290296E-2</v>
      </c>
      <c r="O5" s="32">
        <v>1</v>
      </c>
      <c r="P5" s="13">
        <f>O5/26</f>
        <v>3.8461538461538464E-2</v>
      </c>
      <c r="Q5" s="13">
        <f>P5/O22*100</f>
        <v>4.5248868778280542E-2</v>
      </c>
      <c r="R5" s="32">
        <v>1</v>
      </c>
      <c r="S5" s="13">
        <f>R5/16</f>
        <v>6.25E-2</v>
      </c>
      <c r="T5" s="13">
        <f>S5/R22*100</f>
        <v>9.3283582089552231E-2</v>
      </c>
      <c r="U5" s="32">
        <v>0</v>
      </c>
      <c r="V5" s="13">
        <v>0</v>
      </c>
      <c r="W5" s="13">
        <v>0</v>
      </c>
      <c r="X5" s="26">
        <f>1.04*0</f>
        <v>0</v>
      </c>
      <c r="Y5" s="26">
        <f>2/0.82</f>
        <v>2.4390243902439024</v>
      </c>
      <c r="Z5" s="26">
        <f>4/5.59</f>
        <v>0.7155635062611807</v>
      </c>
      <c r="AA5" s="26">
        <f>2/1.16</f>
        <v>1.7241379310344829</v>
      </c>
      <c r="AB5" s="26">
        <f>1/0.85</f>
        <v>1.1764705882352942</v>
      </c>
      <c r="AC5" s="26">
        <f>1/0.67</f>
        <v>1.4925373134328357</v>
      </c>
      <c r="AD5" s="26">
        <f>0/0.19</f>
        <v>0</v>
      </c>
    </row>
    <row r="6" spans="2:30">
      <c r="B6" s="1" t="s">
        <v>10</v>
      </c>
      <c r="C6" s="1">
        <v>0</v>
      </c>
      <c r="D6" s="13">
        <v>0</v>
      </c>
      <c r="E6" s="13">
        <v>0</v>
      </c>
      <c r="F6" s="32">
        <v>0</v>
      </c>
      <c r="G6" s="13">
        <v>0</v>
      </c>
      <c r="H6" s="13">
        <v>0</v>
      </c>
      <c r="I6" s="32">
        <v>0</v>
      </c>
      <c r="J6" s="13">
        <v>0</v>
      </c>
      <c r="K6" s="13">
        <v>0</v>
      </c>
      <c r="L6" s="32">
        <v>1</v>
      </c>
      <c r="M6" s="13">
        <f>L6/43</f>
        <v>2.3255813953488372E-2</v>
      </c>
      <c r="N6" s="13">
        <f>M6/L22*100</f>
        <v>2.0048115477145148E-2</v>
      </c>
      <c r="O6" s="32">
        <v>43</v>
      </c>
      <c r="P6" s="13">
        <f>O6/26</f>
        <v>1.6538461538461537</v>
      </c>
      <c r="Q6" s="13">
        <f>P6/O22*100</f>
        <v>1.9457013574660633</v>
      </c>
      <c r="R6" s="32">
        <v>59</v>
      </c>
      <c r="S6" s="13">
        <f>R6/16</f>
        <v>3.6875</v>
      </c>
      <c r="T6" s="13">
        <f>S6/R22*100</f>
        <v>5.5037313432835822</v>
      </c>
      <c r="U6" s="32">
        <v>14</v>
      </c>
      <c r="V6" s="13">
        <f>U6/11</f>
        <v>1.2727272727272727</v>
      </c>
      <c r="W6" s="13">
        <f>V6/U22*100</f>
        <v>6.6985645933014357</v>
      </c>
      <c r="X6" s="26">
        <f>1.04*0</f>
        <v>0</v>
      </c>
      <c r="Y6" s="26">
        <f>0/0.82</f>
        <v>0</v>
      </c>
      <c r="Z6" s="26">
        <f>0/0.82</f>
        <v>0</v>
      </c>
      <c r="AA6" s="26">
        <f>1/1.16</f>
        <v>0.86206896551724144</v>
      </c>
      <c r="AB6" s="26">
        <f>43/0.85</f>
        <v>50.588235294117645</v>
      </c>
      <c r="AC6" s="26">
        <f>59/0.67</f>
        <v>88.059701492537314</v>
      </c>
      <c r="AD6" s="26">
        <f>14/0.19</f>
        <v>73.684210526315795</v>
      </c>
    </row>
    <row r="7" spans="2:30">
      <c r="B7" s="1" t="s">
        <v>11</v>
      </c>
      <c r="C7" s="1">
        <v>76</v>
      </c>
      <c r="D7" s="13">
        <f>C7/451</f>
        <v>0.16851441241685144</v>
      </c>
      <c r="E7" s="13">
        <f>D7/C22*100</f>
        <v>0.16203308886235715</v>
      </c>
      <c r="F7" s="32">
        <v>23</v>
      </c>
      <c r="G7" s="13">
        <f>F7/115</f>
        <v>0.2</v>
      </c>
      <c r="H7" s="13">
        <f>G7/F22*100</f>
        <v>0.24390243902439024</v>
      </c>
      <c r="I7" s="32">
        <v>343</v>
      </c>
      <c r="J7" s="13">
        <f>I7/140</f>
        <v>2.4500000000000002</v>
      </c>
      <c r="K7" s="13">
        <f>J7/I22*100</f>
        <v>0.43828264758497321</v>
      </c>
      <c r="L7" s="32">
        <v>67</v>
      </c>
      <c r="M7" s="13">
        <f>L7/43</f>
        <v>1.558139534883721</v>
      </c>
      <c r="N7" s="13">
        <f>M7/L22*100</f>
        <v>1.343223736968725</v>
      </c>
      <c r="O7" s="32">
        <v>0</v>
      </c>
      <c r="P7" s="13">
        <v>0</v>
      </c>
      <c r="Q7" s="13">
        <v>0</v>
      </c>
      <c r="R7" s="32">
        <v>0</v>
      </c>
      <c r="S7" s="13">
        <v>0</v>
      </c>
      <c r="T7" s="13">
        <v>0</v>
      </c>
      <c r="U7" s="32">
        <v>0</v>
      </c>
      <c r="V7" s="13">
        <v>0</v>
      </c>
      <c r="W7" s="13">
        <v>0</v>
      </c>
      <c r="X7" s="26">
        <f>76/1.04</f>
        <v>73.07692307692308</v>
      </c>
      <c r="Y7" s="26">
        <f>23/0.82</f>
        <v>28.04878048780488</v>
      </c>
      <c r="Z7" s="26">
        <f>343/5.59</f>
        <v>61.359570661896242</v>
      </c>
      <c r="AA7" s="26">
        <f>67/1.16</f>
        <v>57.758620689655174</v>
      </c>
      <c r="AB7" s="26">
        <f>0/0.85</f>
        <v>0</v>
      </c>
      <c r="AC7" s="26">
        <f>0/0.67</f>
        <v>0</v>
      </c>
      <c r="AD7" s="26">
        <f>0/0.19</f>
        <v>0</v>
      </c>
    </row>
    <row r="8" spans="2:30">
      <c r="B8" s="1" t="s">
        <v>12</v>
      </c>
      <c r="C8" s="1">
        <v>1</v>
      </c>
      <c r="D8" s="13">
        <f>C8/451</f>
        <v>2.2172949002217295E-3</v>
      </c>
      <c r="E8" s="13">
        <f>D8/C22*100</f>
        <v>2.1320143271362784E-3</v>
      </c>
      <c r="F8" s="32">
        <v>0</v>
      </c>
      <c r="G8" s="13">
        <v>0</v>
      </c>
      <c r="H8" s="13">
        <v>0</v>
      </c>
      <c r="I8" s="32">
        <v>0</v>
      </c>
      <c r="J8" s="13">
        <v>0</v>
      </c>
      <c r="K8" s="13">
        <v>0</v>
      </c>
      <c r="L8" s="32">
        <v>0</v>
      </c>
      <c r="M8" s="13">
        <v>0</v>
      </c>
      <c r="N8" s="13">
        <v>0</v>
      </c>
      <c r="O8" s="32">
        <v>0</v>
      </c>
      <c r="P8" s="13">
        <v>0</v>
      </c>
      <c r="Q8" s="13">
        <v>0</v>
      </c>
      <c r="R8" s="32">
        <v>0</v>
      </c>
      <c r="S8" s="13">
        <v>0</v>
      </c>
      <c r="T8" s="13">
        <v>0</v>
      </c>
      <c r="U8" s="32">
        <v>0</v>
      </c>
      <c r="V8" s="13">
        <v>0</v>
      </c>
      <c r="W8" s="13">
        <v>0</v>
      </c>
      <c r="X8" s="26">
        <f>1/1.04</f>
        <v>0.96153846153846145</v>
      </c>
      <c r="Y8" s="26">
        <f>0/0.82</f>
        <v>0</v>
      </c>
      <c r="Z8" s="26">
        <f t="shared" ref="Y8:AC14" si="1">1.04*0</f>
        <v>0</v>
      </c>
      <c r="AA8" s="26">
        <f>0/1.16</f>
        <v>0</v>
      </c>
      <c r="AB8" s="26">
        <f t="shared" ref="AB8" si="2">0/0.85</f>
        <v>0</v>
      </c>
      <c r="AC8" s="26">
        <f>0/0.67</f>
        <v>0</v>
      </c>
      <c r="AD8" s="26">
        <f t="shared" ref="AD8:AD19" si="3">0/0.19</f>
        <v>0</v>
      </c>
    </row>
    <row r="9" spans="2:30">
      <c r="B9" s="1" t="s">
        <v>13</v>
      </c>
      <c r="C9" s="1">
        <v>0</v>
      </c>
      <c r="D9" s="13">
        <v>0</v>
      </c>
      <c r="E9" s="13">
        <v>0</v>
      </c>
      <c r="F9" s="32">
        <v>0</v>
      </c>
      <c r="G9" s="13">
        <v>0</v>
      </c>
      <c r="H9" s="13">
        <v>0</v>
      </c>
      <c r="I9" s="32">
        <v>0</v>
      </c>
      <c r="J9" s="13">
        <v>0</v>
      </c>
      <c r="K9" s="13">
        <v>0</v>
      </c>
      <c r="L9" s="32">
        <v>0</v>
      </c>
      <c r="M9" s="13">
        <v>0</v>
      </c>
      <c r="N9" s="13">
        <v>0</v>
      </c>
      <c r="O9" s="32">
        <v>0</v>
      </c>
      <c r="P9" s="13">
        <v>0</v>
      </c>
      <c r="Q9" s="13">
        <v>0</v>
      </c>
      <c r="R9" s="32">
        <v>0</v>
      </c>
      <c r="S9" s="13">
        <v>0</v>
      </c>
      <c r="T9" s="13">
        <v>0</v>
      </c>
      <c r="U9" s="32">
        <v>0</v>
      </c>
      <c r="V9" s="13">
        <v>0</v>
      </c>
      <c r="W9" s="13">
        <v>0</v>
      </c>
      <c r="X9" s="26">
        <f>1.04*0</f>
        <v>0</v>
      </c>
      <c r="Y9" s="26">
        <f t="shared" si="1"/>
        <v>0</v>
      </c>
      <c r="Z9" s="26">
        <f t="shared" si="1"/>
        <v>0</v>
      </c>
      <c r="AA9" s="26">
        <f t="shared" si="1"/>
        <v>0</v>
      </c>
      <c r="AB9" s="26">
        <f>0/0.85</f>
        <v>0</v>
      </c>
      <c r="AC9" s="26">
        <f t="shared" si="1"/>
        <v>0</v>
      </c>
      <c r="AD9" s="26">
        <f t="shared" si="3"/>
        <v>0</v>
      </c>
    </row>
    <row r="10" spans="2:30">
      <c r="B10" s="1" t="s">
        <v>14</v>
      </c>
      <c r="C10" s="1">
        <v>0</v>
      </c>
      <c r="D10" s="13">
        <v>0</v>
      </c>
      <c r="E10" s="13">
        <v>0</v>
      </c>
      <c r="F10" s="32">
        <v>4</v>
      </c>
      <c r="G10" s="13">
        <f>F10/115</f>
        <v>3.4782608695652174E-2</v>
      </c>
      <c r="H10" s="13">
        <f>G10/F22*100</f>
        <v>4.2417815482502653E-2</v>
      </c>
      <c r="I10" s="32">
        <v>49</v>
      </c>
      <c r="J10" s="13">
        <f>I10/140</f>
        <v>0.35</v>
      </c>
      <c r="K10" s="13">
        <f>J10/I22*100</f>
        <v>6.2611806797853303E-2</v>
      </c>
      <c r="L10" s="32">
        <v>11</v>
      </c>
      <c r="M10" s="13">
        <f>L10/43</f>
        <v>0.2558139534883721</v>
      </c>
      <c r="N10" s="13">
        <f>M10/L22*100</f>
        <v>0.22052927024859664</v>
      </c>
      <c r="O10" s="32">
        <v>18</v>
      </c>
      <c r="P10" s="13">
        <f>O10/26</f>
        <v>0.69230769230769229</v>
      </c>
      <c r="Q10" s="13">
        <f>P10/O22*100</f>
        <v>0.81447963800904988</v>
      </c>
      <c r="R10" s="32">
        <v>0</v>
      </c>
      <c r="S10" s="13">
        <v>0</v>
      </c>
      <c r="T10" s="13">
        <v>0</v>
      </c>
      <c r="U10" s="32">
        <v>0</v>
      </c>
      <c r="V10" s="13">
        <v>0</v>
      </c>
      <c r="W10" s="13">
        <v>0</v>
      </c>
      <c r="X10" s="26">
        <f t="shared" ref="X10:X14" si="4">1.04*0</f>
        <v>0</v>
      </c>
      <c r="Y10" s="26">
        <f>4/0.82</f>
        <v>4.8780487804878048</v>
      </c>
      <c r="Z10" s="26">
        <f>49/5.59</f>
        <v>8.7656529516994635</v>
      </c>
      <c r="AA10" s="26">
        <f>11/1.16</f>
        <v>9.4827586206896566</v>
      </c>
      <c r="AB10" s="26">
        <f>18/0.85</f>
        <v>21.176470588235293</v>
      </c>
      <c r="AC10" s="26">
        <f t="shared" si="1"/>
        <v>0</v>
      </c>
      <c r="AD10" s="26">
        <f t="shared" si="3"/>
        <v>0</v>
      </c>
    </row>
    <row r="11" spans="2:30">
      <c r="B11" s="1" t="s">
        <v>15</v>
      </c>
      <c r="C11" s="1">
        <v>0</v>
      </c>
      <c r="D11" s="13">
        <v>0</v>
      </c>
      <c r="E11" s="13">
        <v>0</v>
      </c>
      <c r="F11" s="32">
        <v>2</v>
      </c>
      <c r="G11" s="13">
        <f>F11/115</f>
        <v>1.7391304347826087E-2</v>
      </c>
      <c r="H11" s="13">
        <f>G11/F22*100</f>
        <v>2.1208907741251327E-2</v>
      </c>
      <c r="I11" s="32">
        <v>23</v>
      </c>
      <c r="J11" s="13">
        <f>I11/140</f>
        <v>0.16428571428571428</v>
      </c>
      <c r="K11" s="13">
        <f>J11/I22*100</f>
        <v>2.9389215435727065E-2</v>
      </c>
      <c r="L11" s="32">
        <v>1</v>
      </c>
      <c r="M11" s="13">
        <f>L11/43</f>
        <v>2.3255813953488372E-2</v>
      </c>
      <c r="N11" s="13">
        <f>M11/L22*100</f>
        <v>2.0048115477145148E-2</v>
      </c>
      <c r="O11" s="32">
        <v>1</v>
      </c>
      <c r="P11" s="13">
        <f>O11/26</f>
        <v>3.8461538461538464E-2</v>
      </c>
      <c r="Q11" s="13">
        <f>P11/O22*100</f>
        <v>4.5248868778280542E-2</v>
      </c>
      <c r="R11" s="32">
        <v>0</v>
      </c>
      <c r="S11" s="13">
        <v>0</v>
      </c>
      <c r="T11" s="13">
        <v>0</v>
      </c>
      <c r="U11" s="32">
        <v>0</v>
      </c>
      <c r="V11" s="13">
        <v>0</v>
      </c>
      <c r="W11" s="13">
        <v>0</v>
      </c>
      <c r="X11" s="26">
        <f t="shared" si="4"/>
        <v>0</v>
      </c>
      <c r="Y11" s="26">
        <f>2/0.82</f>
        <v>2.4390243902439024</v>
      </c>
      <c r="Z11" s="26">
        <f>23/5.59</f>
        <v>4.1144901610017888</v>
      </c>
      <c r="AA11" s="26">
        <f>1/1.16</f>
        <v>0.86206896551724144</v>
      </c>
      <c r="AB11" s="26">
        <f>1/0.85</f>
        <v>1.1764705882352942</v>
      </c>
      <c r="AC11" s="26">
        <f t="shared" si="1"/>
        <v>0</v>
      </c>
      <c r="AD11" s="26">
        <f t="shared" si="3"/>
        <v>0</v>
      </c>
    </row>
    <row r="12" spans="2:30">
      <c r="B12" s="1" t="s">
        <v>16</v>
      </c>
      <c r="C12" s="1">
        <v>0</v>
      </c>
      <c r="D12" s="13">
        <v>0</v>
      </c>
      <c r="E12" s="13">
        <v>0</v>
      </c>
      <c r="F12" s="32">
        <v>28</v>
      </c>
      <c r="G12" s="13">
        <f>F12/115</f>
        <v>0.24347826086956523</v>
      </c>
      <c r="H12" s="13">
        <f>G12/F22*100</f>
        <v>0.29692470837751855</v>
      </c>
      <c r="I12" s="32">
        <v>37</v>
      </c>
      <c r="J12" s="13">
        <f>I12/140</f>
        <v>0.26428571428571429</v>
      </c>
      <c r="K12" s="13">
        <f>J12/I22*100</f>
        <v>4.7278303092256585E-2</v>
      </c>
      <c r="L12" s="32">
        <v>0</v>
      </c>
      <c r="M12" s="13">
        <v>0</v>
      </c>
      <c r="N12" s="13">
        <v>0</v>
      </c>
      <c r="O12" s="32">
        <v>3</v>
      </c>
      <c r="P12" s="13">
        <f>O12/26</f>
        <v>0.11538461538461539</v>
      </c>
      <c r="Q12" s="13">
        <f>P12/O22*100</f>
        <v>0.13574660633484165</v>
      </c>
      <c r="R12" s="32">
        <v>0</v>
      </c>
      <c r="S12" s="13">
        <v>0</v>
      </c>
      <c r="T12" s="13">
        <v>0</v>
      </c>
      <c r="U12" s="32">
        <v>0</v>
      </c>
      <c r="V12" s="13">
        <v>0</v>
      </c>
      <c r="W12" s="13">
        <v>0</v>
      </c>
      <c r="X12" s="26">
        <f t="shared" si="4"/>
        <v>0</v>
      </c>
      <c r="Y12" s="26">
        <f>28/0.82</f>
        <v>34.146341463414636</v>
      </c>
      <c r="Z12" s="26">
        <f>37/5.59</f>
        <v>6.6189624329159216</v>
      </c>
      <c r="AA12" s="26">
        <v>0</v>
      </c>
      <c r="AB12" s="26">
        <f>3/0.85</f>
        <v>3.5294117647058822</v>
      </c>
      <c r="AC12" s="26">
        <f t="shared" si="1"/>
        <v>0</v>
      </c>
      <c r="AD12" s="26">
        <f t="shared" si="3"/>
        <v>0</v>
      </c>
    </row>
    <row r="13" spans="2:30">
      <c r="B13" s="1" t="s">
        <v>17</v>
      </c>
      <c r="C13" s="1">
        <v>0</v>
      </c>
      <c r="D13" s="13">
        <v>0</v>
      </c>
      <c r="E13" s="13">
        <v>0</v>
      </c>
      <c r="F13" s="32">
        <v>1</v>
      </c>
      <c r="G13" s="13">
        <f>F13/115</f>
        <v>8.6956521739130436E-3</v>
      </c>
      <c r="H13" s="13">
        <f>G13/F22*100</f>
        <v>1.0604453870625663E-2</v>
      </c>
      <c r="I13" s="32">
        <v>1</v>
      </c>
      <c r="J13" s="13">
        <f>I13/140</f>
        <v>7.1428571428571426E-3</v>
      </c>
      <c r="K13" s="13">
        <f>J13/I22*100</f>
        <v>1.277791975466394E-3</v>
      </c>
      <c r="L13" s="32">
        <v>0</v>
      </c>
      <c r="M13" s="13">
        <v>0</v>
      </c>
      <c r="N13" s="13">
        <v>0</v>
      </c>
      <c r="O13" s="32">
        <v>0</v>
      </c>
      <c r="P13" s="13">
        <v>0</v>
      </c>
      <c r="Q13" s="13">
        <v>0</v>
      </c>
      <c r="R13" s="32">
        <v>0</v>
      </c>
      <c r="S13" s="13">
        <v>0</v>
      </c>
      <c r="T13" s="13">
        <v>0</v>
      </c>
      <c r="U13" s="32">
        <v>0</v>
      </c>
      <c r="V13" s="13">
        <v>0</v>
      </c>
      <c r="W13" s="13">
        <v>0</v>
      </c>
      <c r="X13" s="26">
        <f t="shared" si="4"/>
        <v>0</v>
      </c>
      <c r="Y13" s="26">
        <f>1/0.82</f>
        <v>1.2195121951219512</v>
      </c>
      <c r="Z13" s="26">
        <f>1/5.59</f>
        <v>0.17889087656529518</v>
      </c>
      <c r="AA13" s="26">
        <v>0</v>
      </c>
      <c r="AB13" s="26">
        <f>0/0.85</f>
        <v>0</v>
      </c>
      <c r="AC13" s="26">
        <f t="shared" si="1"/>
        <v>0</v>
      </c>
      <c r="AD13" s="26">
        <f t="shared" si="3"/>
        <v>0</v>
      </c>
    </row>
    <row r="14" spans="2:30">
      <c r="B14" s="1" t="s">
        <v>18</v>
      </c>
      <c r="C14" s="1">
        <v>0</v>
      </c>
      <c r="D14" s="13">
        <v>0</v>
      </c>
      <c r="E14" s="13">
        <v>0</v>
      </c>
      <c r="F14" s="32">
        <v>2</v>
      </c>
      <c r="G14" s="13">
        <f>F14/115</f>
        <v>1.7391304347826087E-2</v>
      </c>
      <c r="H14" s="13">
        <f>G14/F22*100</f>
        <v>2.1208907741251327E-2</v>
      </c>
      <c r="I14" s="32">
        <v>0</v>
      </c>
      <c r="J14" s="13">
        <v>0</v>
      </c>
      <c r="K14" s="13">
        <v>0</v>
      </c>
      <c r="L14" s="32">
        <v>0</v>
      </c>
      <c r="M14" s="13">
        <v>0</v>
      </c>
      <c r="N14" s="13">
        <v>0</v>
      </c>
      <c r="O14" s="32">
        <v>0</v>
      </c>
      <c r="P14" s="13">
        <v>0</v>
      </c>
      <c r="Q14" s="13">
        <v>0</v>
      </c>
      <c r="R14" s="32">
        <v>0</v>
      </c>
      <c r="S14" s="13">
        <v>0</v>
      </c>
      <c r="T14" s="13">
        <v>0</v>
      </c>
      <c r="U14" s="32">
        <v>0</v>
      </c>
      <c r="V14" s="13">
        <v>0</v>
      </c>
      <c r="W14" s="13">
        <v>0</v>
      </c>
      <c r="X14" s="26">
        <f t="shared" si="4"/>
        <v>0</v>
      </c>
      <c r="Y14" s="26">
        <f>2/0.82</f>
        <v>2.4390243902439024</v>
      </c>
      <c r="Z14" s="26">
        <f>0/5.59</f>
        <v>0</v>
      </c>
      <c r="AA14" s="26">
        <v>0</v>
      </c>
      <c r="AB14" s="26">
        <f t="shared" ref="AB14:AB15" si="5">0/0.85</f>
        <v>0</v>
      </c>
      <c r="AC14" s="26">
        <f t="shared" si="1"/>
        <v>0</v>
      </c>
      <c r="AD14" s="26">
        <f t="shared" si="3"/>
        <v>0</v>
      </c>
    </row>
    <row r="15" spans="2:30">
      <c r="B15" s="1" t="s">
        <v>19</v>
      </c>
      <c r="C15" s="1">
        <v>0</v>
      </c>
      <c r="D15" s="13">
        <v>0</v>
      </c>
      <c r="E15" s="13">
        <v>0</v>
      </c>
      <c r="F15" s="32">
        <v>0</v>
      </c>
      <c r="G15" s="13">
        <v>0</v>
      </c>
      <c r="H15" s="13">
        <v>0</v>
      </c>
      <c r="I15" s="32">
        <v>0</v>
      </c>
      <c r="J15" s="13">
        <v>0</v>
      </c>
      <c r="K15" s="13">
        <v>0</v>
      </c>
      <c r="L15" s="32">
        <v>0</v>
      </c>
      <c r="M15" s="13">
        <v>0</v>
      </c>
      <c r="N15" s="13">
        <v>0</v>
      </c>
      <c r="O15" s="32">
        <v>0</v>
      </c>
      <c r="P15" s="13">
        <v>0</v>
      </c>
      <c r="Q15" s="13">
        <v>0</v>
      </c>
      <c r="R15" s="32">
        <v>1</v>
      </c>
      <c r="S15" s="13">
        <f>R15/16</f>
        <v>6.25E-2</v>
      </c>
      <c r="T15" s="13">
        <f>S15/R22*100</f>
        <v>9.3283582089552231E-2</v>
      </c>
      <c r="U15" s="32">
        <v>0</v>
      </c>
      <c r="V15" s="13">
        <v>0</v>
      </c>
      <c r="W15" s="13">
        <v>0</v>
      </c>
      <c r="X15" s="26">
        <f>1.04*0</f>
        <v>0</v>
      </c>
      <c r="Y15" s="26">
        <f>0/0.82</f>
        <v>0</v>
      </c>
      <c r="Z15" s="26">
        <f>0/5.59</f>
        <v>0</v>
      </c>
      <c r="AA15" s="26">
        <v>0</v>
      </c>
      <c r="AB15" s="26">
        <f t="shared" si="5"/>
        <v>0</v>
      </c>
      <c r="AC15" s="26">
        <f>1/0.67</f>
        <v>1.4925373134328357</v>
      </c>
      <c r="AD15" s="26">
        <f t="shared" si="3"/>
        <v>0</v>
      </c>
    </row>
    <row r="16" spans="2:30">
      <c r="B16" s="1" t="s">
        <v>20</v>
      </c>
      <c r="C16" s="1">
        <v>1</v>
      </c>
      <c r="D16" s="13">
        <f>C16/451</f>
        <v>2.2172949002217295E-3</v>
      </c>
      <c r="E16" s="13">
        <f>D16/C22*100</f>
        <v>2.1320143271362784E-3</v>
      </c>
      <c r="F16" s="32">
        <v>0</v>
      </c>
      <c r="G16" s="13">
        <v>0</v>
      </c>
      <c r="H16" s="13">
        <v>0</v>
      </c>
      <c r="I16" s="32">
        <v>4</v>
      </c>
      <c r="J16" s="13">
        <f>I16/140</f>
        <v>2.8571428571428571E-2</v>
      </c>
      <c r="K16" s="13">
        <f>J16/I22*100</f>
        <v>5.1111679018655759E-3</v>
      </c>
      <c r="L16" s="32">
        <v>0</v>
      </c>
      <c r="M16" s="13">
        <v>0</v>
      </c>
      <c r="N16" s="13">
        <v>0</v>
      </c>
      <c r="O16" s="32">
        <v>6</v>
      </c>
      <c r="P16" s="13">
        <f>O16/26</f>
        <v>0.23076923076923078</v>
      </c>
      <c r="Q16" s="13">
        <f>P16/O22*100</f>
        <v>0.27149321266968329</v>
      </c>
      <c r="R16" s="32">
        <v>0</v>
      </c>
      <c r="S16" s="13">
        <v>0</v>
      </c>
      <c r="T16" s="13">
        <v>0</v>
      </c>
      <c r="U16" s="32">
        <v>0</v>
      </c>
      <c r="V16" s="13">
        <v>0</v>
      </c>
      <c r="W16" s="13">
        <v>0</v>
      </c>
      <c r="X16" s="26">
        <f>1/1.04</f>
        <v>0.96153846153846145</v>
      </c>
      <c r="Y16" s="26">
        <f t="shared" ref="Y16:Y18" si="6">0/0.82</f>
        <v>0</v>
      </c>
      <c r="Z16" s="26">
        <f>4/5.59</f>
        <v>0.7155635062611807</v>
      </c>
      <c r="AA16" s="26">
        <v>0</v>
      </c>
      <c r="AB16" s="26">
        <f>6/0.85</f>
        <v>7.0588235294117645</v>
      </c>
      <c r="AC16" s="26">
        <f>0/0.67</f>
        <v>0</v>
      </c>
      <c r="AD16" s="26">
        <f t="shared" si="3"/>
        <v>0</v>
      </c>
    </row>
    <row r="17" spans="2:30">
      <c r="B17" s="1" t="s">
        <v>21</v>
      </c>
      <c r="C17" s="1">
        <v>0</v>
      </c>
      <c r="D17" s="13">
        <v>0</v>
      </c>
      <c r="E17" s="13">
        <v>0</v>
      </c>
      <c r="F17" s="32">
        <v>0</v>
      </c>
      <c r="G17" s="13">
        <v>0</v>
      </c>
      <c r="H17" s="13">
        <v>0</v>
      </c>
      <c r="I17" s="32">
        <v>2</v>
      </c>
      <c r="J17" s="13">
        <f>I17/140</f>
        <v>1.4285714285714285E-2</v>
      </c>
      <c r="K17" s="13">
        <f>J17/I22*100</f>
        <v>2.555583950932788E-3</v>
      </c>
      <c r="L17" s="32">
        <v>1</v>
      </c>
      <c r="M17" s="13">
        <f>L17/43</f>
        <v>2.3255813953488372E-2</v>
      </c>
      <c r="N17" s="13">
        <f>M17/L22*100</f>
        <v>2.0048115477145148E-2</v>
      </c>
      <c r="O17" s="32">
        <v>0</v>
      </c>
      <c r="P17" s="13">
        <v>0</v>
      </c>
      <c r="Q17" s="13">
        <v>0</v>
      </c>
      <c r="R17" s="32">
        <v>0</v>
      </c>
      <c r="S17" s="13">
        <v>0</v>
      </c>
      <c r="T17" s="13">
        <v>0</v>
      </c>
      <c r="U17" s="32">
        <v>0</v>
      </c>
      <c r="V17" s="13">
        <v>0</v>
      </c>
      <c r="W17" s="13">
        <v>0</v>
      </c>
      <c r="X17" s="26">
        <f>1.04*0</f>
        <v>0</v>
      </c>
      <c r="Y17" s="26">
        <f t="shared" si="6"/>
        <v>0</v>
      </c>
      <c r="Z17" s="26">
        <f>2/5.59</f>
        <v>0.35778175313059035</v>
      </c>
      <c r="AA17" s="26">
        <f>1/1.16</f>
        <v>0.86206896551724144</v>
      </c>
      <c r="AB17" s="26">
        <f>0/0.85</f>
        <v>0</v>
      </c>
      <c r="AC17" s="26">
        <f t="shared" ref="AC17:AC19" si="7">0/0.67</f>
        <v>0</v>
      </c>
      <c r="AD17" s="26">
        <f t="shared" si="3"/>
        <v>0</v>
      </c>
    </row>
    <row r="18" spans="2:30">
      <c r="B18" s="1" t="s">
        <v>22</v>
      </c>
      <c r="C18" s="1">
        <v>0</v>
      </c>
      <c r="D18" s="13">
        <v>0</v>
      </c>
      <c r="E18" s="13">
        <v>0</v>
      </c>
      <c r="F18" s="32">
        <v>0</v>
      </c>
      <c r="G18" s="13">
        <v>0</v>
      </c>
      <c r="H18" s="13">
        <v>0</v>
      </c>
      <c r="I18" s="32">
        <v>1</v>
      </c>
      <c r="J18" s="13">
        <f>I18/140</f>
        <v>7.1428571428571426E-3</v>
      </c>
      <c r="K18" s="13">
        <f>J18/I22*100</f>
        <v>1.277791975466394E-3</v>
      </c>
      <c r="L18" s="32">
        <v>0</v>
      </c>
      <c r="M18" s="13">
        <v>0</v>
      </c>
      <c r="N18" s="13">
        <v>0</v>
      </c>
      <c r="O18" s="32">
        <v>1</v>
      </c>
      <c r="P18" s="13">
        <f>O18/26</f>
        <v>3.8461538461538464E-2</v>
      </c>
      <c r="Q18" s="13">
        <f>P18/O22*100</f>
        <v>4.5248868778280542E-2</v>
      </c>
      <c r="R18" s="32">
        <v>0</v>
      </c>
      <c r="S18" s="13">
        <v>0</v>
      </c>
      <c r="T18" s="13">
        <v>0</v>
      </c>
      <c r="U18" s="32">
        <v>0</v>
      </c>
      <c r="V18" s="13">
        <v>0</v>
      </c>
      <c r="W18" s="13">
        <v>0</v>
      </c>
      <c r="X18" s="26">
        <f>1.04*0</f>
        <v>0</v>
      </c>
      <c r="Y18" s="26">
        <f t="shared" si="6"/>
        <v>0</v>
      </c>
      <c r="Z18" s="26">
        <f>1/5.59</f>
        <v>0.17889087656529518</v>
      </c>
      <c r="AA18" s="26">
        <f>0/1.16</f>
        <v>0</v>
      </c>
      <c r="AB18" s="26">
        <f>1/0.85</f>
        <v>1.1764705882352942</v>
      </c>
      <c r="AC18" s="26">
        <f t="shared" si="7"/>
        <v>0</v>
      </c>
      <c r="AD18" s="26">
        <f t="shared" si="3"/>
        <v>0</v>
      </c>
    </row>
    <row r="19" spans="2:30">
      <c r="B19" s="1" t="s">
        <v>23</v>
      </c>
      <c r="C19" s="1">
        <v>0</v>
      </c>
      <c r="D19" s="13">
        <v>0</v>
      </c>
      <c r="E19" s="13">
        <v>0</v>
      </c>
      <c r="F19" s="32">
        <v>3</v>
      </c>
      <c r="G19" s="13">
        <f>F19/115</f>
        <v>2.6086956521739129E-2</v>
      </c>
      <c r="H19" s="13">
        <f>G19/F22*100</f>
        <v>3.1813361611876992E-2</v>
      </c>
      <c r="I19" s="32">
        <v>0</v>
      </c>
      <c r="J19" s="13">
        <v>0</v>
      </c>
      <c r="K19" s="13">
        <v>0</v>
      </c>
      <c r="L19" s="32">
        <v>0</v>
      </c>
      <c r="M19" s="13">
        <v>0</v>
      </c>
      <c r="N19" s="13">
        <v>0</v>
      </c>
      <c r="O19" s="32">
        <v>0</v>
      </c>
      <c r="P19" s="13">
        <v>0</v>
      </c>
      <c r="Q19" s="13">
        <v>0</v>
      </c>
      <c r="R19" s="32">
        <v>0</v>
      </c>
      <c r="S19" s="13">
        <v>0</v>
      </c>
      <c r="T19" s="13">
        <v>0</v>
      </c>
      <c r="U19" s="32">
        <v>0</v>
      </c>
      <c r="V19" s="13">
        <v>0</v>
      </c>
      <c r="W19" s="13">
        <v>0</v>
      </c>
      <c r="X19" s="26">
        <f>1.04*0</f>
        <v>0</v>
      </c>
      <c r="Y19" s="26">
        <f>3/0.82</f>
        <v>3.6585365853658538</v>
      </c>
      <c r="Z19" s="26">
        <f>0/5.59</f>
        <v>0</v>
      </c>
      <c r="AA19" s="26">
        <f>0/1.16</f>
        <v>0</v>
      </c>
      <c r="AB19" s="26">
        <f>0/0.85</f>
        <v>0</v>
      </c>
      <c r="AC19" s="26">
        <f t="shared" si="7"/>
        <v>0</v>
      </c>
      <c r="AD19" s="26">
        <f t="shared" si="3"/>
        <v>0</v>
      </c>
    </row>
    <row r="20" spans="2:30">
      <c r="B20" s="1" t="s">
        <v>24</v>
      </c>
      <c r="C20" s="1">
        <v>0</v>
      </c>
      <c r="D20" s="13">
        <v>0</v>
      </c>
      <c r="E20" s="13">
        <v>0</v>
      </c>
      <c r="F20" s="32">
        <v>9</v>
      </c>
      <c r="G20" s="13">
        <f>F20/115</f>
        <v>7.8260869565217397E-2</v>
      </c>
      <c r="H20" s="13">
        <f>G20/F22*100</f>
        <v>9.5440084835630962E-2</v>
      </c>
      <c r="I20" s="32">
        <v>49</v>
      </c>
      <c r="J20" s="13">
        <f>I20/140</f>
        <v>0.35</v>
      </c>
      <c r="K20" s="13">
        <f>J20/I22*100</f>
        <v>6.2611806797853303E-2</v>
      </c>
      <c r="L20" s="32">
        <v>6</v>
      </c>
      <c r="M20" s="13">
        <f>L20/43</f>
        <v>0.13953488372093023</v>
      </c>
      <c r="N20" s="13">
        <f>M20/L22*100</f>
        <v>0.12028869286287089</v>
      </c>
      <c r="O20" s="32">
        <v>10</v>
      </c>
      <c r="P20" s="13">
        <f>O20/26</f>
        <v>0.38461538461538464</v>
      </c>
      <c r="Q20" s="13">
        <f>P20/O22*100</f>
        <v>0.45248868778280549</v>
      </c>
      <c r="R20" s="32">
        <v>3</v>
      </c>
      <c r="S20" s="13">
        <f>R20/16</f>
        <v>0.1875</v>
      </c>
      <c r="T20" s="13">
        <f>S20/R22*100</f>
        <v>0.27985074626865669</v>
      </c>
      <c r="U20" s="32">
        <v>4</v>
      </c>
      <c r="V20" s="13">
        <f>U20/11</f>
        <v>0.36363636363636365</v>
      </c>
      <c r="W20" s="13">
        <f>V20/U22*100</f>
        <v>1.9138755980861244</v>
      </c>
      <c r="X20" s="26">
        <f>1.04*0</f>
        <v>0</v>
      </c>
      <c r="Y20" s="26">
        <f>9/0.82</f>
        <v>10.975609756097562</v>
      </c>
      <c r="Z20" s="26">
        <f>49/5.59</f>
        <v>8.7656529516994635</v>
      </c>
      <c r="AA20" s="26">
        <f>6/1.16</f>
        <v>5.1724137931034484</v>
      </c>
      <c r="AB20" s="26">
        <f>10/0.85</f>
        <v>11.764705882352942</v>
      </c>
      <c r="AC20" s="26">
        <f>3/0.67</f>
        <v>4.4776119402985071</v>
      </c>
      <c r="AD20" s="26">
        <f>4/0.19</f>
        <v>21.05263157894737</v>
      </c>
    </row>
    <row r="21" spans="2:30">
      <c r="B21" s="1" t="s">
        <v>25</v>
      </c>
      <c r="C21" s="1">
        <v>26</v>
      </c>
      <c r="D21" s="13">
        <f>C21/451</f>
        <v>5.7649667405764965E-2</v>
      </c>
      <c r="E21" s="13">
        <f>D21/C22*100</f>
        <v>5.543237250554324E-2</v>
      </c>
      <c r="F21" s="32">
        <v>8</v>
      </c>
      <c r="G21" s="13">
        <f>F21/115</f>
        <v>6.9565217391304349E-2</v>
      </c>
      <c r="H21" s="13">
        <f>G21/F22*100</f>
        <v>8.4835630965005307E-2</v>
      </c>
      <c r="I21" s="32">
        <v>46</v>
      </c>
      <c r="J21" s="13">
        <f>I21/140</f>
        <v>0.32857142857142857</v>
      </c>
      <c r="K21" s="13">
        <f>J21/I22*100</f>
        <v>5.8778430871454131E-2</v>
      </c>
      <c r="L21" s="32">
        <v>27</v>
      </c>
      <c r="M21" s="13">
        <f>L21/43</f>
        <v>0.62790697674418605</v>
      </c>
      <c r="N21" s="13">
        <f>M21/L22*100</f>
        <v>0.54129911788291896</v>
      </c>
      <c r="O21" s="32">
        <v>2</v>
      </c>
      <c r="P21" s="13">
        <f>O21/26</f>
        <v>7.6923076923076927E-2</v>
      </c>
      <c r="Q21" s="13">
        <f>P21/O22*100</f>
        <v>9.0497737556561084E-2</v>
      </c>
      <c r="R21" s="32">
        <v>3</v>
      </c>
      <c r="S21" s="13">
        <f>R21/16</f>
        <v>0.1875</v>
      </c>
      <c r="T21" s="13">
        <f>S21/R22*100</f>
        <v>0.27985074626865669</v>
      </c>
      <c r="U21" s="32">
        <v>1</v>
      </c>
      <c r="V21" s="13">
        <f>U21/11</f>
        <v>9.0909090909090912E-2</v>
      </c>
      <c r="W21" s="13">
        <f>V21/U22*100</f>
        <v>0.4784688995215311</v>
      </c>
      <c r="X21" s="26">
        <f>26/1.04</f>
        <v>25</v>
      </c>
      <c r="Y21" s="26">
        <f>8/0.82</f>
        <v>9.7560975609756095</v>
      </c>
      <c r="Z21" s="26">
        <f>46/5.59</f>
        <v>8.2289803220035775</v>
      </c>
      <c r="AA21" s="26">
        <f>27/1.16</f>
        <v>23.27586206896552</v>
      </c>
      <c r="AB21" s="26">
        <f>2/0.85</f>
        <v>2.3529411764705883</v>
      </c>
      <c r="AC21" s="26">
        <f>3/0.67</f>
        <v>4.4776119402985071</v>
      </c>
      <c r="AD21" s="26">
        <f>1/0.19</f>
        <v>5.2631578947368425</v>
      </c>
    </row>
    <row r="22" spans="2:30">
      <c r="B22" s="1" t="s">
        <v>26</v>
      </c>
      <c r="C22" s="1">
        <f t="shared" ref="C22:U22" si="8">SUM(C4:C21)</f>
        <v>104</v>
      </c>
      <c r="D22" s="13">
        <f>C22/451</f>
        <v>0.23059866962305986</v>
      </c>
      <c r="E22" s="13">
        <f>D22/C24*100</f>
        <v>2.2344832327815877E-2</v>
      </c>
      <c r="F22" s="32">
        <f t="shared" si="8"/>
        <v>82</v>
      </c>
      <c r="G22" s="13">
        <f>F22/115</f>
        <v>0.71304347826086956</v>
      </c>
      <c r="H22" s="13">
        <f>G22/C24*100</f>
        <v>6.9093360296595893E-2</v>
      </c>
      <c r="I22" s="32">
        <f t="shared" si="8"/>
        <v>559</v>
      </c>
      <c r="J22" s="13">
        <f>I22/140</f>
        <v>3.9928571428571429</v>
      </c>
      <c r="K22" s="13">
        <f>J22/C24*100</f>
        <v>0.38690476190476192</v>
      </c>
      <c r="L22" s="32">
        <f t="shared" si="8"/>
        <v>116</v>
      </c>
      <c r="M22" s="13">
        <f>L22/43</f>
        <v>2.6976744186046511</v>
      </c>
      <c r="N22" s="13">
        <f>M22/C24*100</f>
        <v>0.26140255994231115</v>
      </c>
      <c r="O22" s="32">
        <f t="shared" si="8"/>
        <v>85</v>
      </c>
      <c r="P22" s="13">
        <f>O22/26</f>
        <v>3.2692307692307692</v>
      </c>
      <c r="Q22" s="13">
        <f>P22/C24*100</f>
        <v>0.31678592725104349</v>
      </c>
      <c r="R22" s="32">
        <f t="shared" si="8"/>
        <v>67</v>
      </c>
      <c r="S22" s="13">
        <f>R22/16</f>
        <v>4.1875</v>
      </c>
      <c r="T22" s="13">
        <f>S22/C24*100</f>
        <v>0.40576550387596899</v>
      </c>
      <c r="U22" s="32">
        <f t="shared" si="8"/>
        <v>19</v>
      </c>
      <c r="V22" s="13">
        <f>U22/11</f>
        <v>1.7272727272727273</v>
      </c>
      <c r="W22" s="13">
        <f>V22/C24*100</f>
        <v>0.16737138830162085</v>
      </c>
      <c r="X22" s="26">
        <f t="shared" ref="X22:AD22" si="9">SUM(X4:X21)</f>
        <v>100.00000000000001</v>
      </c>
      <c r="Y22" s="26">
        <f t="shared" si="9"/>
        <v>100</v>
      </c>
      <c r="Z22" s="26">
        <f t="shared" si="9"/>
        <v>99.999999999999986</v>
      </c>
      <c r="AA22" s="26">
        <f t="shared" si="9"/>
        <v>100</v>
      </c>
      <c r="AB22" s="26">
        <f t="shared" si="9"/>
        <v>100</v>
      </c>
      <c r="AC22" s="26">
        <f t="shared" si="9"/>
        <v>99.999999999999986</v>
      </c>
      <c r="AD22" s="26">
        <f t="shared" si="9"/>
        <v>100</v>
      </c>
    </row>
    <row r="24" spans="2:30">
      <c r="B24" s="27" t="s">
        <v>60</v>
      </c>
      <c r="C24" s="27">
        <f>C22+F22+I22+L22+O22+R22+U22</f>
        <v>1032</v>
      </c>
    </row>
    <row r="26" spans="2:30" ht="15.75">
      <c r="B26" s="36" t="s">
        <v>28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7"/>
      <c r="W26" s="37"/>
      <c r="X26" s="37"/>
      <c r="Y26" s="37"/>
      <c r="Z26" s="37"/>
      <c r="AA26" s="37"/>
      <c r="AB26" s="37"/>
      <c r="AC26" s="37"/>
      <c r="AD26" s="37"/>
    </row>
    <row r="27" spans="2:30">
      <c r="B27" s="5" t="s">
        <v>0</v>
      </c>
      <c r="C27" s="5" t="s">
        <v>1</v>
      </c>
      <c r="D27" s="6" t="s">
        <v>34</v>
      </c>
      <c r="E27" s="7" t="s">
        <v>35</v>
      </c>
      <c r="F27" s="5" t="s">
        <v>2</v>
      </c>
      <c r="G27" s="6" t="s">
        <v>34</v>
      </c>
      <c r="H27" s="7" t="s">
        <v>35</v>
      </c>
      <c r="I27" s="5" t="s">
        <v>3</v>
      </c>
      <c r="J27" s="6" t="s">
        <v>34</v>
      </c>
      <c r="K27" s="7" t="s">
        <v>35</v>
      </c>
      <c r="L27" s="5" t="s">
        <v>4</v>
      </c>
      <c r="M27" s="6" t="s">
        <v>34</v>
      </c>
      <c r="N27" s="14" t="s">
        <v>35</v>
      </c>
      <c r="O27" s="5" t="s">
        <v>5</v>
      </c>
      <c r="P27" s="6" t="s">
        <v>34</v>
      </c>
      <c r="Q27" s="7" t="s">
        <v>35</v>
      </c>
      <c r="R27" s="5" t="s">
        <v>6</v>
      </c>
      <c r="S27" s="6" t="s">
        <v>34</v>
      </c>
      <c r="T27" s="7" t="s">
        <v>35</v>
      </c>
      <c r="U27" s="5" t="s">
        <v>7</v>
      </c>
      <c r="V27" s="6" t="s">
        <v>34</v>
      </c>
      <c r="W27" s="7" t="s">
        <v>35</v>
      </c>
      <c r="X27" s="7" t="s">
        <v>46</v>
      </c>
      <c r="Y27" s="7" t="s">
        <v>47</v>
      </c>
      <c r="Z27" s="7" t="s">
        <v>48</v>
      </c>
      <c r="AA27" s="7" t="s">
        <v>49</v>
      </c>
      <c r="AB27" s="7" t="s">
        <v>50</v>
      </c>
      <c r="AC27" s="7" t="s">
        <v>51</v>
      </c>
      <c r="AD27" s="7" t="s">
        <v>52</v>
      </c>
    </row>
    <row r="28" spans="2:30">
      <c r="B28" s="1" t="s">
        <v>8</v>
      </c>
      <c r="C28" s="1">
        <v>0</v>
      </c>
      <c r="D28" s="12">
        <v>0</v>
      </c>
      <c r="E28" s="12">
        <v>0</v>
      </c>
      <c r="F28" s="1">
        <v>0</v>
      </c>
      <c r="G28" s="13">
        <v>0</v>
      </c>
      <c r="H28" s="13">
        <v>0</v>
      </c>
      <c r="I28" s="1">
        <v>0</v>
      </c>
      <c r="J28" s="13">
        <v>0</v>
      </c>
      <c r="K28" s="13">
        <v>0</v>
      </c>
      <c r="L28" s="1">
        <v>0</v>
      </c>
      <c r="M28" s="13">
        <v>0</v>
      </c>
      <c r="N28" s="13">
        <v>0</v>
      </c>
      <c r="O28" s="1">
        <v>0</v>
      </c>
      <c r="P28" s="13">
        <v>0</v>
      </c>
      <c r="Q28" s="13">
        <v>0</v>
      </c>
      <c r="R28" s="1">
        <v>0</v>
      </c>
      <c r="S28" s="13">
        <v>0</v>
      </c>
      <c r="T28" s="13">
        <v>0</v>
      </c>
      <c r="U28" s="1">
        <v>0</v>
      </c>
      <c r="V28" s="13">
        <v>0</v>
      </c>
      <c r="W28" s="13">
        <v>0</v>
      </c>
      <c r="X28" s="26">
        <f>0</f>
        <v>0</v>
      </c>
      <c r="Y28" s="26">
        <f>0</f>
        <v>0</v>
      </c>
      <c r="Z28" s="26">
        <f>0</f>
        <v>0</v>
      </c>
      <c r="AA28" s="26">
        <f>0</f>
        <v>0</v>
      </c>
      <c r="AB28" s="26">
        <f>0</f>
        <v>0</v>
      </c>
      <c r="AC28" s="26">
        <f>0</f>
        <v>0</v>
      </c>
      <c r="AD28" s="26">
        <f>0</f>
        <v>0</v>
      </c>
    </row>
    <row r="29" spans="2:30">
      <c r="B29" s="1" t="s">
        <v>9</v>
      </c>
      <c r="C29" s="1">
        <v>0</v>
      </c>
      <c r="D29" s="12">
        <v>0</v>
      </c>
      <c r="E29" s="12">
        <v>0</v>
      </c>
      <c r="F29" s="1">
        <v>2</v>
      </c>
      <c r="G29" s="13">
        <f>F29/115</f>
        <v>1.7391304347826087E-2</v>
      </c>
      <c r="H29" s="13">
        <f>G29/F46*100</f>
        <v>0.28985507246376813</v>
      </c>
      <c r="I29" s="1">
        <v>0</v>
      </c>
      <c r="J29" s="13">
        <v>0</v>
      </c>
      <c r="K29" s="13">
        <v>0</v>
      </c>
      <c r="L29" s="1">
        <v>0</v>
      </c>
      <c r="M29" s="13">
        <v>0</v>
      </c>
      <c r="N29" s="13">
        <v>0</v>
      </c>
      <c r="O29" s="1">
        <v>0</v>
      </c>
      <c r="P29" s="13">
        <v>0</v>
      </c>
      <c r="Q29" s="13">
        <v>0</v>
      </c>
      <c r="R29" s="1">
        <v>0</v>
      </c>
      <c r="S29" s="13">
        <v>0</v>
      </c>
      <c r="T29" s="13">
        <v>0</v>
      </c>
      <c r="U29" s="1">
        <v>0</v>
      </c>
      <c r="V29" s="13">
        <v>0</v>
      </c>
      <c r="W29" s="13">
        <v>0</v>
      </c>
      <c r="X29" s="26">
        <f>0</f>
        <v>0</v>
      </c>
      <c r="Y29" s="26">
        <f>2/0.06</f>
        <v>33.333333333333336</v>
      </c>
      <c r="Z29" s="26">
        <f>0/0.27</f>
        <v>0</v>
      </c>
      <c r="AA29" s="26">
        <f t="shared" ref="AA29:AD29" si="10">0/0.27</f>
        <v>0</v>
      </c>
      <c r="AB29" s="26">
        <f t="shared" si="10"/>
        <v>0</v>
      </c>
      <c r="AC29" s="26">
        <f t="shared" si="10"/>
        <v>0</v>
      </c>
      <c r="AD29" s="26">
        <f t="shared" si="10"/>
        <v>0</v>
      </c>
    </row>
    <row r="30" spans="2:30">
      <c r="B30" s="1" t="s">
        <v>10</v>
      </c>
      <c r="C30" s="1">
        <v>0</v>
      </c>
      <c r="D30" s="12">
        <v>0</v>
      </c>
      <c r="E30" s="12">
        <v>0</v>
      </c>
      <c r="F30" s="1">
        <v>0</v>
      </c>
      <c r="G30" s="13">
        <v>0</v>
      </c>
      <c r="H30" s="13">
        <v>0</v>
      </c>
      <c r="I30" s="1">
        <v>0</v>
      </c>
      <c r="J30" s="13">
        <v>0</v>
      </c>
      <c r="K30" s="13">
        <v>0</v>
      </c>
      <c r="L30" s="1">
        <v>0</v>
      </c>
      <c r="M30" s="13">
        <v>0</v>
      </c>
      <c r="N30" s="13">
        <v>0</v>
      </c>
      <c r="O30" s="1">
        <v>3</v>
      </c>
      <c r="P30" s="13">
        <f>O30/26</f>
        <v>0.11538461538461539</v>
      </c>
      <c r="Q30" s="13">
        <f>P30/O46*100</f>
        <v>2.3076923076923079</v>
      </c>
      <c r="R30" s="1">
        <v>3</v>
      </c>
      <c r="S30" s="13">
        <f>R30/16</f>
        <v>0.1875</v>
      </c>
      <c r="T30" s="13">
        <f>S30/R46*100</f>
        <v>3.75</v>
      </c>
      <c r="U30" s="1">
        <v>1</v>
      </c>
      <c r="V30" s="13">
        <f>U30/11</f>
        <v>9.0909090909090912E-2</v>
      </c>
      <c r="W30" s="13">
        <f>V30/U46*100</f>
        <v>9.0909090909090917</v>
      </c>
      <c r="X30" s="26">
        <f>0</f>
        <v>0</v>
      </c>
      <c r="Y30" s="26">
        <f>0/0.06</f>
        <v>0</v>
      </c>
      <c r="Z30" s="26">
        <f t="shared" ref="Z30:AA30" si="11">0/0.06</f>
        <v>0</v>
      </c>
      <c r="AA30" s="26">
        <f t="shared" si="11"/>
        <v>0</v>
      </c>
      <c r="AB30" s="26">
        <f>3/0.05</f>
        <v>60</v>
      </c>
      <c r="AC30" s="26">
        <f>3/0.05</f>
        <v>60</v>
      </c>
      <c r="AD30" s="26">
        <f>1/0.01</f>
        <v>100</v>
      </c>
    </row>
    <row r="31" spans="2:30">
      <c r="B31" s="1" t="s">
        <v>11</v>
      </c>
      <c r="C31" s="1">
        <v>0</v>
      </c>
      <c r="D31" s="12">
        <v>0</v>
      </c>
      <c r="E31" s="12">
        <v>0</v>
      </c>
      <c r="F31" s="1">
        <v>2</v>
      </c>
      <c r="G31" s="13">
        <f>F31/115</f>
        <v>1.7391304347826087E-2</v>
      </c>
      <c r="H31" s="13">
        <f>G31/F46*100</f>
        <v>0.28985507246376813</v>
      </c>
      <c r="I31" s="1">
        <v>10</v>
      </c>
      <c r="J31" s="13">
        <f>I31/140</f>
        <v>7.1428571428571425E-2</v>
      </c>
      <c r="K31" s="13">
        <f>J31/I46*100</f>
        <v>0.26455026455026454</v>
      </c>
      <c r="L31" s="1">
        <v>3</v>
      </c>
      <c r="M31" s="13">
        <f>L31/43</f>
        <v>6.9767441860465115E-2</v>
      </c>
      <c r="N31" s="13">
        <f>M31/L46*100</f>
        <v>2.3255813953488373</v>
      </c>
      <c r="O31" s="1">
        <v>0</v>
      </c>
      <c r="P31" s="13">
        <v>0</v>
      </c>
      <c r="Q31" s="13">
        <v>0</v>
      </c>
      <c r="R31" s="1">
        <v>0</v>
      </c>
      <c r="S31" s="13">
        <v>0</v>
      </c>
      <c r="T31" s="13">
        <v>0</v>
      </c>
      <c r="U31" s="1">
        <v>0</v>
      </c>
      <c r="V31" s="13">
        <v>0</v>
      </c>
      <c r="W31" s="13">
        <v>0</v>
      </c>
      <c r="X31" s="26">
        <f>0</f>
        <v>0</v>
      </c>
      <c r="Y31" s="26">
        <f>2/0.06</f>
        <v>33.333333333333336</v>
      </c>
      <c r="Z31" s="26">
        <f>10/0.27</f>
        <v>37.037037037037038</v>
      </c>
      <c r="AA31" s="26">
        <f>3/0.03</f>
        <v>100</v>
      </c>
      <c r="AB31" s="26">
        <f>0/0.05</f>
        <v>0</v>
      </c>
      <c r="AC31" s="26">
        <f>0/0.05</f>
        <v>0</v>
      </c>
      <c r="AD31" s="26">
        <f>0/0.01</f>
        <v>0</v>
      </c>
    </row>
    <row r="32" spans="2:30">
      <c r="B32" s="1" t="s">
        <v>12</v>
      </c>
      <c r="C32" s="1">
        <v>0</v>
      </c>
      <c r="D32" s="12">
        <v>0</v>
      </c>
      <c r="E32" s="12">
        <v>0</v>
      </c>
      <c r="F32" s="1">
        <v>0</v>
      </c>
      <c r="G32" s="13">
        <v>0</v>
      </c>
      <c r="H32" s="13">
        <v>0</v>
      </c>
      <c r="I32" s="1">
        <v>0</v>
      </c>
      <c r="J32" s="13">
        <v>0</v>
      </c>
      <c r="K32" s="13">
        <v>0</v>
      </c>
      <c r="L32" s="1">
        <v>0</v>
      </c>
      <c r="M32" s="13">
        <v>0</v>
      </c>
      <c r="N32" s="13">
        <v>0</v>
      </c>
      <c r="O32" s="1">
        <v>0</v>
      </c>
      <c r="P32" s="13">
        <v>0</v>
      </c>
      <c r="Q32" s="13">
        <v>0</v>
      </c>
      <c r="R32" s="1">
        <v>0</v>
      </c>
      <c r="S32" s="13">
        <v>0</v>
      </c>
      <c r="T32" s="13">
        <v>0</v>
      </c>
      <c r="U32" s="1">
        <v>0</v>
      </c>
      <c r="V32" s="13">
        <v>0</v>
      </c>
      <c r="W32" s="13">
        <v>0</v>
      </c>
      <c r="X32" s="26">
        <f>0</f>
        <v>0</v>
      </c>
      <c r="Y32" s="26">
        <f>0/0.06</f>
        <v>0</v>
      </c>
      <c r="Z32" s="26">
        <f>0/0.27</f>
        <v>0</v>
      </c>
      <c r="AA32" s="26">
        <f>0/0.03</f>
        <v>0</v>
      </c>
      <c r="AB32" s="26">
        <f>0/0.05</f>
        <v>0</v>
      </c>
      <c r="AC32" s="26">
        <f t="shared" ref="AC32:AC43" si="12">0/0.05</f>
        <v>0</v>
      </c>
      <c r="AD32" s="26">
        <f t="shared" ref="AD32:AD45" si="13">0/0.01</f>
        <v>0</v>
      </c>
    </row>
    <row r="33" spans="2:30">
      <c r="B33" s="1" t="s">
        <v>13</v>
      </c>
      <c r="C33" s="1">
        <v>0</v>
      </c>
      <c r="D33" s="12">
        <v>0</v>
      </c>
      <c r="E33" s="12">
        <v>0</v>
      </c>
      <c r="F33" s="1">
        <v>0</v>
      </c>
      <c r="G33" s="13">
        <v>0</v>
      </c>
      <c r="H33" s="13">
        <v>0</v>
      </c>
      <c r="I33" s="1">
        <v>0</v>
      </c>
      <c r="J33" s="13">
        <v>0</v>
      </c>
      <c r="K33" s="13">
        <v>0</v>
      </c>
      <c r="L33" s="1">
        <v>0</v>
      </c>
      <c r="M33" s="13">
        <v>0</v>
      </c>
      <c r="N33" s="13">
        <v>0</v>
      </c>
      <c r="O33" s="1">
        <v>1</v>
      </c>
      <c r="P33" s="13">
        <f>O33/26</f>
        <v>3.8461538461538464E-2</v>
      </c>
      <c r="Q33" s="13">
        <f>P33/O46*100</f>
        <v>0.76923076923076927</v>
      </c>
      <c r="R33" s="1">
        <v>0</v>
      </c>
      <c r="S33" s="13">
        <v>0</v>
      </c>
      <c r="T33" s="13">
        <v>0</v>
      </c>
      <c r="U33" s="1">
        <v>0</v>
      </c>
      <c r="V33" s="13">
        <v>0</v>
      </c>
      <c r="W33" s="13">
        <v>0</v>
      </c>
      <c r="X33" s="26">
        <f>0</f>
        <v>0</v>
      </c>
      <c r="Y33" s="26">
        <f>0</f>
        <v>0</v>
      </c>
      <c r="Z33" s="26">
        <f>0</f>
        <v>0</v>
      </c>
      <c r="AA33" s="26">
        <f>0</f>
        <v>0</v>
      </c>
      <c r="AB33" s="26">
        <f>1/0.05</f>
        <v>20</v>
      </c>
      <c r="AC33" s="26">
        <f t="shared" si="12"/>
        <v>0</v>
      </c>
      <c r="AD33" s="26">
        <f t="shared" si="13"/>
        <v>0</v>
      </c>
    </row>
    <row r="34" spans="2:30">
      <c r="B34" s="1" t="s">
        <v>14</v>
      </c>
      <c r="C34" s="1">
        <v>0</v>
      </c>
      <c r="D34" s="12">
        <v>0</v>
      </c>
      <c r="E34" s="12">
        <v>0</v>
      </c>
      <c r="F34" s="1">
        <v>0</v>
      </c>
      <c r="G34" s="13">
        <v>0</v>
      </c>
      <c r="H34" s="13">
        <v>0</v>
      </c>
      <c r="I34" s="1">
        <v>7</v>
      </c>
      <c r="J34" s="13">
        <f>I34/140</f>
        <v>0.05</v>
      </c>
      <c r="K34" s="13">
        <f>J34/I46*100</f>
        <v>0.1851851851851852</v>
      </c>
      <c r="L34" s="1">
        <v>0</v>
      </c>
      <c r="M34" s="13">
        <v>0</v>
      </c>
      <c r="N34" s="13">
        <v>0</v>
      </c>
      <c r="O34" s="1">
        <v>0</v>
      </c>
      <c r="P34" s="13">
        <v>0</v>
      </c>
      <c r="Q34" s="13">
        <v>0</v>
      </c>
      <c r="R34" s="1">
        <v>0</v>
      </c>
      <c r="S34" s="13">
        <v>0</v>
      </c>
      <c r="T34" s="13">
        <v>0</v>
      </c>
      <c r="U34" s="1">
        <v>0</v>
      </c>
      <c r="V34" s="13">
        <v>0</v>
      </c>
      <c r="W34" s="13">
        <v>0</v>
      </c>
      <c r="X34" s="26">
        <f>0</f>
        <v>0</v>
      </c>
      <c r="Y34" s="26">
        <f>0</f>
        <v>0</v>
      </c>
      <c r="Z34" s="26">
        <f>7/0.27</f>
        <v>25.925925925925924</v>
      </c>
      <c r="AA34" s="26">
        <f>0</f>
        <v>0</v>
      </c>
      <c r="AB34" s="26">
        <f>0/0.05</f>
        <v>0</v>
      </c>
      <c r="AC34" s="26">
        <f t="shared" si="12"/>
        <v>0</v>
      </c>
      <c r="AD34" s="26">
        <f t="shared" si="13"/>
        <v>0</v>
      </c>
    </row>
    <row r="35" spans="2:30">
      <c r="B35" s="1" t="s">
        <v>15</v>
      </c>
      <c r="C35" s="1">
        <v>0</v>
      </c>
      <c r="D35" s="12">
        <v>0</v>
      </c>
      <c r="E35" s="12">
        <v>0</v>
      </c>
      <c r="F35" s="1">
        <v>0</v>
      </c>
      <c r="G35" s="13">
        <v>0</v>
      </c>
      <c r="H35" s="13">
        <v>0</v>
      </c>
      <c r="I35" s="1">
        <v>2</v>
      </c>
      <c r="J35" s="13">
        <f>I35/140</f>
        <v>1.4285714285714285E-2</v>
      </c>
      <c r="K35" s="13">
        <f>J35/I46*100</f>
        <v>5.2910052910052914E-2</v>
      </c>
      <c r="L35" s="1">
        <v>0</v>
      </c>
      <c r="M35" s="13">
        <v>0</v>
      </c>
      <c r="N35" s="13">
        <v>0</v>
      </c>
      <c r="O35" s="1">
        <v>0</v>
      </c>
      <c r="P35" s="13">
        <v>0</v>
      </c>
      <c r="Q35" s="13">
        <v>0</v>
      </c>
      <c r="R35" s="1">
        <v>0</v>
      </c>
      <c r="S35" s="13">
        <v>0</v>
      </c>
      <c r="T35" s="13">
        <v>0</v>
      </c>
      <c r="U35" s="1">
        <v>0</v>
      </c>
      <c r="V35" s="13">
        <v>0</v>
      </c>
      <c r="W35" s="13">
        <v>0</v>
      </c>
      <c r="X35" s="26">
        <f>0</f>
        <v>0</v>
      </c>
      <c r="Y35" s="26">
        <f>0</f>
        <v>0</v>
      </c>
      <c r="Z35" s="26">
        <f>2/0.27</f>
        <v>7.4074074074074066</v>
      </c>
      <c r="AA35" s="26">
        <f>0</f>
        <v>0</v>
      </c>
      <c r="AB35" s="26">
        <f t="shared" ref="AB35:AB43" si="14">0/0.05</f>
        <v>0</v>
      </c>
      <c r="AC35" s="26">
        <f t="shared" si="12"/>
        <v>0</v>
      </c>
      <c r="AD35" s="26">
        <f t="shared" si="13"/>
        <v>0</v>
      </c>
    </row>
    <row r="36" spans="2:30">
      <c r="B36" s="1" t="s">
        <v>16</v>
      </c>
      <c r="C36" s="1">
        <v>0</v>
      </c>
      <c r="D36" s="12">
        <v>0</v>
      </c>
      <c r="E36" s="12">
        <v>0</v>
      </c>
      <c r="F36" s="1">
        <v>1</v>
      </c>
      <c r="G36" s="13">
        <f>F36/115</f>
        <v>8.6956521739130436E-3</v>
      </c>
      <c r="H36" s="13">
        <f>G36/F46*100</f>
        <v>0.14492753623188406</v>
      </c>
      <c r="I36" s="1">
        <v>2</v>
      </c>
      <c r="J36" s="13">
        <f>I36/140</f>
        <v>1.4285714285714285E-2</v>
      </c>
      <c r="K36" s="13">
        <f>J36/I46*100</f>
        <v>5.2910052910052914E-2</v>
      </c>
      <c r="L36" s="1">
        <v>0</v>
      </c>
      <c r="M36" s="13">
        <v>0</v>
      </c>
      <c r="N36" s="13">
        <v>0</v>
      </c>
      <c r="O36" s="1">
        <v>0</v>
      </c>
      <c r="P36" s="13">
        <v>0</v>
      </c>
      <c r="Q36" s="13">
        <v>0</v>
      </c>
      <c r="R36" s="1">
        <v>0</v>
      </c>
      <c r="S36" s="13">
        <v>0</v>
      </c>
      <c r="T36" s="13">
        <v>0</v>
      </c>
      <c r="U36" s="1">
        <v>0</v>
      </c>
      <c r="V36" s="13">
        <v>0</v>
      </c>
      <c r="W36" s="13">
        <v>0</v>
      </c>
      <c r="X36" s="26">
        <f>0</f>
        <v>0</v>
      </c>
      <c r="Y36" s="26">
        <f>1/0.06</f>
        <v>16.666666666666668</v>
      </c>
      <c r="Z36" s="26">
        <f>2/0.27</f>
        <v>7.4074074074074066</v>
      </c>
      <c r="AA36" s="26">
        <f>0</f>
        <v>0</v>
      </c>
      <c r="AB36" s="26">
        <f t="shared" si="14"/>
        <v>0</v>
      </c>
      <c r="AC36" s="26">
        <f t="shared" si="12"/>
        <v>0</v>
      </c>
      <c r="AD36" s="26">
        <f t="shared" si="13"/>
        <v>0</v>
      </c>
    </row>
    <row r="37" spans="2:30">
      <c r="B37" s="1" t="s">
        <v>17</v>
      </c>
      <c r="C37" s="1">
        <v>0</v>
      </c>
      <c r="D37" s="12">
        <v>0</v>
      </c>
      <c r="E37" s="12">
        <v>0</v>
      </c>
      <c r="F37" s="1">
        <v>0</v>
      </c>
      <c r="G37" s="13">
        <v>0</v>
      </c>
      <c r="H37" s="13">
        <v>0</v>
      </c>
      <c r="I37" s="1">
        <v>0</v>
      </c>
      <c r="J37" s="13">
        <v>0</v>
      </c>
      <c r="K37" s="13">
        <v>0</v>
      </c>
      <c r="L37" s="1">
        <v>0</v>
      </c>
      <c r="M37" s="13">
        <v>0</v>
      </c>
      <c r="N37" s="13">
        <v>0</v>
      </c>
      <c r="O37" s="1">
        <v>0</v>
      </c>
      <c r="P37" s="13">
        <v>0</v>
      </c>
      <c r="Q37" s="13">
        <v>0</v>
      </c>
      <c r="R37" s="1">
        <v>0</v>
      </c>
      <c r="S37" s="13">
        <v>0</v>
      </c>
      <c r="T37" s="13">
        <v>0</v>
      </c>
      <c r="U37" s="1">
        <v>0</v>
      </c>
      <c r="V37" s="13">
        <v>0</v>
      </c>
      <c r="W37" s="13">
        <v>0</v>
      </c>
      <c r="X37" s="26">
        <f>0</f>
        <v>0</v>
      </c>
      <c r="Y37" s="26">
        <f>0/0.06</f>
        <v>0</v>
      </c>
      <c r="Z37" s="26">
        <f>0/0.27</f>
        <v>0</v>
      </c>
      <c r="AA37" s="26">
        <f>0</f>
        <v>0</v>
      </c>
      <c r="AB37" s="26">
        <f t="shared" si="14"/>
        <v>0</v>
      </c>
      <c r="AC37" s="26">
        <f t="shared" si="12"/>
        <v>0</v>
      </c>
      <c r="AD37" s="26">
        <f t="shared" si="13"/>
        <v>0</v>
      </c>
    </row>
    <row r="38" spans="2:30">
      <c r="B38" s="1" t="s">
        <v>18</v>
      </c>
      <c r="C38" s="1">
        <v>0</v>
      </c>
      <c r="D38" s="12">
        <v>0</v>
      </c>
      <c r="E38" s="12">
        <v>0</v>
      </c>
      <c r="F38" s="1">
        <v>0</v>
      </c>
      <c r="G38" s="13">
        <v>0</v>
      </c>
      <c r="H38" s="13">
        <v>0</v>
      </c>
      <c r="I38" s="1">
        <v>0</v>
      </c>
      <c r="J38" s="13">
        <v>0</v>
      </c>
      <c r="K38" s="13">
        <v>0</v>
      </c>
      <c r="L38" s="1">
        <v>0</v>
      </c>
      <c r="M38" s="13">
        <v>0</v>
      </c>
      <c r="N38" s="13">
        <v>0</v>
      </c>
      <c r="O38" s="1">
        <v>0</v>
      </c>
      <c r="P38" s="13">
        <v>0</v>
      </c>
      <c r="Q38" s="13">
        <v>0</v>
      </c>
      <c r="R38" s="1">
        <v>0</v>
      </c>
      <c r="S38" s="13">
        <v>0</v>
      </c>
      <c r="T38" s="13">
        <v>0</v>
      </c>
      <c r="U38" s="1">
        <v>0</v>
      </c>
      <c r="V38" s="13">
        <v>0</v>
      </c>
      <c r="W38" s="13">
        <v>0</v>
      </c>
      <c r="X38" s="26">
        <f>0</f>
        <v>0</v>
      </c>
      <c r="Y38" s="26">
        <f t="shared" ref="Y38:Y44" si="15">0/0.06</f>
        <v>0</v>
      </c>
      <c r="Z38" s="26">
        <f t="shared" ref="Z38:Z40" si="16">0/0.27</f>
        <v>0</v>
      </c>
      <c r="AA38" s="26">
        <f>0</f>
        <v>0</v>
      </c>
      <c r="AB38" s="26">
        <f t="shared" si="14"/>
        <v>0</v>
      </c>
      <c r="AC38" s="26">
        <f t="shared" si="12"/>
        <v>0</v>
      </c>
      <c r="AD38" s="26">
        <f t="shared" si="13"/>
        <v>0</v>
      </c>
    </row>
    <row r="39" spans="2:30">
      <c r="B39" s="1" t="s">
        <v>19</v>
      </c>
      <c r="C39" s="1">
        <v>0</v>
      </c>
      <c r="D39" s="12">
        <v>0</v>
      </c>
      <c r="E39" s="12">
        <v>0</v>
      </c>
      <c r="F39" s="1">
        <v>0</v>
      </c>
      <c r="G39" s="13">
        <v>0</v>
      </c>
      <c r="H39" s="13">
        <v>0</v>
      </c>
      <c r="I39" s="1">
        <v>0</v>
      </c>
      <c r="J39" s="13">
        <v>0</v>
      </c>
      <c r="K39" s="13">
        <v>0</v>
      </c>
      <c r="L39" s="1">
        <v>0</v>
      </c>
      <c r="M39" s="13">
        <v>0</v>
      </c>
      <c r="N39" s="13">
        <v>0</v>
      </c>
      <c r="O39" s="1">
        <v>0</v>
      </c>
      <c r="P39" s="13">
        <v>0</v>
      </c>
      <c r="Q39" s="13">
        <v>0</v>
      </c>
      <c r="R39" s="1">
        <v>0</v>
      </c>
      <c r="S39" s="13">
        <v>0</v>
      </c>
      <c r="T39" s="13">
        <v>0</v>
      </c>
      <c r="U39" s="1">
        <v>0</v>
      </c>
      <c r="V39" s="13">
        <v>0</v>
      </c>
      <c r="W39" s="13">
        <v>0</v>
      </c>
      <c r="X39" s="26">
        <f>0</f>
        <v>0</v>
      </c>
      <c r="Y39" s="26">
        <f t="shared" si="15"/>
        <v>0</v>
      </c>
      <c r="Z39" s="26">
        <f t="shared" si="16"/>
        <v>0</v>
      </c>
      <c r="AA39" s="26">
        <f>0</f>
        <v>0</v>
      </c>
      <c r="AB39" s="26">
        <f t="shared" si="14"/>
        <v>0</v>
      </c>
      <c r="AC39" s="26">
        <f t="shared" si="12"/>
        <v>0</v>
      </c>
      <c r="AD39" s="26">
        <f t="shared" si="13"/>
        <v>0</v>
      </c>
    </row>
    <row r="40" spans="2:30">
      <c r="B40" s="1" t="s">
        <v>20</v>
      </c>
      <c r="C40" s="1">
        <v>0</v>
      </c>
      <c r="D40" s="12">
        <v>0</v>
      </c>
      <c r="E40" s="12">
        <v>0</v>
      </c>
      <c r="F40" s="1">
        <v>0</v>
      </c>
      <c r="G40" s="13">
        <v>0</v>
      </c>
      <c r="H40" s="13">
        <v>0</v>
      </c>
      <c r="I40" s="1">
        <v>0</v>
      </c>
      <c r="J40" s="13">
        <v>0</v>
      </c>
      <c r="K40" s="13">
        <v>0</v>
      </c>
      <c r="L40" s="1">
        <v>0</v>
      </c>
      <c r="M40" s="13">
        <v>0</v>
      </c>
      <c r="N40" s="13">
        <v>0</v>
      </c>
      <c r="O40" s="1">
        <v>0</v>
      </c>
      <c r="P40" s="13">
        <v>0</v>
      </c>
      <c r="Q40" s="13">
        <v>0</v>
      </c>
      <c r="R40" s="1">
        <v>0</v>
      </c>
      <c r="S40" s="13">
        <v>0</v>
      </c>
      <c r="T40" s="13">
        <v>0</v>
      </c>
      <c r="U40" s="1">
        <v>0</v>
      </c>
      <c r="V40" s="13">
        <v>0</v>
      </c>
      <c r="W40" s="13">
        <v>0</v>
      </c>
      <c r="X40" s="26">
        <f>0</f>
        <v>0</v>
      </c>
      <c r="Y40" s="26">
        <f t="shared" si="15"/>
        <v>0</v>
      </c>
      <c r="Z40" s="26">
        <f t="shared" si="16"/>
        <v>0</v>
      </c>
      <c r="AA40" s="26">
        <f>0</f>
        <v>0</v>
      </c>
      <c r="AB40" s="26">
        <f t="shared" si="14"/>
        <v>0</v>
      </c>
      <c r="AC40" s="26">
        <f t="shared" si="12"/>
        <v>0</v>
      </c>
      <c r="AD40" s="26">
        <f t="shared" si="13"/>
        <v>0</v>
      </c>
    </row>
    <row r="41" spans="2:30">
      <c r="B41" s="1" t="s">
        <v>21</v>
      </c>
      <c r="C41" s="1">
        <v>0</v>
      </c>
      <c r="D41" s="12">
        <v>0</v>
      </c>
      <c r="E41" s="12">
        <v>0</v>
      </c>
      <c r="F41" s="1">
        <v>0</v>
      </c>
      <c r="G41" s="13">
        <v>0</v>
      </c>
      <c r="H41" s="13">
        <v>0</v>
      </c>
      <c r="I41" s="1">
        <v>1</v>
      </c>
      <c r="J41" s="13">
        <f>I41/140</f>
        <v>7.1428571428571426E-3</v>
      </c>
      <c r="K41" s="13">
        <f>J41/I46*100</f>
        <v>2.6455026455026457E-2</v>
      </c>
      <c r="L41" s="1">
        <v>0</v>
      </c>
      <c r="M41" s="13">
        <v>0</v>
      </c>
      <c r="N41" s="13">
        <v>0</v>
      </c>
      <c r="O41" s="1">
        <v>0</v>
      </c>
      <c r="P41" s="13">
        <v>0</v>
      </c>
      <c r="Q41" s="13">
        <v>0</v>
      </c>
      <c r="R41" s="1">
        <v>0</v>
      </c>
      <c r="S41" s="13">
        <v>0</v>
      </c>
      <c r="T41" s="13">
        <v>0</v>
      </c>
      <c r="U41" s="1">
        <v>0</v>
      </c>
      <c r="V41" s="13">
        <v>0</v>
      </c>
      <c r="W41" s="13">
        <v>0</v>
      </c>
      <c r="X41" s="26">
        <f>0</f>
        <v>0</v>
      </c>
      <c r="Y41" s="26">
        <f t="shared" si="15"/>
        <v>0</v>
      </c>
      <c r="Z41" s="26">
        <f>1/0.27</f>
        <v>3.7037037037037033</v>
      </c>
      <c r="AA41" s="26">
        <f>0</f>
        <v>0</v>
      </c>
      <c r="AB41" s="26">
        <f t="shared" si="14"/>
        <v>0</v>
      </c>
      <c r="AC41" s="26">
        <f t="shared" si="12"/>
        <v>0</v>
      </c>
      <c r="AD41" s="26">
        <f t="shared" si="13"/>
        <v>0</v>
      </c>
    </row>
    <row r="42" spans="2:30">
      <c r="B42" s="1" t="s">
        <v>22</v>
      </c>
      <c r="C42" s="1">
        <v>0</v>
      </c>
      <c r="D42" s="12">
        <v>0</v>
      </c>
      <c r="E42" s="12">
        <v>0</v>
      </c>
      <c r="F42" s="1">
        <v>0</v>
      </c>
      <c r="G42" s="13">
        <v>0</v>
      </c>
      <c r="H42" s="13">
        <v>0</v>
      </c>
      <c r="I42" s="1">
        <v>0</v>
      </c>
      <c r="J42" s="13">
        <v>0</v>
      </c>
      <c r="K42" s="13">
        <v>0</v>
      </c>
      <c r="L42" s="1">
        <v>0</v>
      </c>
      <c r="M42" s="13">
        <v>0</v>
      </c>
      <c r="N42" s="13">
        <v>0</v>
      </c>
      <c r="O42" s="1">
        <v>0</v>
      </c>
      <c r="P42" s="13">
        <v>0</v>
      </c>
      <c r="Q42" s="13">
        <v>0</v>
      </c>
      <c r="R42" s="1">
        <v>0</v>
      </c>
      <c r="S42" s="13">
        <v>0</v>
      </c>
      <c r="T42" s="13">
        <v>0</v>
      </c>
      <c r="U42" s="1">
        <v>0</v>
      </c>
      <c r="V42" s="13">
        <v>0</v>
      </c>
      <c r="W42" s="13">
        <v>0</v>
      </c>
      <c r="X42" s="26">
        <f>0</f>
        <v>0</v>
      </c>
      <c r="Y42" s="26">
        <f t="shared" si="15"/>
        <v>0</v>
      </c>
      <c r="Z42" s="26">
        <f>0/0.27</f>
        <v>0</v>
      </c>
      <c r="AA42" s="26">
        <f>0</f>
        <v>0</v>
      </c>
      <c r="AB42" s="26">
        <f t="shared" si="14"/>
        <v>0</v>
      </c>
      <c r="AC42" s="26">
        <f t="shared" si="12"/>
        <v>0</v>
      </c>
      <c r="AD42" s="26">
        <f t="shared" si="13"/>
        <v>0</v>
      </c>
    </row>
    <row r="43" spans="2:30">
      <c r="B43" s="1" t="s">
        <v>23</v>
      </c>
      <c r="C43" s="1">
        <v>0</v>
      </c>
      <c r="D43" s="12">
        <v>0</v>
      </c>
      <c r="E43" s="12">
        <v>0</v>
      </c>
      <c r="F43" s="1">
        <v>0</v>
      </c>
      <c r="G43" s="13">
        <v>0</v>
      </c>
      <c r="H43" s="13">
        <v>0</v>
      </c>
      <c r="I43" s="1">
        <v>1</v>
      </c>
      <c r="J43" s="13">
        <f>I43/140</f>
        <v>7.1428571428571426E-3</v>
      </c>
      <c r="K43" s="13">
        <f>J43/I46*100</f>
        <v>2.6455026455026457E-2</v>
      </c>
      <c r="L43" s="1">
        <v>0</v>
      </c>
      <c r="M43" s="13">
        <v>0</v>
      </c>
      <c r="N43" s="13">
        <v>0</v>
      </c>
      <c r="O43" s="1">
        <v>0</v>
      </c>
      <c r="P43" s="13">
        <v>0</v>
      </c>
      <c r="Q43" s="13">
        <v>0</v>
      </c>
      <c r="R43" s="1">
        <v>0</v>
      </c>
      <c r="S43" s="13">
        <v>0</v>
      </c>
      <c r="T43" s="13">
        <v>0</v>
      </c>
      <c r="U43" s="1">
        <v>0</v>
      </c>
      <c r="V43" s="13">
        <v>0</v>
      </c>
      <c r="W43" s="13">
        <v>0</v>
      </c>
      <c r="X43" s="26">
        <f>0</f>
        <v>0</v>
      </c>
      <c r="Y43" s="26">
        <f t="shared" si="15"/>
        <v>0</v>
      </c>
      <c r="Z43" s="26">
        <f>1/0.27</f>
        <v>3.7037037037037033</v>
      </c>
      <c r="AA43" s="26">
        <f>0</f>
        <v>0</v>
      </c>
      <c r="AB43" s="26">
        <f t="shared" si="14"/>
        <v>0</v>
      </c>
      <c r="AC43" s="26">
        <f t="shared" si="12"/>
        <v>0</v>
      </c>
      <c r="AD43" s="26">
        <f t="shared" si="13"/>
        <v>0</v>
      </c>
    </row>
    <row r="44" spans="2:30">
      <c r="B44" s="1" t="s">
        <v>24</v>
      </c>
      <c r="C44" s="1">
        <v>0</v>
      </c>
      <c r="D44" s="12">
        <v>0</v>
      </c>
      <c r="E44" s="12">
        <v>0</v>
      </c>
      <c r="F44" s="1">
        <v>0</v>
      </c>
      <c r="G44" s="13">
        <v>0</v>
      </c>
      <c r="H44" s="13">
        <v>0</v>
      </c>
      <c r="I44" s="1">
        <v>1</v>
      </c>
      <c r="J44" s="13">
        <f>I44/140</f>
        <v>7.1428571428571426E-3</v>
      </c>
      <c r="K44" s="13">
        <f>J44/I46*100</f>
        <v>2.6455026455026457E-2</v>
      </c>
      <c r="L44" s="1">
        <v>0</v>
      </c>
      <c r="M44" s="13">
        <v>0</v>
      </c>
      <c r="N44" s="13">
        <v>0</v>
      </c>
      <c r="O44" s="1">
        <v>1</v>
      </c>
      <c r="P44" s="13">
        <f>O44/26</f>
        <v>3.8461538461538464E-2</v>
      </c>
      <c r="Q44" s="13">
        <f>P44/O46*100</f>
        <v>0.76923076923076927</v>
      </c>
      <c r="R44" s="1">
        <v>2</v>
      </c>
      <c r="S44" s="13">
        <f>R44/16</f>
        <v>0.125</v>
      </c>
      <c r="T44" s="13">
        <f>S44/R46*100</f>
        <v>2.5</v>
      </c>
      <c r="U44" s="1">
        <v>0</v>
      </c>
      <c r="V44" s="13">
        <v>0</v>
      </c>
      <c r="W44" s="13">
        <v>0</v>
      </c>
      <c r="X44" s="26">
        <f>0</f>
        <v>0</v>
      </c>
      <c r="Y44" s="26">
        <f t="shared" si="15"/>
        <v>0</v>
      </c>
      <c r="Z44" s="26">
        <f>1/0.27</f>
        <v>3.7037037037037033</v>
      </c>
      <c r="AA44" s="26">
        <f>0</f>
        <v>0</v>
      </c>
      <c r="AB44" s="26">
        <f>1/0.05</f>
        <v>20</v>
      </c>
      <c r="AC44" s="26">
        <f>2/0.05</f>
        <v>40</v>
      </c>
      <c r="AD44" s="26">
        <f t="shared" si="13"/>
        <v>0</v>
      </c>
    </row>
    <row r="45" spans="2:30">
      <c r="B45" s="1" t="s">
        <v>25</v>
      </c>
      <c r="C45" s="1">
        <v>0</v>
      </c>
      <c r="D45" s="12">
        <v>0</v>
      </c>
      <c r="E45" s="12">
        <v>0</v>
      </c>
      <c r="F45" s="1">
        <v>1</v>
      </c>
      <c r="G45" s="13">
        <f>F45/115</f>
        <v>8.6956521739130436E-3</v>
      </c>
      <c r="H45" s="13">
        <f>G45/F46*100</f>
        <v>0.14492753623188406</v>
      </c>
      <c r="I45" s="1">
        <v>3</v>
      </c>
      <c r="J45" s="13">
        <f>I45/140</f>
        <v>2.1428571428571429E-2</v>
      </c>
      <c r="K45" s="13">
        <f>J45/I46*100</f>
        <v>7.9365079365079361E-2</v>
      </c>
      <c r="L45" s="1">
        <v>0</v>
      </c>
      <c r="M45" s="13">
        <v>0</v>
      </c>
      <c r="N45" s="13">
        <v>0</v>
      </c>
      <c r="O45" s="1">
        <v>0</v>
      </c>
      <c r="P45" s="13">
        <v>0</v>
      </c>
      <c r="Q45" s="13">
        <v>0</v>
      </c>
      <c r="R45" s="1">
        <v>0</v>
      </c>
      <c r="S45" s="13">
        <v>0</v>
      </c>
      <c r="T45" s="13">
        <v>0</v>
      </c>
      <c r="U45" s="1">
        <v>0</v>
      </c>
      <c r="V45" s="13">
        <v>0</v>
      </c>
      <c r="W45" s="13">
        <v>0</v>
      </c>
      <c r="X45" s="26">
        <f>0</f>
        <v>0</v>
      </c>
      <c r="Y45" s="26">
        <f>1/0.06</f>
        <v>16.666666666666668</v>
      </c>
      <c r="Z45" s="26">
        <f>3/0.27</f>
        <v>11.111111111111111</v>
      </c>
      <c r="AA45" s="26">
        <f>0</f>
        <v>0</v>
      </c>
      <c r="AB45" s="26">
        <f>0/0.05</f>
        <v>0</v>
      </c>
      <c r="AC45" s="26">
        <f>0/0.05</f>
        <v>0</v>
      </c>
      <c r="AD45" s="26">
        <f t="shared" si="13"/>
        <v>0</v>
      </c>
    </row>
    <row r="46" spans="2:30">
      <c r="B46" s="1" t="s">
        <v>26</v>
      </c>
      <c r="C46" s="1">
        <v>0</v>
      </c>
      <c r="D46" s="12">
        <v>0</v>
      </c>
      <c r="E46" s="12">
        <v>0</v>
      </c>
      <c r="F46" s="1">
        <f t="shared" ref="F46:U46" si="17">SUM(F28:F45)</f>
        <v>6</v>
      </c>
      <c r="G46" s="13">
        <f>F46/115</f>
        <v>5.2173913043478258E-2</v>
      </c>
      <c r="H46" s="13">
        <f>G46/C48*100</f>
        <v>0.11100832562442184</v>
      </c>
      <c r="I46" s="1">
        <f t="shared" si="17"/>
        <v>27</v>
      </c>
      <c r="J46" s="13">
        <f>I46/140</f>
        <v>0.19285714285714287</v>
      </c>
      <c r="K46" s="13">
        <f>J46/C48*100</f>
        <v>0.4103343465045593</v>
      </c>
      <c r="L46" s="1">
        <f t="shared" si="17"/>
        <v>3</v>
      </c>
      <c r="M46" s="13">
        <f>L46/43</f>
        <v>6.9767441860465115E-2</v>
      </c>
      <c r="N46" s="13">
        <f>M46/C48*100</f>
        <v>0.14844136566056407</v>
      </c>
      <c r="O46" s="1">
        <f t="shared" si="17"/>
        <v>5</v>
      </c>
      <c r="P46" s="13">
        <f>O46/26</f>
        <v>0.19230769230769232</v>
      </c>
      <c r="Q46" s="13">
        <f>P46/C48*100</f>
        <v>0.4091653027823241</v>
      </c>
      <c r="R46" s="1">
        <f t="shared" si="17"/>
        <v>5</v>
      </c>
      <c r="S46" s="13">
        <f>R46/16</f>
        <v>0.3125</v>
      </c>
      <c r="T46" s="13">
        <f>S46/C48*100</f>
        <v>0.66489361702127658</v>
      </c>
      <c r="U46" s="1">
        <f t="shared" si="17"/>
        <v>1</v>
      </c>
      <c r="V46" s="13">
        <f>U46/11</f>
        <v>9.0909090909090912E-2</v>
      </c>
      <c r="W46" s="13">
        <f>V46/C48*100</f>
        <v>0.19342359767891684</v>
      </c>
      <c r="X46" s="26">
        <f>0</f>
        <v>0</v>
      </c>
      <c r="Y46" s="26">
        <f t="shared" ref="Y46:AD46" si="18">SUM(Y28:Y45)</f>
        <v>100.00000000000001</v>
      </c>
      <c r="Z46" s="26">
        <f t="shared" si="18"/>
        <v>100.00000000000001</v>
      </c>
      <c r="AA46" s="26">
        <f t="shared" si="18"/>
        <v>100</v>
      </c>
      <c r="AB46" s="26">
        <f t="shared" si="18"/>
        <v>100</v>
      </c>
      <c r="AC46" s="26">
        <f t="shared" si="18"/>
        <v>100</v>
      </c>
      <c r="AD46" s="26">
        <f t="shared" si="18"/>
        <v>100</v>
      </c>
    </row>
    <row r="48" spans="2:30">
      <c r="B48" s="27" t="s">
        <v>60</v>
      </c>
      <c r="C48" s="27">
        <f>F46+I46+L46+O46+R46+U46</f>
        <v>47</v>
      </c>
    </row>
    <row r="50" spans="2:30" ht="15.75">
      <c r="B50" s="36" t="s">
        <v>29</v>
      </c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7"/>
      <c r="W50" s="37"/>
      <c r="X50" s="37"/>
      <c r="Y50" s="37"/>
      <c r="Z50" s="37"/>
      <c r="AA50" s="37"/>
      <c r="AB50" s="37"/>
      <c r="AC50" s="37"/>
      <c r="AD50" s="37"/>
    </row>
    <row r="51" spans="2:30">
      <c r="B51" s="5" t="s">
        <v>0</v>
      </c>
      <c r="C51" s="5" t="s">
        <v>1</v>
      </c>
      <c r="D51" s="6" t="s">
        <v>34</v>
      </c>
      <c r="E51" s="7" t="s">
        <v>35</v>
      </c>
      <c r="F51" s="5" t="s">
        <v>2</v>
      </c>
      <c r="G51" s="6" t="s">
        <v>34</v>
      </c>
      <c r="H51" s="7" t="s">
        <v>35</v>
      </c>
      <c r="I51" s="5" t="s">
        <v>3</v>
      </c>
      <c r="J51" s="6" t="s">
        <v>34</v>
      </c>
      <c r="K51" s="7" t="s">
        <v>35</v>
      </c>
      <c r="L51" s="5" t="s">
        <v>4</v>
      </c>
      <c r="M51" s="6" t="s">
        <v>34</v>
      </c>
      <c r="N51" s="14" t="s">
        <v>35</v>
      </c>
      <c r="O51" s="5" t="s">
        <v>5</v>
      </c>
      <c r="P51" s="6" t="s">
        <v>34</v>
      </c>
      <c r="Q51" s="7" t="s">
        <v>35</v>
      </c>
      <c r="R51" s="5" t="s">
        <v>30</v>
      </c>
      <c r="S51" s="6" t="s">
        <v>34</v>
      </c>
      <c r="T51" s="7" t="s">
        <v>35</v>
      </c>
      <c r="U51" s="5" t="s">
        <v>31</v>
      </c>
      <c r="V51" s="6" t="s">
        <v>34</v>
      </c>
      <c r="W51" s="7" t="s">
        <v>35</v>
      </c>
      <c r="X51" s="7" t="s">
        <v>46</v>
      </c>
      <c r="Y51" s="7" t="s">
        <v>47</v>
      </c>
      <c r="Z51" s="7" t="s">
        <v>48</v>
      </c>
      <c r="AA51" s="7" t="s">
        <v>49</v>
      </c>
      <c r="AB51" s="7" t="s">
        <v>50</v>
      </c>
      <c r="AC51" s="7" t="s">
        <v>51</v>
      </c>
      <c r="AD51" s="7" t="s">
        <v>52</v>
      </c>
    </row>
    <row r="52" spans="2:30">
      <c r="B52" s="1" t="s">
        <v>8</v>
      </c>
      <c r="C52" s="1">
        <v>0</v>
      </c>
      <c r="D52" s="13">
        <v>0</v>
      </c>
      <c r="E52" s="13">
        <v>0</v>
      </c>
      <c r="F52" s="1">
        <v>0</v>
      </c>
      <c r="G52" s="11">
        <v>0</v>
      </c>
      <c r="H52" s="11">
        <v>0</v>
      </c>
      <c r="I52" s="1">
        <v>0</v>
      </c>
      <c r="J52" s="11">
        <v>0</v>
      </c>
      <c r="K52" s="11">
        <v>0</v>
      </c>
      <c r="L52" s="1">
        <v>0</v>
      </c>
      <c r="M52" s="11">
        <v>0</v>
      </c>
      <c r="N52" s="13">
        <v>0</v>
      </c>
      <c r="O52" s="1">
        <v>1</v>
      </c>
      <c r="P52" s="11">
        <f>O52/26</f>
        <v>3.8461538461538464E-2</v>
      </c>
      <c r="Q52" s="11">
        <f>P52/O71*100</f>
        <v>1.1020498126515319E-2</v>
      </c>
      <c r="R52" s="1">
        <v>0</v>
      </c>
      <c r="S52" s="11">
        <v>0</v>
      </c>
      <c r="T52" s="11">
        <v>0</v>
      </c>
      <c r="U52" s="1">
        <v>0</v>
      </c>
      <c r="V52" s="13">
        <v>0</v>
      </c>
      <c r="W52" s="13">
        <v>0</v>
      </c>
      <c r="X52" s="26">
        <f t="shared" ref="X52:X54" si="19">0/0.68</f>
        <v>0</v>
      </c>
      <c r="Y52" s="26">
        <f>0/1.01</f>
        <v>0</v>
      </c>
      <c r="Z52" s="26">
        <f t="shared" ref="Z52:AD52" si="20">0/1.01</f>
        <v>0</v>
      </c>
      <c r="AA52" s="26">
        <f>0/1.01</f>
        <v>0</v>
      </c>
      <c r="AB52" s="26">
        <f>1/3.49</f>
        <v>0.28653295128939826</v>
      </c>
      <c r="AC52" s="26">
        <f t="shared" si="20"/>
        <v>0</v>
      </c>
      <c r="AD52" s="26">
        <f t="shared" si="20"/>
        <v>0</v>
      </c>
    </row>
    <row r="53" spans="2:30">
      <c r="B53" s="1" t="s">
        <v>9</v>
      </c>
      <c r="C53" s="1">
        <v>0</v>
      </c>
      <c r="D53" s="13">
        <v>0</v>
      </c>
      <c r="E53" s="13">
        <v>0</v>
      </c>
      <c r="F53" s="1">
        <v>0</v>
      </c>
      <c r="G53" s="11">
        <v>0</v>
      </c>
      <c r="H53" s="11">
        <v>0</v>
      </c>
      <c r="I53" s="1">
        <v>12</v>
      </c>
      <c r="J53" s="11">
        <f>I53/140</f>
        <v>8.5714285714285715E-2</v>
      </c>
      <c r="K53" s="11">
        <f>J53/I71*100</f>
        <v>8.3056478405315621E-3</v>
      </c>
      <c r="L53" s="1">
        <v>0</v>
      </c>
      <c r="M53" s="11">
        <v>0</v>
      </c>
      <c r="N53" s="13">
        <v>0</v>
      </c>
      <c r="O53" s="1">
        <v>0</v>
      </c>
      <c r="P53" s="11">
        <v>0</v>
      </c>
      <c r="Q53" s="11">
        <v>0</v>
      </c>
      <c r="R53" s="1">
        <v>0</v>
      </c>
      <c r="S53" s="11">
        <v>0</v>
      </c>
      <c r="T53" s="11">
        <v>0</v>
      </c>
      <c r="U53" s="1">
        <v>0</v>
      </c>
      <c r="V53" s="13">
        <v>0</v>
      </c>
      <c r="W53" s="13">
        <v>0</v>
      </c>
      <c r="X53" s="26">
        <f t="shared" si="19"/>
        <v>0</v>
      </c>
      <c r="Y53" s="26">
        <f>0/1.01</f>
        <v>0</v>
      </c>
      <c r="Z53" s="26">
        <f>12/10.32</f>
        <v>1.1627906976744187</v>
      </c>
      <c r="AA53" s="26">
        <f>0/3.64</f>
        <v>0</v>
      </c>
      <c r="AB53" s="26">
        <f>0/3.48</f>
        <v>0</v>
      </c>
      <c r="AC53" s="26">
        <f>0/2.28</f>
        <v>0</v>
      </c>
      <c r="AD53" s="26">
        <f>0/3.86</f>
        <v>0</v>
      </c>
    </row>
    <row r="54" spans="2:30">
      <c r="B54" s="1" t="s">
        <v>10</v>
      </c>
      <c r="C54" s="1">
        <v>0</v>
      </c>
      <c r="D54" s="13">
        <v>0</v>
      </c>
      <c r="E54" s="13">
        <v>0</v>
      </c>
      <c r="F54" s="1">
        <v>0</v>
      </c>
      <c r="G54" s="11">
        <v>0</v>
      </c>
      <c r="H54" s="11">
        <v>0</v>
      </c>
      <c r="I54" s="1">
        <v>0</v>
      </c>
      <c r="J54" s="11">
        <v>0</v>
      </c>
      <c r="K54" s="11">
        <v>0</v>
      </c>
      <c r="L54" s="1">
        <v>5</v>
      </c>
      <c r="M54" s="11">
        <f>L54/43</f>
        <v>0.11627906976744186</v>
      </c>
      <c r="N54" s="13">
        <f>M54/L71*100</f>
        <v>3.1857279388340237E-2</v>
      </c>
      <c r="O54" s="1">
        <v>260</v>
      </c>
      <c r="P54" s="11">
        <f>O54/26</f>
        <v>10</v>
      </c>
      <c r="Q54" s="11">
        <f>P54/O71*100</f>
        <v>2.8653295128939829</v>
      </c>
      <c r="R54" s="1">
        <v>222</v>
      </c>
      <c r="S54" s="11">
        <f>R54/11</f>
        <v>20.181818181818183</v>
      </c>
      <c r="T54" s="11">
        <f>S54/R71*100</f>
        <v>8.8130210400952773</v>
      </c>
      <c r="U54" s="1">
        <v>370</v>
      </c>
      <c r="V54" s="13">
        <f>U54/16</f>
        <v>23.125</v>
      </c>
      <c r="W54" s="13">
        <f>V54/U71*100</f>
        <v>5.9754521963824292</v>
      </c>
      <c r="X54" s="26">
        <f t="shared" si="19"/>
        <v>0</v>
      </c>
      <c r="Y54" s="26">
        <f t="shared" ref="Y54:Y55" si="21">0/1.01</f>
        <v>0</v>
      </c>
      <c r="Z54" s="26">
        <f>0/10.31</f>
        <v>0</v>
      </c>
      <c r="AA54" s="26">
        <f>5/3.65</f>
        <v>1.3698630136986301</v>
      </c>
      <c r="AB54" s="26">
        <f>260/3.49</f>
        <v>74.49856733524355</v>
      </c>
      <c r="AC54" s="26">
        <f>222/2.29</f>
        <v>96.943231441048027</v>
      </c>
      <c r="AD54" s="26">
        <f>370/3.87</f>
        <v>95.607235142118867</v>
      </c>
    </row>
    <row r="55" spans="2:30">
      <c r="B55" s="1" t="s">
        <v>32</v>
      </c>
      <c r="C55" s="1">
        <v>0</v>
      </c>
      <c r="D55" s="13">
        <v>0</v>
      </c>
      <c r="E55" s="13">
        <v>0</v>
      </c>
      <c r="F55" s="1">
        <v>0</v>
      </c>
      <c r="G55" s="11">
        <v>0</v>
      </c>
      <c r="H55" s="11">
        <v>0</v>
      </c>
      <c r="I55" s="1">
        <v>0</v>
      </c>
      <c r="J55" s="11">
        <v>0</v>
      </c>
      <c r="K55" s="11">
        <v>0</v>
      </c>
      <c r="L55" s="1">
        <v>0</v>
      </c>
      <c r="M55" s="11">
        <v>0</v>
      </c>
      <c r="N55" s="13">
        <v>0</v>
      </c>
      <c r="O55" s="1">
        <v>0</v>
      </c>
      <c r="P55" s="11">
        <v>0</v>
      </c>
      <c r="Q55" s="11">
        <v>0</v>
      </c>
      <c r="R55" s="1">
        <v>0</v>
      </c>
      <c r="S55" s="11">
        <v>0</v>
      </c>
      <c r="T55" s="11">
        <v>0</v>
      </c>
      <c r="U55" s="1">
        <v>1</v>
      </c>
      <c r="V55" s="13">
        <f>U55/16</f>
        <v>6.25E-2</v>
      </c>
      <c r="W55" s="13">
        <f>V55/U71*100</f>
        <v>1.6149870801033594E-2</v>
      </c>
      <c r="X55" s="26">
        <f>0/0.68</f>
        <v>0</v>
      </c>
      <c r="Y55" s="26">
        <f t="shared" si="21"/>
        <v>0</v>
      </c>
      <c r="Z55" s="26">
        <f>0/10.31</f>
        <v>0</v>
      </c>
      <c r="AA55" s="26">
        <f>0/3.63</f>
        <v>0</v>
      </c>
      <c r="AB55" s="26">
        <f>0/3.48</f>
        <v>0</v>
      </c>
      <c r="AC55" s="26">
        <f>0/2.28</f>
        <v>0</v>
      </c>
      <c r="AD55" s="26">
        <f>1/3.87</f>
        <v>0.25839793281653745</v>
      </c>
    </row>
    <row r="56" spans="2:30">
      <c r="B56" s="1" t="s">
        <v>11</v>
      </c>
      <c r="C56" s="1">
        <v>66</v>
      </c>
      <c r="D56" s="13">
        <f>C56/451</f>
        <v>0.14634146341463414</v>
      </c>
      <c r="E56" s="13">
        <f>D56/C71*100</f>
        <v>0.21520803443328551</v>
      </c>
      <c r="F56" s="1">
        <v>48</v>
      </c>
      <c r="G56" s="11">
        <f>F56/115</f>
        <v>0.41739130434782606</v>
      </c>
      <c r="H56" s="11">
        <f>G56/F71*100</f>
        <v>0.41325871717606544</v>
      </c>
      <c r="I56" s="1">
        <v>653</v>
      </c>
      <c r="J56" s="11">
        <f>I56/140</f>
        <v>4.6642857142857146</v>
      </c>
      <c r="K56" s="11">
        <f>J56/I71*100</f>
        <v>0.45196566998892579</v>
      </c>
      <c r="L56" s="1">
        <v>313</v>
      </c>
      <c r="M56" s="11">
        <f>L56/43</f>
        <v>7.2790697674418601</v>
      </c>
      <c r="N56" s="13">
        <f>M56/L71*100</f>
        <v>1.9942656897100988</v>
      </c>
      <c r="O56" s="1">
        <v>30</v>
      </c>
      <c r="P56" s="11">
        <f>O56/26</f>
        <v>1.1538461538461537</v>
      </c>
      <c r="Q56" s="11">
        <f>P56/O71*100</f>
        <v>0.33061494379545953</v>
      </c>
      <c r="R56" s="1">
        <v>1</v>
      </c>
      <c r="S56" s="11">
        <f>R56/11</f>
        <v>9.0909090909090912E-2</v>
      </c>
      <c r="T56" s="11">
        <f>S56/R71*100</f>
        <v>3.969829297340214E-2</v>
      </c>
      <c r="U56" s="1">
        <v>2</v>
      </c>
      <c r="V56" s="13">
        <f>U56/16</f>
        <v>0.125</v>
      </c>
      <c r="W56" s="13">
        <f>V56/U71*100</f>
        <v>3.2299741602067188E-2</v>
      </c>
      <c r="X56" s="26">
        <f>66/0.68</f>
        <v>97.058823529411754</v>
      </c>
      <c r="Y56" s="26">
        <f>48/1.01</f>
        <v>47.524752475247524</v>
      </c>
      <c r="Z56" s="26">
        <f>653/10.32</f>
        <v>63.275193798449614</v>
      </c>
      <c r="AA56" s="26">
        <f>313/3.65</f>
        <v>85.753424657534254</v>
      </c>
      <c r="AB56" s="26">
        <f>30/3.49</f>
        <v>8.5959885386819472</v>
      </c>
      <c r="AC56" s="26">
        <f>1/2.29</f>
        <v>0.4366812227074236</v>
      </c>
      <c r="AD56" s="26">
        <f>2/3.87</f>
        <v>0.51679586563307489</v>
      </c>
    </row>
    <row r="57" spans="2:30">
      <c r="B57" s="1" t="s">
        <v>12</v>
      </c>
      <c r="C57" s="1">
        <v>1</v>
      </c>
      <c r="D57" s="13">
        <f>C57/451</f>
        <v>2.2172949002217295E-3</v>
      </c>
      <c r="E57" s="13">
        <f>D57/C71*100</f>
        <v>3.2607277944437197E-3</v>
      </c>
      <c r="F57" s="1">
        <v>3</v>
      </c>
      <c r="G57" s="11">
        <f>F57/115</f>
        <v>2.6086956521739129E-2</v>
      </c>
      <c r="H57" s="11">
        <f>G57/F71*100</f>
        <v>2.582866982350409E-2</v>
      </c>
      <c r="I57" s="1">
        <v>1</v>
      </c>
      <c r="J57" s="11">
        <f>I57/140</f>
        <v>7.1428571428571426E-3</v>
      </c>
      <c r="K57" s="11">
        <f>J57/I71*100</f>
        <v>6.9213732004429673E-4</v>
      </c>
      <c r="L57" s="1">
        <v>0</v>
      </c>
      <c r="M57" s="11">
        <v>0</v>
      </c>
      <c r="N57" s="13">
        <v>0</v>
      </c>
      <c r="O57" s="1">
        <v>0</v>
      </c>
      <c r="P57" s="11">
        <v>0</v>
      </c>
      <c r="Q57" s="11">
        <v>0</v>
      </c>
      <c r="R57" s="1">
        <v>0</v>
      </c>
      <c r="S57" s="11">
        <v>0</v>
      </c>
      <c r="T57" s="11">
        <v>0</v>
      </c>
      <c r="U57" s="1">
        <v>0</v>
      </c>
      <c r="V57" s="13">
        <v>0</v>
      </c>
      <c r="W57" s="13">
        <v>0</v>
      </c>
      <c r="X57" s="26">
        <f>1/0.68</f>
        <v>1.4705882352941175</v>
      </c>
      <c r="Y57" s="26">
        <f>3/1.01</f>
        <v>2.9702970297029703</v>
      </c>
      <c r="Z57" s="26">
        <f>1/10.32</f>
        <v>9.6899224806201542E-2</v>
      </c>
      <c r="AA57" s="26">
        <f>0/3.63</f>
        <v>0</v>
      </c>
      <c r="AB57" s="26">
        <f>0/3.48</f>
        <v>0</v>
      </c>
      <c r="AC57" s="26">
        <f>0/2.28</f>
        <v>0</v>
      </c>
      <c r="AD57" s="26">
        <f>0/3.86</f>
        <v>0</v>
      </c>
    </row>
    <row r="58" spans="2:30">
      <c r="B58" s="1" t="s">
        <v>13</v>
      </c>
      <c r="C58" s="1">
        <v>0</v>
      </c>
      <c r="D58" s="13">
        <v>0</v>
      </c>
      <c r="E58" s="13">
        <v>0</v>
      </c>
      <c r="F58" s="1">
        <v>0</v>
      </c>
      <c r="G58" s="11">
        <v>0</v>
      </c>
      <c r="H58" s="11">
        <v>0</v>
      </c>
      <c r="I58" s="1">
        <v>0</v>
      </c>
      <c r="J58" s="11">
        <v>0</v>
      </c>
      <c r="K58" s="11">
        <v>0</v>
      </c>
      <c r="L58" s="1">
        <v>0</v>
      </c>
      <c r="M58" s="11">
        <v>0</v>
      </c>
      <c r="N58" s="13">
        <v>0</v>
      </c>
      <c r="O58" s="1">
        <v>0</v>
      </c>
      <c r="P58" s="11">
        <v>0</v>
      </c>
      <c r="Q58" s="11">
        <v>0</v>
      </c>
      <c r="R58" s="1">
        <v>0</v>
      </c>
      <c r="S58" s="11">
        <v>0</v>
      </c>
      <c r="T58" s="11">
        <v>0</v>
      </c>
      <c r="U58" s="1">
        <v>0</v>
      </c>
      <c r="V58" s="13">
        <v>0</v>
      </c>
      <c r="W58" s="13">
        <v>0</v>
      </c>
      <c r="X58" s="26">
        <f>0/0.68</f>
        <v>0</v>
      </c>
      <c r="Y58" s="26">
        <f>0/1.01</f>
        <v>0</v>
      </c>
      <c r="Z58" s="26">
        <f>0/10.31</f>
        <v>0</v>
      </c>
      <c r="AA58" s="26">
        <f>0/3.63</f>
        <v>0</v>
      </c>
      <c r="AB58" s="26">
        <f>0/3.48</f>
        <v>0</v>
      </c>
      <c r="AC58" s="26">
        <f t="shared" ref="AC58:AC68" si="22">0/2.28</f>
        <v>0</v>
      </c>
      <c r="AD58" s="26">
        <f t="shared" ref="AD58:AD68" si="23">0/3.86</f>
        <v>0</v>
      </c>
    </row>
    <row r="59" spans="2:30">
      <c r="B59" s="1" t="s">
        <v>14</v>
      </c>
      <c r="C59" s="1">
        <v>0</v>
      </c>
      <c r="D59" s="13">
        <v>0</v>
      </c>
      <c r="E59" s="13">
        <v>0</v>
      </c>
      <c r="F59" s="1">
        <v>3</v>
      </c>
      <c r="G59" s="11">
        <f>F59/115</f>
        <v>2.6086956521739129E-2</v>
      </c>
      <c r="H59" s="11">
        <f>G59/F71*100</f>
        <v>2.582866982350409E-2</v>
      </c>
      <c r="I59" s="1">
        <v>82</v>
      </c>
      <c r="J59" s="11">
        <f>I59/140</f>
        <v>0.58571428571428574</v>
      </c>
      <c r="K59" s="11">
        <f>J59/I71*100</f>
        <v>5.6755260243632338E-2</v>
      </c>
      <c r="L59" s="1">
        <v>18</v>
      </c>
      <c r="M59" s="11">
        <f>L59/43</f>
        <v>0.41860465116279072</v>
      </c>
      <c r="N59" s="13">
        <f>M59/L71*100</f>
        <v>0.11468620579802487</v>
      </c>
      <c r="O59" s="1">
        <v>25</v>
      </c>
      <c r="P59" s="11">
        <f>O59/26</f>
        <v>0.96153846153846156</v>
      </c>
      <c r="Q59" s="11">
        <f>P59/O71*100</f>
        <v>0.27551245316288298</v>
      </c>
      <c r="R59" s="1">
        <v>0</v>
      </c>
      <c r="S59" s="11">
        <v>0</v>
      </c>
      <c r="T59" s="11">
        <v>0</v>
      </c>
      <c r="U59" s="1">
        <v>0</v>
      </c>
      <c r="V59" s="13">
        <v>0</v>
      </c>
      <c r="W59" s="13">
        <v>0</v>
      </c>
      <c r="X59" s="26">
        <f t="shared" ref="X59:X64" si="24">0/0.68</f>
        <v>0</v>
      </c>
      <c r="Y59" s="26">
        <f>3/1.01</f>
        <v>2.9702970297029703</v>
      </c>
      <c r="Z59" s="26">
        <f>82/10.32</f>
        <v>7.945736434108527</v>
      </c>
      <c r="AA59" s="26">
        <f>18/3.65</f>
        <v>4.9315068493150687</v>
      </c>
      <c r="AB59" s="26">
        <f>25/3.49</f>
        <v>7.1633237822349569</v>
      </c>
      <c r="AC59" s="26">
        <f t="shared" si="22"/>
        <v>0</v>
      </c>
      <c r="AD59" s="26">
        <f t="shared" si="23"/>
        <v>0</v>
      </c>
    </row>
    <row r="60" spans="2:30">
      <c r="B60" s="1" t="s">
        <v>15</v>
      </c>
      <c r="C60" s="1">
        <v>0</v>
      </c>
      <c r="D60" s="13">
        <v>0</v>
      </c>
      <c r="E60" s="13">
        <v>0</v>
      </c>
      <c r="F60" s="1">
        <v>4</v>
      </c>
      <c r="G60" s="11">
        <f>F60/115</f>
        <v>3.4782608695652174E-2</v>
      </c>
      <c r="H60" s="11">
        <f>G60/F71*100</f>
        <v>3.4438226431338786E-2</v>
      </c>
      <c r="I60" s="1">
        <v>55</v>
      </c>
      <c r="J60" s="11">
        <f>I60/140</f>
        <v>0.39285714285714285</v>
      </c>
      <c r="K60" s="11">
        <f>J60/I71*100</f>
        <v>3.8067552602436328E-2</v>
      </c>
      <c r="L60" s="1">
        <v>2</v>
      </c>
      <c r="M60" s="11">
        <f>L60/43</f>
        <v>4.6511627906976744E-2</v>
      </c>
      <c r="N60" s="13">
        <f>M60/L71*100</f>
        <v>1.2742911755336093E-2</v>
      </c>
      <c r="O60" s="1">
        <v>0</v>
      </c>
      <c r="P60" s="11">
        <v>0</v>
      </c>
      <c r="Q60" s="11">
        <v>0</v>
      </c>
      <c r="R60" s="1">
        <v>0</v>
      </c>
      <c r="S60" s="11">
        <v>0</v>
      </c>
      <c r="T60" s="11">
        <v>0</v>
      </c>
      <c r="U60" s="1">
        <v>0</v>
      </c>
      <c r="V60" s="13">
        <v>0</v>
      </c>
      <c r="W60" s="13">
        <v>0</v>
      </c>
      <c r="X60" s="26">
        <f t="shared" si="24"/>
        <v>0</v>
      </c>
      <c r="Y60" s="26">
        <f>4/1.01</f>
        <v>3.9603960396039604</v>
      </c>
      <c r="Z60" s="26">
        <f>55/10.32</f>
        <v>5.329457364341085</v>
      </c>
      <c r="AA60" s="26">
        <f>2/3.65</f>
        <v>0.54794520547945202</v>
      </c>
      <c r="AB60" s="26">
        <f>0/3.48</f>
        <v>0</v>
      </c>
      <c r="AC60" s="26">
        <f t="shared" si="22"/>
        <v>0</v>
      </c>
      <c r="AD60" s="26">
        <f t="shared" si="23"/>
        <v>0</v>
      </c>
    </row>
    <row r="61" spans="2:30">
      <c r="B61" s="1" t="s">
        <v>16</v>
      </c>
      <c r="C61" s="1">
        <v>0</v>
      </c>
      <c r="D61" s="13">
        <v>0</v>
      </c>
      <c r="E61" s="13">
        <v>0</v>
      </c>
      <c r="F61" s="1">
        <v>22</v>
      </c>
      <c r="G61" s="11">
        <f>F61/115</f>
        <v>0.19130434782608696</v>
      </c>
      <c r="H61" s="11">
        <f>G61/F71*100</f>
        <v>0.18941024537236334</v>
      </c>
      <c r="I61" s="1">
        <v>106</v>
      </c>
      <c r="J61" s="11">
        <f>I61/140</f>
        <v>0.75714285714285712</v>
      </c>
      <c r="K61" s="11">
        <f>J61/I71*100</f>
        <v>7.3366555924695459E-2</v>
      </c>
      <c r="L61" s="1">
        <v>10</v>
      </c>
      <c r="M61" s="11">
        <f>L61/43</f>
        <v>0.23255813953488372</v>
      </c>
      <c r="N61" s="13">
        <f>M61/L71*100</f>
        <v>6.3714558776680474E-2</v>
      </c>
      <c r="O61" s="1">
        <v>2</v>
      </c>
      <c r="P61" s="11">
        <f>O61/26</f>
        <v>7.6923076923076927E-2</v>
      </c>
      <c r="Q61" s="11">
        <f>P61/O71*100</f>
        <v>2.2040996253030638E-2</v>
      </c>
      <c r="R61" s="1">
        <v>0</v>
      </c>
      <c r="S61" s="11">
        <v>0</v>
      </c>
      <c r="T61" s="11">
        <v>0</v>
      </c>
      <c r="U61" s="1">
        <v>0</v>
      </c>
      <c r="V61" s="13">
        <v>0</v>
      </c>
      <c r="W61" s="13">
        <v>0</v>
      </c>
      <c r="X61" s="26">
        <f t="shared" si="24"/>
        <v>0</v>
      </c>
      <c r="Y61" s="26">
        <f>22/1.01</f>
        <v>21.782178217821784</v>
      </c>
      <c r="Z61" s="26">
        <f>106/10.32</f>
        <v>10.271317829457365</v>
      </c>
      <c r="AA61" s="26">
        <f>10/3.65</f>
        <v>2.7397260273972601</v>
      </c>
      <c r="AB61" s="26">
        <f>2/3.49</f>
        <v>0.57306590257879653</v>
      </c>
      <c r="AC61" s="26">
        <f t="shared" si="22"/>
        <v>0</v>
      </c>
      <c r="AD61" s="26">
        <f t="shared" si="23"/>
        <v>0</v>
      </c>
    </row>
    <row r="62" spans="2:30">
      <c r="B62" s="1" t="s">
        <v>17</v>
      </c>
      <c r="C62" s="1">
        <v>0</v>
      </c>
      <c r="D62" s="13">
        <v>0</v>
      </c>
      <c r="E62" s="13">
        <v>0</v>
      </c>
      <c r="F62" s="1">
        <v>0</v>
      </c>
      <c r="G62" s="11">
        <v>0</v>
      </c>
      <c r="H62" s="11">
        <v>0</v>
      </c>
      <c r="I62" s="1">
        <v>0</v>
      </c>
      <c r="J62" s="11">
        <v>0</v>
      </c>
      <c r="K62" s="11">
        <v>0</v>
      </c>
      <c r="L62" s="1">
        <v>0</v>
      </c>
      <c r="M62" s="11">
        <v>0</v>
      </c>
      <c r="N62" s="13">
        <v>0</v>
      </c>
      <c r="O62" s="1">
        <v>0</v>
      </c>
      <c r="P62" s="11">
        <v>0</v>
      </c>
      <c r="Q62" s="11">
        <v>0</v>
      </c>
      <c r="R62" s="1">
        <v>0</v>
      </c>
      <c r="S62" s="11">
        <v>0</v>
      </c>
      <c r="T62" s="11">
        <v>0</v>
      </c>
      <c r="U62" s="1">
        <v>0</v>
      </c>
      <c r="V62" s="13">
        <v>0</v>
      </c>
      <c r="W62" s="13">
        <v>0</v>
      </c>
      <c r="X62" s="26">
        <f t="shared" si="24"/>
        <v>0</v>
      </c>
      <c r="Y62" s="26">
        <f>0/1.01</f>
        <v>0</v>
      </c>
      <c r="Z62" s="26">
        <f>0/10.31</f>
        <v>0</v>
      </c>
      <c r="AA62" s="26">
        <f>0/3.63</f>
        <v>0</v>
      </c>
      <c r="AB62" s="26">
        <f>0/3.48</f>
        <v>0</v>
      </c>
      <c r="AC62" s="26">
        <f t="shared" si="22"/>
        <v>0</v>
      </c>
      <c r="AD62" s="26">
        <f t="shared" si="23"/>
        <v>0</v>
      </c>
    </row>
    <row r="63" spans="2:30">
      <c r="B63" s="1" t="s">
        <v>18</v>
      </c>
      <c r="C63" s="1">
        <v>0</v>
      </c>
      <c r="D63" s="13">
        <v>0</v>
      </c>
      <c r="E63" s="13">
        <v>0</v>
      </c>
      <c r="F63" s="1">
        <v>2</v>
      </c>
      <c r="G63" s="11">
        <f>F63/115</f>
        <v>1.7391304347826087E-2</v>
      </c>
      <c r="H63" s="11">
        <f>G63/F71*100</f>
        <v>1.7219113215669393E-2</v>
      </c>
      <c r="I63" s="1">
        <v>1</v>
      </c>
      <c r="J63" s="11">
        <f>I63/140</f>
        <v>7.1428571428571426E-3</v>
      </c>
      <c r="K63" s="11">
        <f>J63/I71*100</f>
        <v>6.9213732004429673E-4</v>
      </c>
      <c r="L63" s="1">
        <v>0</v>
      </c>
      <c r="M63" s="11">
        <v>0</v>
      </c>
      <c r="N63" s="13">
        <v>0</v>
      </c>
      <c r="O63" s="1">
        <v>0</v>
      </c>
      <c r="P63" s="11">
        <v>0</v>
      </c>
      <c r="Q63" s="11">
        <v>0</v>
      </c>
      <c r="R63" s="1">
        <v>0</v>
      </c>
      <c r="S63" s="11">
        <v>0</v>
      </c>
      <c r="T63" s="11">
        <v>0</v>
      </c>
      <c r="U63" s="1">
        <v>0</v>
      </c>
      <c r="V63" s="13">
        <v>0</v>
      </c>
      <c r="W63" s="13">
        <v>0</v>
      </c>
      <c r="X63" s="26">
        <f t="shared" si="24"/>
        <v>0</v>
      </c>
      <c r="Y63" s="26">
        <f>2/1.01</f>
        <v>1.9801980198019802</v>
      </c>
      <c r="Z63" s="26">
        <f>1/10.32</f>
        <v>9.6899224806201542E-2</v>
      </c>
      <c r="AA63" s="26">
        <f>0/3.63</f>
        <v>0</v>
      </c>
      <c r="AB63" s="26">
        <f>0/3.48</f>
        <v>0</v>
      </c>
      <c r="AC63" s="26">
        <f t="shared" si="22"/>
        <v>0</v>
      </c>
      <c r="AD63" s="26">
        <f t="shared" si="23"/>
        <v>0</v>
      </c>
    </row>
    <row r="64" spans="2:30">
      <c r="B64" s="1" t="s">
        <v>19</v>
      </c>
      <c r="C64" s="1">
        <v>0</v>
      </c>
      <c r="D64" s="13">
        <v>0</v>
      </c>
      <c r="E64" s="13">
        <v>0</v>
      </c>
      <c r="F64" s="1">
        <v>0</v>
      </c>
      <c r="G64" s="11">
        <v>0</v>
      </c>
      <c r="H64" s="11">
        <v>0</v>
      </c>
      <c r="I64" s="1">
        <v>0</v>
      </c>
      <c r="J64" s="11">
        <v>0</v>
      </c>
      <c r="K64" s="11">
        <v>0</v>
      </c>
      <c r="L64" s="1">
        <v>0</v>
      </c>
      <c r="M64" s="11">
        <v>0</v>
      </c>
      <c r="N64" s="13">
        <v>0</v>
      </c>
      <c r="O64" s="1">
        <v>0</v>
      </c>
      <c r="P64" s="11">
        <v>0</v>
      </c>
      <c r="Q64" s="11">
        <v>0</v>
      </c>
      <c r="R64" s="1">
        <v>0</v>
      </c>
      <c r="S64" s="11">
        <v>0</v>
      </c>
      <c r="T64" s="11">
        <v>0</v>
      </c>
      <c r="U64" s="1">
        <v>0</v>
      </c>
      <c r="V64" s="13">
        <v>0</v>
      </c>
      <c r="W64" s="13">
        <v>0</v>
      </c>
      <c r="X64" s="26">
        <f t="shared" si="24"/>
        <v>0</v>
      </c>
      <c r="Y64" s="26">
        <f>0/1.01</f>
        <v>0</v>
      </c>
      <c r="Z64" s="26">
        <f>0/10.31</f>
        <v>0</v>
      </c>
      <c r="AA64" s="26">
        <f>0/3.63</f>
        <v>0</v>
      </c>
      <c r="AB64" s="26">
        <f>0/3.48</f>
        <v>0</v>
      </c>
      <c r="AC64" s="26">
        <f t="shared" si="22"/>
        <v>0</v>
      </c>
      <c r="AD64" s="26">
        <f t="shared" si="23"/>
        <v>0</v>
      </c>
    </row>
    <row r="65" spans="2:30">
      <c r="B65" s="1" t="s">
        <v>20</v>
      </c>
      <c r="C65" s="1">
        <v>1</v>
      </c>
      <c r="D65" s="13">
        <f>C65/451</f>
        <v>2.2172949002217295E-3</v>
      </c>
      <c r="E65" s="13">
        <f>D65/C71*100</f>
        <v>3.2607277944437197E-3</v>
      </c>
      <c r="F65" s="1">
        <v>1</v>
      </c>
      <c r="G65" s="11">
        <f>F65/115</f>
        <v>8.6956521739130436E-3</v>
      </c>
      <c r="H65" s="11">
        <f>G65/F71*100</f>
        <v>8.6095566078346966E-3</v>
      </c>
      <c r="I65" s="1">
        <v>4</v>
      </c>
      <c r="J65" s="11">
        <f t="shared" ref="J65:J71" si="25">I65/140</f>
        <v>2.8571428571428571E-2</v>
      </c>
      <c r="K65" s="11">
        <f>J65/I71*100</f>
        <v>2.7685492801771869E-3</v>
      </c>
      <c r="L65" s="1">
        <v>0</v>
      </c>
      <c r="M65" s="11">
        <v>0</v>
      </c>
      <c r="N65" s="13">
        <v>0</v>
      </c>
      <c r="O65" s="1">
        <v>5</v>
      </c>
      <c r="P65" s="11">
        <f>O65/26</f>
        <v>0.19230769230769232</v>
      </c>
      <c r="Q65" s="11">
        <f>P65/O71*100</f>
        <v>5.5102490632576592E-2</v>
      </c>
      <c r="R65" s="1">
        <v>0</v>
      </c>
      <c r="S65" s="11">
        <v>0</v>
      </c>
      <c r="T65" s="11">
        <v>0</v>
      </c>
      <c r="U65" s="1">
        <v>0</v>
      </c>
      <c r="V65" s="13">
        <v>0</v>
      </c>
      <c r="W65" s="13">
        <v>0</v>
      </c>
      <c r="X65" s="26">
        <f>1/0.68</f>
        <v>1.4705882352941175</v>
      </c>
      <c r="Y65" s="26">
        <f>1/1.01</f>
        <v>0.99009900990099009</v>
      </c>
      <c r="Z65" s="26">
        <f>4/10.32</f>
        <v>0.38759689922480617</v>
      </c>
      <c r="AA65" s="26">
        <f>0/3.63</f>
        <v>0</v>
      </c>
      <c r="AB65" s="26">
        <f>5/3.49</f>
        <v>1.4326647564469912</v>
      </c>
      <c r="AC65" s="26">
        <f t="shared" si="22"/>
        <v>0</v>
      </c>
      <c r="AD65" s="26">
        <f t="shared" si="23"/>
        <v>0</v>
      </c>
    </row>
    <row r="66" spans="2:30">
      <c r="B66" s="1" t="s">
        <v>21</v>
      </c>
      <c r="C66" s="1">
        <v>0</v>
      </c>
      <c r="D66" s="13">
        <v>0</v>
      </c>
      <c r="E66" s="13">
        <v>0</v>
      </c>
      <c r="F66" s="1">
        <v>0</v>
      </c>
      <c r="G66" s="11">
        <v>0</v>
      </c>
      <c r="H66" s="11">
        <v>0</v>
      </c>
      <c r="I66" s="1">
        <v>4</v>
      </c>
      <c r="J66" s="11">
        <f t="shared" si="25"/>
        <v>2.8571428571428571E-2</v>
      </c>
      <c r="K66" s="11">
        <f>J66/I71*100</f>
        <v>2.7685492801771869E-3</v>
      </c>
      <c r="L66" s="1">
        <v>3</v>
      </c>
      <c r="M66" s="11">
        <f>L66/43</f>
        <v>6.9767441860465115E-2</v>
      </c>
      <c r="N66" s="13">
        <f>M66/L71*100</f>
        <v>1.9114367633004142E-2</v>
      </c>
      <c r="O66" s="1">
        <v>1</v>
      </c>
      <c r="P66" s="11">
        <f>O66/26</f>
        <v>3.8461538461538464E-2</v>
      </c>
      <c r="Q66" s="11">
        <f>P66/O71*100</f>
        <v>1.1020498126515319E-2</v>
      </c>
      <c r="R66" s="1">
        <v>0</v>
      </c>
      <c r="S66" s="11">
        <v>0</v>
      </c>
      <c r="T66" s="11">
        <v>0</v>
      </c>
      <c r="U66" s="1">
        <v>0</v>
      </c>
      <c r="V66" s="13">
        <v>0</v>
      </c>
      <c r="W66" s="13">
        <v>0</v>
      </c>
      <c r="X66" s="26">
        <f>0/0.68</f>
        <v>0</v>
      </c>
      <c r="Y66" s="26">
        <f>0/1.01</f>
        <v>0</v>
      </c>
      <c r="Z66" s="26">
        <f>4/10.32</f>
        <v>0.38759689922480617</v>
      </c>
      <c r="AA66" s="26">
        <f>3/3.65</f>
        <v>0.82191780821917815</v>
      </c>
      <c r="AB66" s="26">
        <f>1/3.49</f>
        <v>0.28653295128939826</v>
      </c>
      <c r="AC66" s="26">
        <f t="shared" si="22"/>
        <v>0</v>
      </c>
      <c r="AD66" s="26">
        <f t="shared" si="23"/>
        <v>0</v>
      </c>
    </row>
    <row r="67" spans="2:30">
      <c r="B67" s="1" t="s">
        <v>22</v>
      </c>
      <c r="C67" s="1">
        <v>0</v>
      </c>
      <c r="D67" s="13">
        <v>0</v>
      </c>
      <c r="E67" s="13">
        <v>0</v>
      </c>
      <c r="F67" s="1">
        <v>0</v>
      </c>
      <c r="G67" s="11">
        <v>0</v>
      </c>
      <c r="H67" s="11">
        <v>0</v>
      </c>
      <c r="I67" s="1">
        <v>4</v>
      </c>
      <c r="J67" s="11">
        <f t="shared" si="25"/>
        <v>2.8571428571428571E-2</v>
      </c>
      <c r="K67" s="11">
        <f>J67/I71*100</f>
        <v>2.7685492801771869E-3</v>
      </c>
      <c r="L67" s="1">
        <v>0</v>
      </c>
      <c r="M67" s="11">
        <v>0</v>
      </c>
      <c r="N67" s="13">
        <v>0</v>
      </c>
      <c r="O67" s="1">
        <v>0</v>
      </c>
      <c r="P67" s="11">
        <v>0</v>
      </c>
      <c r="Q67" s="11">
        <v>0</v>
      </c>
      <c r="R67" s="1">
        <v>0</v>
      </c>
      <c r="S67" s="11">
        <v>0</v>
      </c>
      <c r="T67" s="11">
        <v>0</v>
      </c>
      <c r="U67" s="1">
        <v>0</v>
      </c>
      <c r="V67" s="13">
        <v>0</v>
      </c>
      <c r="W67" s="13">
        <v>0</v>
      </c>
      <c r="X67" s="26">
        <f t="shared" ref="X67:X70" si="26">0/0.68</f>
        <v>0</v>
      </c>
      <c r="Y67" s="26">
        <f>0/1.01</f>
        <v>0</v>
      </c>
      <c r="Z67" s="26">
        <f>4/10.32</f>
        <v>0.38759689922480617</v>
      </c>
      <c r="AA67" s="26">
        <f>0/3.65</f>
        <v>0</v>
      </c>
      <c r="AB67" s="26">
        <f>0/3.48</f>
        <v>0</v>
      </c>
      <c r="AC67" s="26">
        <f t="shared" si="22"/>
        <v>0</v>
      </c>
      <c r="AD67" s="26">
        <f t="shared" si="23"/>
        <v>0</v>
      </c>
    </row>
    <row r="68" spans="2:30">
      <c r="B68" s="1" t="s">
        <v>23</v>
      </c>
      <c r="C68" s="1">
        <v>0</v>
      </c>
      <c r="D68" s="13">
        <v>0</v>
      </c>
      <c r="E68" s="13">
        <v>0</v>
      </c>
      <c r="F68" s="1">
        <v>2</v>
      </c>
      <c r="G68" s="11">
        <f>F68/115</f>
        <v>1.7391304347826087E-2</v>
      </c>
      <c r="H68" s="11">
        <f>G68/F71*100</f>
        <v>1.7219113215669393E-2</v>
      </c>
      <c r="I68" s="1">
        <v>2</v>
      </c>
      <c r="J68" s="11">
        <f t="shared" si="25"/>
        <v>1.4285714285714285E-2</v>
      </c>
      <c r="K68" s="11">
        <f>J68/I71*100</f>
        <v>1.3842746400885935E-3</v>
      </c>
      <c r="L68" s="1">
        <v>0</v>
      </c>
      <c r="M68" s="11">
        <v>0</v>
      </c>
      <c r="N68" s="13">
        <v>0</v>
      </c>
      <c r="O68" s="1">
        <v>0</v>
      </c>
      <c r="P68" s="11">
        <v>0</v>
      </c>
      <c r="Q68" s="11">
        <v>0</v>
      </c>
      <c r="R68" s="1">
        <v>0</v>
      </c>
      <c r="S68" s="11">
        <v>0</v>
      </c>
      <c r="T68" s="11">
        <v>0</v>
      </c>
      <c r="U68" s="1">
        <v>0</v>
      </c>
      <c r="V68" s="13">
        <v>0</v>
      </c>
      <c r="W68" s="13">
        <v>0</v>
      </c>
      <c r="X68" s="26">
        <f t="shared" si="26"/>
        <v>0</v>
      </c>
      <c r="Y68" s="26">
        <f>2/1.01</f>
        <v>1.9801980198019802</v>
      </c>
      <c r="Z68" s="26">
        <f>2/10.32</f>
        <v>0.19379844961240308</v>
      </c>
      <c r="AA68" s="26">
        <f>0/3.63</f>
        <v>0</v>
      </c>
      <c r="AB68" s="26">
        <f>0/3.48</f>
        <v>0</v>
      </c>
      <c r="AC68" s="26">
        <f t="shared" si="22"/>
        <v>0</v>
      </c>
      <c r="AD68" s="26">
        <f t="shared" si="23"/>
        <v>0</v>
      </c>
    </row>
    <row r="69" spans="2:30">
      <c r="B69" s="1" t="s">
        <v>24</v>
      </c>
      <c r="C69" s="1">
        <v>0</v>
      </c>
      <c r="D69" s="13">
        <v>0</v>
      </c>
      <c r="E69" s="13">
        <v>0</v>
      </c>
      <c r="F69" s="1">
        <v>9</v>
      </c>
      <c r="G69" s="11">
        <f>F69/115</f>
        <v>7.8260869565217397E-2</v>
      </c>
      <c r="H69" s="11">
        <f>G69/F71*100</f>
        <v>7.7486009470512263E-2</v>
      </c>
      <c r="I69" s="1">
        <v>38</v>
      </c>
      <c r="J69" s="11">
        <f t="shared" si="25"/>
        <v>0.27142857142857141</v>
      </c>
      <c r="K69" s="11">
        <f>J69/I71*100</f>
        <v>2.6301218161683276E-2</v>
      </c>
      <c r="L69" s="1">
        <v>7</v>
      </c>
      <c r="M69" s="11">
        <f>L69/43</f>
        <v>0.16279069767441862</v>
      </c>
      <c r="N69" s="13">
        <f>M69/L71*100</f>
        <v>4.4600191143676332E-2</v>
      </c>
      <c r="O69" s="1">
        <v>7</v>
      </c>
      <c r="P69" s="11">
        <f>O69/26</f>
        <v>0.26923076923076922</v>
      </c>
      <c r="Q69" s="11">
        <f>P69/O71*100</f>
        <v>7.7143486885607224E-2</v>
      </c>
      <c r="R69" s="1">
        <v>2</v>
      </c>
      <c r="S69" s="11">
        <f>R69/11</f>
        <v>0.18181818181818182</v>
      </c>
      <c r="T69" s="11">
        <f>S69/R71*100</f>
        <v>7.9396585946804279E-2</v>
      </c>
      <c r="U69" s="1">
        <v>10</v>
      </c>
      <c r="V69" s="13">
        <f>U69/16</f>
        <v>0.625</v>
      </c>
      <c r="W69" s="13">
        <f>V69/U71*100</f>
        <v>0.16149870801033592</v>
      </c>
      <c r="X69" s="26">
        <f t="shared" si="26"/>
        <v>0</v>
      </c>
      <c r="Y69" s="26">
        <f>9/1.01</f>
        <v>8.9108910891089117</v>
      </c>
      <c r="Z69" s="26">
        <f>38/10.32</f>
        <v>3.6821705426356588</v>
      </c>
      <c r="AA69" s="26">
        <f>7/3.65</f>
        <v>1.9178082191780823</v>
      </c>
      <c r="AB69" s="26">
        <f>7/3.49</f>
        <v>2.005730659025788</v>
      </c>
      <c r="AC69" s="26">
        <f>2/2.29</f>
        <v>0.8733624454148472</v>
      </c>
      <c r="AD69" s="26">
        <f>10/3.87</f>
        <v>2.5839793281653747</v>
      </c>
    </row>
    <row r="70" spans="2:30">
      <c r="B70" s="1" t="s">
        <v>25</v>
      </c>
      <c r="C70" s="1">
        <v>0</v>
      </c>
      <c r="D70" s="13">
        <v>0</v>
      </c>
      <c r="E70" s="13">
        <v>0</v>
      </c>
      <c r="F70" s="1">
        <v>7</v>
      </c>
      <c r="G70" s="11">
        <f>F70/115</f>
        <v>6.0869565217391307E-2</v>
      </c>
      <c r="H70" s="11">
        <f>G70/F71*100</f>
        <v>6.0266896254842876E-2</v>
      </c>
      <c r="I70" s="1">
        <v>70</v>
      </c>
      <c r="J70" s="11">
        <f t="shared" si="25"/>
        <v>0.5</v>
      </c>
      <c r="K70" s="11">
        <f>J70/I71*100</f>
        <v>4.8449612403100778E-2</v>
      </c>
      <c r="L70" s="1">
        <v>7</v>
      </c>
      <c r="M70" s="11">
        <f>L70/43</f>
        <v>0.16279069767441862</v>
      </c>
      <c r="N70" s="13">
        <f>M70/L71*100</f>
        <v>4.4600191143676332E-2</v>
      </c>
      <c r="O70" s="1">
        <v>18</v>
      </c>
      <c r="P70" s="11">
        <f>O70/26</f>
        <v>0.69230769230769229</v>
      </c>
      <c r="Q70" s="11">
        <f>P70/O71*100</f>
        <v>0.19836896627727571</v>
      </c>
      <c r="R70" s="1">
        <v>4</v>
      </c>
      <c r="S70" s="11">
        <f>R70/11</f>
        <v>0.36363636363636365</v>
      </c>
      <c r="T70" s="11">
        <f>S70/R71*100</f>
        <v>0.15879317189360856</v>
      </c>
      <c r="U70" s="1">
        <v>4</v>
      </c>
      <c r="V70" s="13">
        <f>U70/16</f>
        <v>0.25</v>
      </c>
      <c r="W70" s="13">
        <f>V70/U71*100</f>
        <v>6.4599483204134375E-2</v>
      </c>
      <c r="X70" s="26">
        <f t="shared" si="26"/>
        <v>0</v>
      </c>
      <c r="Y70" s="26">
        <f>7/1.01</f>
        <v>6.9306930693069306</v>
      </c>
      <c r="Z70" s="26">
        <f>70/10.32</f>
        <v>6.7829457364341081</v>
      </c>
      <c r="AA70" s="26">
        <f>7/3.65</f>
        <v>1.9178082191780823</v>
      </c>
      <c r="AB70" s="26">
        <f>18/3.49</f>
        <v>5.1575931232091685</v>
      </c>
      <c r="AC70" s="26">
        <f>4/2.29</f>
        <v>1.7467248908296944</v>
      </c>
      <c r="AD70" s="26">
        <f>4/3.87</f>
        <v>1.0335917312661498</v>
      </c>
    </row>
    <row r="71" spans="2:30">
      <c r="B71" s="1" t="s">
        <v>26</v>
      </c>
      <c r="C71" s="1">
        <f t="shared" ref="C71:U71" si="27">SUM(C52:C70)</f>
        <v>68</v>
      </c>
      <c r="D71" s="13">
        <f>C71/451</f>
        <v>0.15077605321507762</v>
      </c>
      <c r="E71" s="13">
        <f>D71/C73*100</f>
        <v>5.9571731811567602E-3</v>
      </c>
      <c r="F71" s="1">
        <f t="shared" si="27"/>
        <v>101</v>
      </c>
      <c r="G71" s="11">
        <f>F71/115</f>
        <v>0.87826086956521743</v>
      </c>
      <c r="H71" s="11">
        <f>G71/C73*100</f>
        <v>3.4700152886812226E-2</v>
      </c>
      <c r="I71" s="1">
        <f t="shared" si="27"/>
        <v>1032</v>
      </c>
      <c r="J71" s="11">
        <f t="shared" si="25"/>
        <v>7.371428571428571</v>
      </c>
      <c r="K71" s="11">
        <f>J71/C73*100</f>
        <v>0.29124569622396568</v>
      </c>
      <c r="L71" s="1">
        <f t="shared" si="27"/>
        <v>365</v>
      </c>
      <c r="M71" s="11">
        <f>L71/43</f>
        <v>8.4883720930232567</v>
      </c>
      <c r="N71" s="13">
        <f>M71/C73*100</f>
        <v>0.33537621861016426</v>
      </c>
      <c r="O71" s="1">
        <f t="shared" si="27"/>
        <v>349</v>
      </c>
      <c r="P71" s="11">
        <f>O71/26</f>
        <v>13.423076923076923</v>
      </c>
      <c r="Q71" s="11">
        <f>P71/C73*100</f>
        <v>0.53034677688964538</v>
      </c>
      <c r="R71" s="1">
        <f t="shared" si="27"/>
        <v>229</v>
      </c>
      <c r="S71" s="11">
        <f>R71/11</f>
        <v>20.818181818181817</v>
      </c>
      <c r="T71" s="11">
        <f>S71/C73*100</f>
        <v>0.82252792643942374</v>
      </c>
      <c r="U71" s="1">
        <f t="shared" si="27"/>
        <v>387</v>
      </c>
      <c r="V71" s="13">
        <f>U71/16</f>
        <v>24.1875</v>
      </c>
      <c r="W71" s="13">
        <f>V71/C73*100</f>
        <v>0.95564994073488752</v>
      </c>
      <c r="X71" s="26">
        <f t="shared" ref="X71:AD71" si="28">SUM(X52:X70)</f>
        <v>99.999999999999986</v>
      </c>
      <c r="Y71" s="26">
        <f t="shared" si="28"/>
        <v>99.999999999999986</v>
      </c>
      <c r="Z71" s="26">
        <f t="shared" si="28"/>
        <v>100</v>
      </c>
      <c r="AA71" s="26">
        <f>SUM(AA52:AA70)</f>
        <v>100.00000000000001</v>
      </c>
      <c r="AB71" s="26">
        <f t="shared" si="28"/>
        <v>100</v>
      </c>
      <c r="AC71" s="26">
        <f t="shared" si="28"/>
        <v>99.999999999999986</v>
      </c>
      <c r="AD71" s="26">
        <f t="shared" si="28"/>
        <v>100</v>
      </c>
    </row>
    <row r="72" spans="2:30">
      <c r="AA72" s="35"/>
      <c r="AC72" s="35"/>
    </row>
    <row r="73" spans="2:30">
      <c r="B73" s="27" t="s">
        <v>60</v>
      </c>
      <c r="C73" s="27">
        <f>C71+F71+I71+L71+O71+R71+U71</f>
        <v>2531</v>
      </c>
    </row>
    <row r="75" spans="2:30" ht="15.75">
      <c r="B75" s="36" t="s">
        <v>33</v>
      </c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7"/>
      <c r="W75" s="37"/>
      <c r="X75" s="37"/>
      <c r="Y75" s="37"/>
      <c r="Z75" s="37"/>
      <c r="AA75" s="37"/>
      <c r="AB75" s="37"/>
      <c r="AC75" s="37"/>
      <c r="AD75" s="37"/>
    </row>
    <row r="76" spans="2:30">
      <c r="B76" s="4" t="s">
        <v>0</v>
      </c>
      <c r="C76" s="5" t="s">
        <v>1</v>
      </c>
      <c r="D76" s="6" t="s">
        <v>34</v>
      </c>
      <c r="E76" s="7" t="s">
        <v>35</v>
      </c>
      <c r="F76" s="5" t="s">
        <v>2</v>
      </c>
      <c r="G76" s="6" t="s">
        <v>34</v>
      </c>
      <c r="H76" s="7" t="s">
        <v>35</v>
      </c>
      <c r="I76" s="5" t="s">
        <v>3</v>
      </c>
      <c r="J76" s="6" t="s">
        <v>34</v>
      </c>
      <c r="K76" s="7" t="s">
        <v>35</v>
      </c>
      <c r="L76" s="5" t="s">
        <v>4</v>
      </c>
      <c r="M76" s="6" t="s">
        <v>34</v>
      </c>
      <c r="N76" s="14" t="s">
        <v>35</v>
      </c>
      <c r="O76" s="5" t="s">
        <v>5</v>
      </c>
      <c r="P76" s="6" t="s">
        <v>34</v>
      </c>
      <c r="Q76" s="7" t="s">
        <v>35</v>
      </c>
      <c r="R76" s="5" t="s">
        <v>30</v>
      </c>
      <c r="S76" s="6" t="s">
        <v>34</v>
      </c>
      <c r="T76" s="7" t="s">
        <v>35</v>
      </c>
      <c r="U76" s="5" t="s">
        <v>31</v>
      </c>
      <c r="V76" s="28" t="s">
        <v>34</v>
      </c>
      <c r="W76" s="14" t="s">
        <v>35</v>
      </c>
      <c r="X76" s="7" t="s">
        <v>46</v>
      </c>
      <c r="Y76" s="7" t="s">
        <v>47</v>
      </c>
      <c r="Z76" s="7" t="s">
        <v>48</v>
      </c>
      <c r="AA76" s="7" t="s">
        <v>49</v>
      </c>
      <c r="AB76" s="7" t="s">
        <v>50</v>
      </c>
      <c r="AC76" s="7" t="s">
        <v>51</v>
      </c>
      <c r="AD76" s="7" t="s">
        <v>52</v>
      </c>
    </row>
    <row r="77" spans="2:30">
      <c r="B77" s="1" t="s">
        <v>8</v>
      </c>
      <c r="C77" s="1">
        <v>0</v>
      </c>
      <c r="D77" s="13">
        <v>0</v>
      </c>
      <c r="E77" s="13">
        <v>0</v>
      </c>
      <c r="F77" s="1">
        <v>0</v>
      </c>
      <c r="G77" s="13">
        <v>0</v>
      </c>
      <c r="H77" s="13">
        <v>0</v>
      </c>
      <c r="I77" s="1">
        <v>0</v>
      </c>
      <c r="J77" s="11">
        <v>0</v>
      </c>
      <c r="K77" s="11">
        <v>0</v>
      </c>
      <c r="L77" s="1">
        <v>0</v>
      </c>
      <c r="M77" s="11">
        <v>0</v>
      </c>
      <c r="N77" s="13">
        <v>0</v>
      </c>
      <c r="O77" s="1">
        <v>0</v>
      </c>
      <c r="P77" s="11">
        <v>0</v>
      </c>
      <c r="Q77" s="11">
        <v>0</v>
      </c>
      <c r="R77" s="1">
        <v>0</v>
      </c>
      <c r="S77" s="11">
        <v>0</v>
      </c>
      <c r="T77" s="11">
        <v>0</v>
      </c>
      <c r="U77" s="1">
        <v>0</v>
      </c>
      <c r="V77" s="13">
        <v>0</v>
      </c>
      <c r="W77" s="13">
        <v>0</v>
      </c>
      <c r="X77" s="26">
        <f>0/0.12</f>
        <v>0</v>
      </c>
      <c r="Y77" s="26">
        <f t="shared" ref="Y77:AD77" si="29">0/0.12</f>
        <v>0</v>
      </c>
      <c r="Z77" s="26">
        <f t="shared" si="29"/>
        <v>0</v>
      </c>
      <c r="AA77" s="26">
        <f t="shared" si="29"/>
        <v>0</v>
      </c>
      <c r="AB77" s="26">
        <f t="shared" si="29"/>
        <v>0</v>
      </c>
      <c r="AC77" s="26">
        <f t="shared" si="29"/>
        <v>0</v>
      </c>
      <c r="AD77" s="26">
        <f t="shared" si="29"/>
        <v>0</v>
      </c>
    </row>
    <row r="78" spans="2:30">
      <c r="B78" s="1" t="s">
        <v>9</v>
      </c>
      <c r="C78" s="1">
        <v>0</v>
      </c>
      <c r="D78" s="13">
        <v>0</v>
      </c>
      <c r="E78" s="13">
        <v>0</v>
      </c>
      <c r="F78" s="1">
        <v>0</v>
      </c>
      <c r="G78" s="13">
        <v>0</v>
      </c>
      <c r="H78" s="13">
        <v>0</v>
      </c>
      <c r="I78" s="1">
        <v>11</v>
      </c>
      <c r="J78" s="11">
        <f>I78/140</f>
        <v>7.857142857142857E-2</v>
      </c>
      <c r="K78" s="11">
        <f>J78/I95*100</f>
        <v>5.5763966338842142E-3</v>
      </c>
      <c r="L78" s="1">
        <v>0</v>
      </c>
      <c r="M78" s="11">
        <v>0</v>
      </c>
      <c r="N78" s="13">
        <v>0</v>
      </c>
      <c r="O78" s="1">
        <v>0</v>
      </c>
      <c r="P78" s="11">
        <v>0</v>
      </c>
      <c r="Q78" s="11">
        <v>0</v>
      </c>
      <c r="R78" s="1">
        <v>0</v>
      </c>
      <c r="S78" s="11">
        <v>0</v>
      </c>
      <c r="T78" s="11">
        <v>0</v>
      </c>
      <c r="U78" s="1">
        <v>0</v>
      </c>
      <c r="V78" s="13">
        <v>0</v>
      </c>
      <c r="W78" s="13">
        <v>0</v>
      </c>
      <c r="X78" s="26">
        <f>0/0.12</f>
        <v>0</v>
      </c>
      <c r="Y78" s="26">
        <f>0/0.29</f>
        <v>0</v>
      </c>
      <c r="Z78" s="26">
        <f>11/14.09</f>
        <v>0.78069552874378989</v>
      </c>
      <c r="AA78" s="26">
        <f>0/1.07</f>
        <v>0</v>
      </c>
      <c r="AB78" s="26">
        <f>0/1.35</f>
        <v>0</v>
      </c>
      <c r="AC78" s="26">
        <f>0/0.85</f>
        <v>0</v>
      </c>
      <c r="AD78" s="26">
        <f>0/0.87</f>
        <v>0</v>
      </c>
    </row>
    <row r="79" spans="2:30">
      <c r="B79" s="1" t="s">
        <v>10</v>
      </c>
      <c r="C79" s="1">
        <v>0</v>
      </c>
      <c r="D79" s="13">
        <v>0</v>
      </c>
      <c r="E79" s="13">
        <v>0</v>
      </c>
      <c r="F79" s="1">
        <v>0</v>
      </c>
      <c r="G79" s="13">
        <v>0</v>
      </c>
      <c r="H79" s="13">
        <v>0</v>
      </c>
      <c r="I79" s="1">
        <v>0</v>
      </c>
      <c r="J79" s="11">
        <v>0</v>
      </c>
      <c r="K79" s="11">
        <v>0</v>
      </c>
      <c r="L79" s="1">
        <v>10</v>
      </c>
      <c r="M79" s="11">
        <f>L79/43</f>
        <v>0.23255813953488372</v>
      </c>
      <c r="N79" s="13">
        <f>M79/L95*100</f>
        <v>0.21734405564007822</v>
      </c>
      <c r="O79" s="1">
        <v>69</v>
      </c>
      <c r="P79" s="11">
        <f>O79/26</f>
        <v>2.6538461538461537</v>
      </c>
      <c r="Q79" s="11">
        <f>P79/O95*100</f>
        <v>1.9658119658119657</v>
      </c>
      <c r="R79" s="1">
        <v>84</v>
      </c>
      <c r="S79" s="11">
        <f>R79/11</f>
        <v>7.6363636363636367</v>
      </c>
      <c r="T79" s="11">
        <f>S79/R95*100</f>
        <v>8.9839572192513373</v>
      </c>
      <c r="U79" s="1">
        <v>54</v>
      </c>
      <c r="V79" s="13">
        <f>U79/16</f>
        <v>3.375</v>
      </c>
      <c r="W79" s="13">
        <f>V79/U95*100</f>
        <v>3.8793103448275863</v>
      </c>
      <c r="X79" s="26">
        <f>0/0.12</f>
        <v>0</v>
      </c>
      <c r="Y79" s="26">
        <f>0/0.29</f>
        <v>0</v>
      </c>
      <c r="Z79" s="26">
        <f>0/14.09</f>
        <v>0</v>
      </c>
      <c r="AA79" s="26">
        <f>10/1.07</f>
        <v>9.3457943925233646</v>
      </c>
      <c r="AB79" s="26">
        <f>69/1.35</f>
        <v>51.111111111111107</v>
      </c>
      <c r="AC79" s="26">
        <f>84/0.85</f>
        <v>98.82352941176471</v>
      </c>
      <c r="AD79" s="26">
        <f>54/0.87</f>
        <v>62.068965517241381</v>
      </c>
    </row>
    <row r="80" spans="2:30">
      <c r="B80" s="1" t="s">
        <v>11</v>
      </c>
      <c r="C80" s="1">
        <v>12</v>
      </c>
      <c r="D80" s="13">
        <f>C80/451</f>
        <v>2.6607538802660754E-2</v>
      </c>
      <c r="E80" s="13">
        <f>D80/C95*100</f>
        <v>0.22172949002217296</v>
      </c>
      <c r="F80" s="1">
        <v>20</v>
      </c>
      <c r="G80" s="13">
        <f>F80/115</f>
        <v>0.17391304347826086</v>
      </c>
      <c r="H80" s="13">
        <f>G80/F95*100</f>
        <v>0.59970014992503751</v>
      </c>
      <c r="I80" s="1">
        <v>1208</v>
      </c>
      <c r="J80" s="11">
        <f>I80/140</f>
        <v>8.6285714285714281</v>
      </c>
      <c r="K80" s="11">
        <f>J80/I95*100</f>
        <v>0.61238973943019359</v>
      </c>
      <c r="L80" s="1">
        <v>79</v>
      </c>
      <c r="M80" s="11">
        <f>L80/43</f>
        <v>1.8372093023255813</v>
      </c>
      <c r="N80" s="13">
        <f>M80/L95*100</f>
        <v>1.7170180395566181</v>
      </c>
      <c r="O80" s="1">
        <v>6</v>
      </c>
      <c r="P80" s="11">
        <f>O80/26</f>
        <v>0.23076923076923078</v>
      </c>
      <c r="Q80" s="11">
        <f>P80/O95*100</f>
        <v>0.17094017094017094</v>
      </c>
      <c r="R80" s="1">
        <v>0</v>
      </c>
      <c r="S80" s="11">
        <v>0</v>
      </c>
      <c r="T80" s="11">
        <v>0</v>
      </c>
      <c r="U80" s="1">
        <v>1</v>
      </c>
      <c r="V80" s="13">
        <f>U80/16</f>
        <v>6.25E-2</v>
      </c>
      <c r="W80" s="13">
        <f>V80/U95*100</f>
        <v>7.183908045977011E-2</v>
      </c>
      <c r="X80" s="26">
        <f>12/0.12</f>
        <v>100</v>
      </c>
      <c r="Y80" s="26">
        <f>20/0.29</f>
        <v>68.965517241379317</v>
      </c>
      <c r="Z80" s="26">
        <f>1208/14.09</f>
        <v>85.734563520227113</v>
      </c>
      <c r="AA80" s="26">
        <f>79/1.07</f>
        <v>73.831775700934571</v>
      </c>
      <c r="AB80" s="26">
        <f>6/1.35</f>
        <v>4.4444444444444438</v>
      </c>
      <c r="AC80" s="26">
        <f>0/0.85</f>
        <v>0</v>
      </c>
      <c r="AD80" s="26">
        <f>1/0.87</f>
        <v>1.1494252873563218</v>
      </c>
    </row>
    <row r="81" spans="2:30">
      <c r="B81" s="1" t="s">
        <v>12</v>
      </c>
      <c r="C81" s="1">
        <v>0</v>
      </c>
      <c r="D81" s="13">
        <v>0</v>
      </c>
      <c r="E81" s="13">
        <v>0</v>
      </c>
      <c r="F81" s="1">
        <v>1</v>
      </c>
      <c r="G81" s="13">
        <f>F81/115</f>
        <v>8.6956521739130436E-3</v>
      </c>
      <c r="H81" s="13">
        <f>G81/F95*100</f>
        <v>2.998500749625187E-2</v>
      </c>
      <c r="I81" s="1">
        <v>0</v>
      </c>
      <c r="J81" s="11">
        <v>0</v>
      </c>
      <c r="K81" s="11">
        <v>0</v>
      </c>
      <c r="L81" s="1">
        <v>0</v>
      </c>
      <c r="M81" s="11">
        <v>0</v>
      </c>
      <c r="N81" s="13">
        <v>0</v>
      </c>
      <c r="O81" s="1">
        <v>0</v>
      </c>
      <c r="P81" s="11">
        <v>0</v>
      </c>
      <c r="Q81" s="11">
        <v>0</v>
      </c>
      <c r="R81" s="1">
        <v>0</v>
      </c>
      <c r="S81" s="11">
        <v>0</v>
      </c>
      <c r="T81" s="11">
        <v>0</v>
      </c>
      <c r="U81" s="1">
        <v>0</v>
      </c>
      <c r="V81" s="13">
        <v>0</v>
      </c>
      <c r="W81" s="13">
        <v>0</v>
      </c>
      <c r="X81" s="26">
        <f>0/0.12</f>
        <v>0</v>
      </c>
      <c r="Y81" s="26">
        <f>1/0.29</f>
        <v>3.4482758620689657</v>
      </c>
      <c r="Z81" s="26">
        <f>0/14.09</f>
        <v>0</v>
      </c>
      <c r="AA81" s="26">
        <f>0/1.07</f>
        <v>0</v>
      </c>
      <c r="AB81" s="26">
        <f>0/1.35</f>
        <v>0</v>
      </c>
      <c r="AC81" s="26">
        <f t="shared" ref="AC81:AC88" si="30">0/0.85</f>
        <v>0</v>
      </c>
      <c r="AD81" s="26">
        <f>0/0.87</f>
        <v>0</v>
      </c>
    </row>
    <row r="82" spans="2:30">
      <c r="B82" s="1" t="s">
        <v>13</v>
      </c>
      <c r="C82" s="1">
        <v>0</v>
      </c>
      <c r="D82" s="13">
        <v>0</v>
      </c>
      <c r="E82" s="13">
        <v>0</v>
      </c>
      <c r="F82" s="1">
        <v>0</v>
      </c>
      <c r="G82" s="13">
        <v>0</v>
      </c>
      <c r="H82" s="13">
        <v>0</v>
      </c>
      <c r="I82" s="1">
        <v>0</v>
      </c>
      <c r="J82" s="11">
        <v>0</v>
      </c>
      <c r="K82" s="11">
        <v>0</v>
      </c>
      <c r="L82" s="1">
        <v>0</v>
      </c>
      <c r="M82" s="11">
        <v>0</v>
      </c>
      <c r="N82" s="13">
        <v>0</v>
      </c>
      <c r="O82" s="1">
        <v>0</v>
      </c>
      <c r="P82" s="11">
        <v>0</v>
      </c>
      <c r="Q82" s="11">
        <v>0</v>
      </c>
      <c r="R82" s="1">
        <v>0</v>
      </c>
      <c r="S82" s="11">
        <v>0</v>
      </c>
      <c r="T82" s="11">
        <v>0</v>
      </c>
      <c r="U82" s="1">
        <v>0</v>
      </c>
      <c r="V82" s="13">
        <v>0</v>
      </c>
      <c r="W82" s="13">
        <v>0</v>
      </c>
      <c r="X82" s="26">
        <f t="shared" ref="X82:X94" si="31">0/0.12</f>
        <v>0</v>
      </c>
      <c r="Y82" s="26">
        <f>0/0.29</f>
        <v>0</v>
      </c>
      <c r="Z82" s="26">
        <f>0/14.09</f>
        <v>0</v>
      </c>
      <c r="AA82" s="26">
        <f>0/1.07</f>
        <v>0</v>
      </c>
      <c r="AB82" s="26">
        <f>0/1.35</f>
        <v>0</v>
      </c>
      <c r="AC82" s="26">
        <f t="shared" si="30"/>
        <v>0</v>
      </c>
      <c r="AD82" s="26">
        <f t="shared" ref="AD82:AD88" si="32">0/0.87</f>
        <v>0</v>
      </c>
    </row>
    <row r="83" spans="2:30">
      <c r="B83" s="1" t="s">
        <v>14</v>
      </c>
      <c r="C83" s="1">
        <v>0</v>
      </c>
      <c r="D83" s="13">
        <v>0</v>
      </c>
      <c r="E83" s="13">
        <v>0</v>
      </c>
      <c r="F83" s="1">
        <v>0</v>
      </c>
      <c r="G83" s="13">
        <v>0</v>
      </c>
      <c r="H83" s="13">
        <v>0</v>
      </c>
      <c r="I83" s="1">
        <v>58</v>
      </c>
      <c r="J83" s="11">
        <f>I83/140</f>
        <v>0.41428571428571431</v>
      </c>
      <c r="K83" s="11">
        <f>J83/I95*100</f>
        <v>2.9402818615025857E-2</v>
      </c>
      <c r="L83" s="1">
        <v>7</v>
      </c>
      <c r="M83" s="11">
        <f>L83/43</f>
        <v>0.16279069767441862</v>
      </c>
      <c r="N83" s="13">
        <f>M83/L95*100</f>
        <v>0.15214083894805477</v>
      </c>
      <c r="O83" s="1">
        <v>19</v>
      </c>
      <c r="P83" s="11">
        <f>O83/26</f>
        <v>0.73076923076923073</v>
      </c>
      <c r="Q83" s="11">
        <f>P83/O95*100</f>
        <v>0.54131054131054124</v>
      </c>
      <c r="R83" s="1">
        <v>0</v>
      </c>
      <c r="S83" s="11">
        <v>0</v>
      </c>
      <c r="T83" s="11">
        <v>0</v>
      </c>
      <c r="U83" s="1">
        <v>0</v>
      </c>
      <c r="V83" s="13">
        <v>0</v>
      </c>
      <c r="W83" s="13">
        <v>0</v>
      </c>
      <c r="X83" s="26">
        <f t="shared" si="31"/>
        <v>0</v>
      </c>
      <c r="Y83" s="26">
        <f>0/0.29</f>
        <v>0</v>
      </c>
      <c r="Z83" s="26">
        <f>58/14.09</f>
        <v>4.1163946061036194</v>
      </c>
      <c r="AA83" s="26">
        <f>7/1.07</f>
        <v>6.5420560747663545</v>
      </c>
      <c r="AB83" s="26">
        <f>19/1.35</f>
        <v>14.074074074074073</v>
      </c>
      <c r="AC83" s="26">
        <f t="shared" si="30"/>
        <v>0</v>
      </c>
      <c r="AD83" s="26">
        <f t="shared" si="32"/>
        <v>0</v>
      </c>
    </row>
    <row r="84" spans="2:30">
      <c r="B84" s="1" t="s">
        <v>15</v>
      </c>
      <c r="C84" s="1">
        <v>0</v>
      </c>
      <c r="D84" s="13">
        <v>0</v>
      </c>
      <c r="E84" s="13">
        <v>0</v>
      </c>
      <c r="F84" s="1">
        <v>2</v>
      </c>
      <c r="G84" s="13">
        <f>F84/115</f>
        <v>1.7391304347826087E-2</v>
      </c>
      <c r="H84" s="13">
        <f>G84/F95*100</f>
        <v>5.9970014992503741E-2</v>
      </c>
      <c r="I84" s="1">
        <v>15</v>
      </c>
      <c r="J84" s="11">
        <f>I84/140</f>
        <v>0.10714285714285714</v>
      </c>
      <c r="K84" s="11">
        <f>J84/I95*100</f>
        <v>7.6041772280239272E-3</v>
      </c>
      <c r="L84" s="1">
        <v>1</v>
      </c>
      <c r="M84" s="11">
        <f>L84/43</f>
        <v>2.3255813953488372E-2</v>
      </c>
      <c r="N84" s="13">
        <f>M84/L95*100</f>
        <v>2.1734405564007825E-2</v>
      </c>
      <c r="O84" s="1">
        <v>6</v>
      </c>
      <c r="P84" s="11">
        <f>O84/26</f>
        <v>0.23076923076923078</v>
      </c>
      <c r="Q84" s="11">
        <f>P84/O95*100</f>
        <v>0.17094017094017094</v>
      </c>
      <c r="R84" s="1">
        <v>0</v>
      </c>
      <c r="S84" s="11">
        <v>0</v>
      </c>
      <c r="T84" s="11">
        <v>0</v>
      </c>
      <c r="U84" s="1">
        <v>0</v>
      </c>
      <c r="V84" s="13">
        <v>0</v>
      </c>
      <c r="W84" s="13">
        <v>0</v>
      </c>
      <c r="X84" s="26">
        <f t="shared" si="31"/>
        <v>0</v>
      </c>
      <c r="Y84" s="26">
        <f>2/0.29</f>
        <v>6.8965517241379315</v>
      </c>
      <c r="Z84" s="26">
        <f>15/14.09</f>
        <v>1.0645848119233499</v>
      </c>
      <c r="AA84" s="26">
        <f>1/1.07</f>
        <v>0.93457943925233644</v>
      </c>
      <c r="AB84" s="26">
        <f>6/1.35</f>
        <v>4.4444444444444438</v>
      </c>
      <c r="AC84" s="26">
        <f t="shared" si="30"/>
        <v>0</v>
      </c>
      <c r="AD84" s="26">
        <f t="shared" si="32"/>
        <v>0</v>
      </c>
    </row>
    <row r="85" spans="2:30">
      <c r="B85" s="1" t="s">
        <v>16</v>
      </c>
      <c r="C85" s="1">
        <v>0</v>
      </c>
      <c r="D85" s="13">
        <v>0</v>
      </c>
      <c r="E85" s="13">
        <v>0</v>
      </c>
      <c r="F85" s="1">
        <v>3</v>
      </c>
      <c r="G85" s="13">
        <f>F85/115</f>
        <v>2.6086956521739129E-2</v>
      </c>
      <c r="H85" s="13">
        <f>G85/F95*100</f>
        <v>8.9955022488755615E-2</v>
      </c>
      <c r="I85" s="1">
        <v>60</v>
      </c>
      <c r="J85" s="11">
        <f>I85/140</f>
        <v>0.42857142857142855</v>
      </c>
      <c r="K85" s="11">
        <f>J85/I95*100</f>
        <v>3.0416708912095709E-2</v>
      </c>
      <c r="L85" s="1">
        <v>3</v>
      </c>
      <c r="M85" s="11">
        <f>L85/43</f>
        <v>6.9767441860465115E-2</v>
      </c>
      <c r="N85" s="13">
        <f>M85/L95*100</f>
        <v>6.5203216692023475E-2</v>
      </c>
      <c r="O85" s="1">
        <v>4</v>
      </c>
      <c r="P85" s="11">
        <f>O85/26</f>
        <v>0.15384615384615385</v>
      </c>
      <c r="Q85" s="11">
        <f>P85/O95*100</f>
        <v>0.11396011396011398</v>
      </c>
      <c r="R85" s="1">
        <v>0</v>
      </c>
      <c r="S85" s="11">
        <v>0</v>
      </c>
      <c r="T85" s="11">
        <v>0</v>
      </c>
      <c r="U85" s="1">
        <v>0</v>
      </c>
      <c r="V85" s="13">
        <v>0</v>
      </c>
      <c r="W85" s="13">
        <v>0</v>
      </c>
      <c r="X85" s="26">
        <f t="shared" si="31"/>
        <v>0</v>
      </c>
      <c r="Y85" s="26">
        <f>3/0.29</f>
        <v>10.344827586206897</v>
      </c>
      <c r="Z85" s="26">
        <f>60/14.09</f>
        <v>4.2583392476933994</v>
      </c>
      <c r="AA85" s="26">
        <f>3/1.07</f>
        <v>2.8037383177570092</v>
      </c>
      <c r="AB85" s="26">
        <f>4/1.35</f>
        <v>2.9629629629629628</v>
      </c>
      <c r="AC85" s="26">
        <f t="shared" si="30"/>
        <v>0</v>
      </c>
      <c r="AD85" s="26">
        <f t="shared" si="32"/>
        <v>0</v>
      </c>
    </row>
    <row r="86" spans="2:30">
      <c r="B86" s="1" t="s">
        <v>17</v>
      </c>
      <c r="C86" s="1">
        <v>0</v>
      </c>
      <c r="D86" s="13">
        <v>0</v>
      </c>
      <c r="E86" s="13">
        <v>0</v>
      </c>
      <c r="F86" s="1">
        <v>0</v>
      </c>
      <c r="G86" s="13">
        <v>0</v>
      </c>
      <c r="H86" s="13">
        <v>0</v>
      </c>
      <c r="I86" s="1">
        <v>1</v>
      </c>
      <c r="J86" s="11">
        <f>I86/140</f>
        <v>7.1428571428571426E-3</v>
      </c>
      <c r="K86" s="11">
        <f>J86/I95*100</f>
        <v>5.0694514853492846E-4</v>
      </c>
      <c r="L86" s="1">
        <v>0</v>
      </c>
      <c r="M86" s="11">
        <v>0</v>
      </c>
      <c r="N86" s="13">
        <v>0</v>
      </c>
      <c r="O86" s="1">
        <v>0</v>
      </c>
      <c r="P86" s="11">
        <v>0</v>
      </c>
      <c r="Q86" s="11">
        <v>0</v>
      </c>
      <c r="R86" s="1">
        <v>0</v>
      </c>
      <c r="S86" s="11">
        <v>0</v>
      </c>
      <c r="T86" s="11">
        <v>0</v>
      </c>
      <c r="U86" s="1">
        <v>0</v>
      </c>
      <c r="V86" s="13">
        <v>0</v>
      </c>
      <c r="W86" s="13">
        <v>0</v>
      </c>
      <c r="X86" s="26">
        <f t="shared" si="31"/>
        <v>0</v>
      </c>
      <c r="Y86" s="26">
        <f>0/0.29</f>
        <v>0</v>
      </c>
      <c r="Z86" s="26">
        <f>1/14.09</f>
        <v>7.0972320794889993E-2</v>
      </c>
      <c r="AA86" s="26">
        <f>0/1.07</f>
        <v>0</v>
      </c>
      <c r="AB86" s="26">
        <f>0/1.35</f>
        <v>0</v>
      </c>
      <c r="AC86" s="26">
        <f t="shared" si="30"/>
        <v>0</v>
      </c>
      <c r="AD86" s="26">
        <f t="shared" si="32"/>
        <v>0</v>
      </c>
    </row>
    <row r="87" spans="2:30">
      <c r="B87" s="1" t="s">
        <v>18</v>
      </c>
      <c r="C87" s="1">
        <v>0</v>
      </c>
      <c r="D87" s="13">
        <v>0</v>
      </c>
      <c r="E87" s="13">
        <v>0</v>
      </c>
      <c r="F87" s="1">
        <v>0</v>
      </c>
      <c r="G87" s="13">
        <v>0</v>
      </c>
      <c r="H87" s="13">
        <v>0</v>
      </c>
      <c r="I87" s="2">
        <v>0</v>
      </c>
      <c r="J87" s="16">
        <v>0</v>
      </c>
      <c r="K87" s="16">
        <v>0</v>
      </c>
      <c r="L87" s="1">
        <v>0</v>
      </c>
      <c r="M87" s="11">
        <v>0</v>
      </c>
      <c r="N87" s="13">
        <v>0</v>
      </c>
      <c r="O87" s="1">
        <v>0</v>
      </c>
      <c r="P87" s="11">
        <v>0</v>
      </c>
      <c r="Q87" s="11">
        <v>0</v>
      </c>
      <c r="R87" s="1">
        <v>0</v>
      </c>
      <c r="S87" s="11">
        <v>0</v>
      </c>
      <c r="T87" s="11">
        <v>0</v>
      </c>
      <c r="U87" s="1">
        <v>0</v>
      </c>
      <c r="V87" s="13">
        <v>0</v>
      </c>
      <c r="W87" s="13">
        <v>0</v>
      </c>
      <c r="X87" s="26">
        <f t="shared" si="31"/>
        <v>0</v>
      </c>
      <c r="Y87" s="26">
        <f t="shared" ref="Y87:Y92" si="33">0/0.29</f>
        <v>0</v>
      </c>
      <c r="Z87" s="26">
        <f>0/14.09</f>
        <v>0</v>
      </c>
      <c r="AA87" s="26">
        <f>0/1.07</f>
        <v>0</v>
      </c>
      <c r="AB87" s="26">
        <f>0/1.35</f>
        <v>0</v>
      </c>
      <c r="AC87" s="26">
        <f t="shared" si="30"/>
        <v>0</v>
      </c>
      <c r="AD87" s="26">
        <f t="shared" si="32"/>
        <v>0</v>
      </c>
    </row>
    <row r="88" spans="2:30">
      <c r="B88" s="1" t="s">
        <v>19</v>
      </c>
      <c r="C88" s="1">
        <v>0</v>
      </c>
      <c r="D88" s="13">
        <v>0</v>
      </c>
      <c r="E88" s="13">
        <v>0</v>
      </c>
      <c r="F88" s="1">
        <v>0</v>
      </c>
      <c r="G88" s="13">
        <v>0</v>
      </c>
      <c r="H88" s="13">
        <v>0</v>
      </c>
      <c r="I88" s="1">
        <v>0</v>
      </c>
      <c r="J88" s="11">
        <v>0</v>
      </c>
      <c r="K88" s="11">
        <v>0</v>
      </c>
      <c r="L88" s="1">
        <v>0</v>
      </c>
      <c r="M88" s="11">
        <v>0</v>
      </c>
      <c r="N88" s="13">
        <v>0</v>
      </c>
      <c r="O88" s="1">
        <v>0</v>
      </c>
      <c r="P88" s="11">
        <v>0</v>
      </c>
      <c r="Q88" s="11">
        <v>0</v>
      </c>
      <c r="R88" s="1">
        <v>0</v>
      </c>
      <c r="S88" s="11">
        <v>0</v>
      </c>
      <c r="T88" s="11">
        <v>0</v>
      </c>
      <c r="U88" s="1">
        <v>0</v>
      </c>
      <c r="V88" s="13">
        <v>0</v>
      </c>
      <c r="W88" s="13">
        <v>0</v>
      </c>
      <c r="X88" s="26">
        <f t="shared" si="31"/>
        <v>0</v>
      </c>
      <c r="Y88" s="26">
        <f t="shared" si="33"/>
        <v>0</v>
      </c>
      <c r="Z88" s="26">
        <f>0/14.09</f>
        <v>0</v>
      </c>
      <c r="AA88" s="26">
        <f>0/1.07</f>
        <v>0</v>
      </c>
      <c r="AB88" s="26">
        <f>0/1.35</f>
        <v>0</v>
      </c>
      <c r="AC88" s="26">
        <f t="shared" si="30"/>
        <v>0</v>
      </c>
      <c r="AD88" s="26">
        <f t="shared" si="32"/>
        <v>0</v>
      </c>
    </row>
    <row r="89" spans="2:30">
      <c r="B89" s="1" t="s">
        <v>20</v>
      </c>
      <c r="C89" s="1">
        <v>0</v>
      </c>
      <c r="D89" s="13">
        <v>0</v>
      </c>
      <c r="E89" s="13">
        <v>0</v>
      </c>
      <c r="F89" s="1">
        <v>0</v>
      </c>
      <c r="G89" s="13">
        <v>0</v>
      </c>
      <c r="H89" s="13">
        <v>0</v>
      </c>
      <c r="I89" s="1">
        <v>3</v>
      </c>
      <c r="J89" s="11">
        <f t="shared" ref="J89:J95" si="34">I89/140</f>
        <v>2.1428571428571429E-2</v>
      </c>
      <c r="K89" s="11">
        <f>J89/I95*100</f>
        <v>1.5208354456047856E-3</v>
      </c>
      <c r="L89" s="1">
        <v>3</v>
      </c>
      <c r="M89" s="11">
        <f>L89/43</f>
        <v>6.9767441860465115E-2</v>
      </c>
      <c r="N89" s="13">
        <f>M89/L95*100</f>
        <v>6.5203216692023475E-2</v>
      </c>
      <c r="O89" s="1">
        <v>7</v>
      </c>
      <c r="P89" s="11">
        <f t="shared" ref="P89:P95" si="35">O89/26</f>
        <v>0.26923076923076922</v>
      </c>
      <c r="Q89" s="11">
        <f>P89/O95*100</f>
        <v>0.19943019943019941</v>
      </c>
      <c r="R89" s="1">
        <v>1</v>
      </c>
      <c r="S89" s="11">
        <f>R89/11</f>
        <v>9.0909090909090912E-2</v>
      </c>
      <c r="T89" s="11">
        <f>S89/R95*100</f>
        <v>0.10695187165775401</v>
      </c>
      <c r="U89" s="1">
        <v>31</v>
      </c>
      <c r="V89" s="13">
        <f>U89/16</f>
        <v>1.9375</v>
      </c>
      <c r="W89" s="13">
        <f>V89/U95*100</f>
        <v>2.2270114942528738</v>
      </c>
      <c r="X89" s="26">
        <f t="shared" si="31"/>
        <v>0</v>
      </c>
      <c r="Y89" s="26">
        <f t="shared" si="33"/>
        <v>0</v>
      </c>
      <c r="Z89" s="26">
        <f>3/14.09</f>
        <v>0.21291696238466998</v>
      </c>
      <c r="AA89" s="26">
        <f>3/1.07</f>
        <v>2.8037383177570092</v>
      </c>
      <c r="AB89" s="26">
        <f>7/1.35</f>
        <v>5.1851851851851851</v>
      </c>
      <c r="AC89" s="26">
        <f>1/0.85</f>
        <v>1.1764705882352942</v>
      </c>
      <c r="AD89" s="26">
        <f>31/0.87</f>
        <v>35.632183908045974</v>
      </c>
    </row>
    <row r="90" spans="2:30">
      <c r="B90" s="1" t="s">
        <v>21</v>
      </c>
      <c r="C90" s="1">
        <v>0</v>
      </c>
      <c r="D90" s="13">
        <v>0</v>
      </c>
      <c r="E90" s="13">
        <v>0</v>
      </c>
      <c r="F90" s="1">
        <v>0</v>
      </c>
      <c r="G90" s="13">
        <v>0</v>
      </c>
      <c r="H90" s="13">
        <v>0</v>
      </c>
      <c r="I90" s="1">
        <v>8</v>
      </c>
      <c r="J90" s="11">
        <f t="shared" si="34"/>
        <v>5.7142857142857141E-2</v>
      </c>
      <c r="K90" s="11">
        <f>J90/I95*100</f>
        <v>4.0555611882794277E-3</v>
      </c>
      <c r="L90" s="1">
        <v>1</v>
      </c>
      <c r="M90" s="11">
        <f>L90/43</f>
        <v>2.3255813953488372E-2</v>
      </c>
      <c r="N90" s="13">
        <f>M90/L95*100</f>
        <v>2.1734405564007825E-2</v>
      </c>
      <c r="O90" s="1">
        <v>2</v>
      </c>
      <c r="P90" s="11">
        <f t="shared" si="35"/>
        <v>7.6923076923076927E-2</v>
      </c>
      <c r="Q90" s="11">
        <f>P90/O95*100</f>
        <v>5.6980056980056988E-2</v>
      </c>
      <c r="R90" s="1">
        <v>0</v>
      </c>
      <c r="S90" s="11">
        <v>0</v>
      </c>
      <c r="T90" s="11">
        <v>0</v>
      </c>
      <c r="U90" s="1">
        <v>0</v>
      </c>
      <c r="V90" s="13">
        <v>0</v>
      </c>
      <c r="W90" s="13">
        <v>0</v>
      </c>
      <c r="X90" s="26">
        <f t="shared" si="31"/>
        <v>0</v>
      </c>
      <c r="Y90" s="26">
        <f t="shared" si="33"/>
        <v>0</v>
      </c>
      <c r="Z90" s="26">
        <f>8/14.09</f>
        <v>0.56777856635911994</v>
      </c>
      <c r="AA90" s="26">
        <f>1/1.07</f>
        <v>0.93457943925233644</v>
      </c>
      <c r="AB90" s="26">
        <f>2/1.35</f>
        <v>1.4814814814814814</v>
      </c>
      <c r="AC90" s="26">
        <f>0/0.85</f>
        <v>0</v>
      </c>
      <c r="AD90" s="26">
        <f>0/0.87</f>
        <v>0</v>
      </c>
    </row>
    <row r="91" spans="2:30">
      <c r="B91" s="1" t="s">
        <v>22</v>
      </c>
      <c r="C91" s="1">
        <v>0</v>
      </c>
      <c r="D91" s="13">
        <v>0</v>
      </c>
      <c r="E91" s="13">
        <v>0</v>
      </c>
      <c r="F91" s="1">
        <v>0</v>
      </c>
      <c r="G91" s="13">
        <v>0</v>
      </c>
      <c r="H91" s="13">
        <v>0</v>
      </c>
      <c r="I91" s="1">
        <v>25</v>
      </c>
      <c r="J91" s="11">
        <f t="shared" si="34"/>
        <v>0.17857142857142858</v>
      </c>
      <c r="K91" s="11">
        <f>J91/I95*100</f>
        <v>1.2673628713373214E-2</v>
      </c>
      <c r="L91" s="1">
        <v>0</v>
      </c>
      <c r="M91" s="11">
        <v>0</v>
      </c>
      <c r="N91" s="13">
        <v>0</v>
      </c>
      <c r="O91" s="1">
        <v>9</v>
      </c>
      <c r="P91" s="11">
        <f t="shared" si="35"/>
        <v>0.34615384615384615</v>
      </c>
      <c r="Q91" s="11">
        <f>P91/O95*100</f>
        <v>0.25641025641025639</v>
      </c>
      <c r="R91" s="1">
        <v>0</v>
      </c>
      <c r="S91" s="11">
        <v>0</v>
      </c>
      <c r="T91" s="11">
        <v>0</v>
      </c>
      <c r="U91" s="1">
        <v>0</v>
      </c>
      <c r="V91" s="13">
        <v>0</v>
      </c>
      <c r="W91" s="13">
        <v>0</v>
      </c>
      <c r="X91" s="26">
        <f t="shared" si="31"/>
        <v>0</v>
      </c>
      <c r="Y91" s="26">
        <f t="shared" si="33"/>
        <v>0</v>
      </c>
      <c r="Z91" s="26">
        <f>25/14.09</f>
        <v>1.7743080198722498</v>
      </c>
      <c r="AA91" s="26">
        <f>0/1.07</f>
        <v>0</v>
      </c>
      <c r="AB91" s="26">
        <f>9/1.35</f>
        <v>6.6666666666666661</v>
      </c>
      <c r="AC91" s="26">
        <f t="shared" ref="AC91:AC94" si="36">0/0.85</f>
        <v>0</v>
      </c>
      <c r="AD91" s="26">
        <f t="shared" ref="AD91:AD93" si="37">0/0.87</f>
        <v>0</v>
      </c>
    </row>
    <row r="92" spans="2:30">
      <c r="B92" s="1" t="s">
        <v>23</v>
      </c>
      <c r="C92" s="1">
        <v>0</v>
      </c>
      <c r="D92" s="13">
        <v>0</v>
      </c>
      <c r="E92" s="13">
        <v>0</v>
      </c>
      <c r="F92" s="1">
        <v>0</v>
      </c>
      <c r="G92" s="13">
        <v>0</v>
      </c>
      <c r="H92" s="13">
        <v>0</v>
      </c>
      <c r="I92" s="1">
        <v>2</v>
      </c>
      <c r="J92" s="11">
        <f t="shared" si="34"/>
        <v>1.4285714285714285E-2</v>
      </c>
      <c r="K92" s="11">
        <f>J92/I95*100</f>
        <v>1.0138902970698569E-3</v>
      </c>
      <c r="L92" s="1">
        <v>1</v>
      </c>
      <c r="M92" s="11">
        <f>L92/43</f>
        <v>2.3255813953488372E-2</v>
      </c>
      <c r="N92" s="13">
        <f>M92/L95*100</f>
        <v>2.1734405564007825E-2</v>
      </c>
      <c r="O92" s="1">
        <v>4</v>
      </c>
      <c r="P92" s="11">
        <f t="shared" si="35"/>
        <v>0.15384615384615385</v>
      </c>
      <c r="Q92" s="11">
        <f>P92/O95*100</f>
        <v>0.11396011396011398</v>
      </c>
      <c r="R92" s="1">
        <v>0</v>
      </c>
      <c r="S92" s="11">
        <v>0</v>
      </c>
      <c r="T92" s="11">
        <v>0</v>
      </c>
      <c r="U92" s="1">
        <v>0</v>
      </c>
      <c r="V92" s="13">
        <v>0</v>
      </c>
      <c r="W92" s="13">
        <v>0</v>
      </c>
      <c r="X92" s="26">
        <f t="shared" si="31"/>
        <v>0</v>
      </c>
      <c r="Y92" s="26">
        <f t="shared" si="33"/>
        <v>0</v>
      </c>
      <c r="Z92" s="26">
        <f>2/14.09</f>
        <v>0.14194464158977999</v>
      </c>
      <c r="AA92" s="26">
        <f>1/1.07</f>
        <v>0.93457943925233644</v>
      </c>
      <c r="AB92" s="26">
        <f>4/1.35</f>
        <v>2.9629629629629628</v>
      </c>
      <c r="AC92" s="26">
        <f t="shared" si="36"/>
        <v>0</v>
      </c>
      <c r="AD92" s="26">
        <f t="shared" si="37"/>
        <v>0</v>
      </c>
    </row>
    <row r="93" spans="2:30">
      <c r="B93" s="1" t="s">
        <v>24</v>
      </c>
      <c r="C93" s="1">
        <v>0</v>
      </c>
      <c r="D93" s="13">
        <v>0</v>
      </c>
      <c r="E93" s="13">
        <v>0</v>
      </c>
      <c r="F93" s="1">
        <v>1</v>
      </c>
      <c r="G93" s="13">
        <f>F93/115</f>
        <v>8.6956521739130436E-3</v>
      </c>
      <c r="H93" s="13">
        <f>G93/F95*100</f>
        <v>2.998500749625187E-2</v>
      </c>
      <c r="I93" s="1">
        <v>6</v>
      </c>
      <c r="J93" s="11">
        <f t="shared" si="34"/>
        <v>4.2857142857142858E-2</v>
      </c>
      <c r="K93" s="11">
        <f>J93/I95*100</f>
        <v>3.0416708912095712E-3</v>
      </c>
      <c r="L93" s="1">
        <v>1</v>
      </c>
      <c r="M93" s="11">
        <f>L93/43</f>
        <v>2.3255813953488372E-2</v>
      </c>
      <c r="N93" s="13">
        <f>M93/L95*100</f>
        <v>2.1734405564007825E-2</v>
      </c>
      <c r="O93" s="1">
        <v>5</v>
      </c>
      <c r="P93" s="11">
        <f t="shared" si="35"/>
        <v>0.19230769230769232</v>
      </c>
      <c r="Q93" s="11">
        <f>P93/O95*100</f>
        <v>0.14245014245014245</v>
      </c>
      <c r="R93" s="1">
        <v>0</v>
      </c>
      <c r="S93" s="11">
        <v>0</v>
      </c>
      <c r="T93" s="11">
        <v>0</v>
      </c>
      <c r="U93" s="1">
        <v>0</v>
      </c>
      <c r="V93" s="13">
        <v>0</v>
      </c>
      <c r="W93" s="13">
        <v>0</v>
      </c>
      <c r="X93" s="26">
        <f t="shared" si="31"/>
        <v>0</v>
      </c>
      <c r="Y93" s="26">
        <f>1/0.29</f>
        <v>3.4482758620689657</v>
      </c>
      <c r="Z93" s="26">
        <f>6/14.09</f>
        <v>0.42583392476933996</v>
      </c>
      <c r="AA93" s="26">
        <f>1/1.07</f>
        <v>0.93457943925233644</v>
      </c>
      <c r="AB93" s="26">
        <f>5/1.35</f>
        <v>3.7037037037037033</v>
      </c>
      <c r="AC93" s="26">
        <f t="shared" si="36"/>
        <v>0</v>
      </c>
      <c r="AD93" s="26">
        <f t="shared" si="37"/>
        <v>0</v>
      </c>
    </row>
    <row r="94" spans="2:30">
      <c r="B94" s="1" t="s">
        <v>25</v>
      </c>
      <c r="C94" s="1">
        <v>0</v>
      </c>
      <c r="D94" s="13">
        <v>0</v>
      </c>
      <c r="E94" s="13">
        <v>0</v>
      </c>
      <c r="F94" s="1">
        <v>2</v>
      </c>
      <c r="G94" s="13">
        <f>F94/115</f>
        <v>1.7391304347826087E-2</v>
      </c>
      <c r="H94" s="13">
        <f>G94/F95*100</f>
        <v>5.9970014992503741E-2</v>
      </c>
      <c r="I94" s="1">
        <v>12</v>
      </c>
      <c r="J94" s="11">
        <f t="shared" si="34"/>
        <v>8.5714285714285715E-2</v>
      </c>
      <c r="K94" s="11">
        <f>J94/I95*100</f>
        <v>6.0833417824191424E-3</v>
      </c>
      <c r="L94" s="1">
        <v>1</v>
      </c>
      <c r="M94" s="11">
        <f>L94/43</f>
        <v>2.3255813953488372E-2</v>
      </c>
      <c r="N94" s="13">
        <f>M94/L95*100</f>
        <v>2.1734405564007825E-2</v>
      </c>
      <c r="O94" s="1">
        <v>4</v>
      </c>
      <c r="P94" s="11">
        <f t="shared" si="35"/>
        <v>0.15384615384615385</v>
      </c>
      <c r="Q94" s="11">
        <f>P94/O95*100</f>
        <v>0.11396011396011398</v>
      </c>
      <c r="R94" s="1">
        <v>0</v>
      </c>
      <c r="S94" s="11">
        <v>0</v>
      </c>
      <c r="T94" s="11">
        <v>0</v>
      </c>
      <c r="U94" s="1">
        <v>1</v>
      </c>
      <c r="V94" s="13">
        <f>U94/16</f>
        <v>6.25E-2</v>
      </c>
      <c r="W94" s="13">
        <f>V94/U95*100</f>
        <v>7.183908045977011E-2</v>
      </c>
      <c r="X94" s="26">
        <f t="shared" si="31"/>
        <v>0</v>
      </c>
      <c r="Y94" s="26">
        <f>2/0.29</f>
        <v>6.8965517241379315</v>
      </c>
      <c r="Z94" s="26">
        <f>12/14.09</f>
        <v>0.85166784953867991</v>
      </c>
      <c r="AA94" s="26">
        <f>1/1.07</f>
        <v>0.93457943925233644</v>
      </c>
      <c r="AB94" s="26">
        <f>4/1.35</f>
        <v>2.9629629629629628</v>
      </c>
      <c r="AC94" s="26">
        <f t="shared" si="36"/>
        <v>0</v>
      </c>
      <c r="AD94" s="26">
        <f>1/0.87</f>
        <v>1.1494252873563218</v>
      </c>
    </row>
    <row r="95" spans="2:30">
      <c r="B95" s="1" t="s">
        <v>26</v>
      </c>
      <c r="C95" s="1">
        <f t="shared" ref="C95:U95" si="38">SUM(C77:C94)</f>
        <v>12</v>
      </c>
      <c r="D95" s="13">
        <f>C95/451</f>
        <v>2.6607538802660754E-2</v>
      </c>
      <c r="E95" s="13">
        <f>D95/C97*100</f>
        <v>1.4274430688122723E-3</v>
      </c>
      <c r="F95" s="1">
        <f t="shared" si="38"/>
        <v>29</v>
      </c>
      <c r="G95" s="13">
        <f>F95/115</f>
        <v>0.25217391304347825</v>
      </c>
      <c r="H95" s="13">
        <f>G95/C97*100</f>
        <v>1.3528643403620078E-2</v>
      </c>
      <c r="I95" s="1">
        <f t="shared" si="38"/>
        <v>1409</v>
      </c>
      <c r="J95" s="11">
        <f t="shared" si="34"/>
        <v>10.064285714285715</v>
      </c>
      <c r="K95" s="11">
        <f>J95/C97*100</f>
        <v>0.53992949110974864</v>
      </c>
      <c r="L95" s="1">
        <f t="shared" si="38"/>
        <v>107</v>
      </c>
      <c r="M95" s="11">
        <f>L95/43</f>
        <v>2.4883720930232558</v>
      </c>
      <c r="N95" s="13">
        <f>M95/C97*100</f>
        <v>0.1334963569218485</v>
      </c>
      <c r="O95" s="1">
        <f t="shared" si="38"/>
        <v>135</v>
      </c>
      <c r="P95" s="11">
        <f t="shared" si="35"/>
        <v>5.1923076923076925</v>
      </c>
      <c r="Q95" s="11">
        <f>P95/C97*100</f>
        <v>0.27855727963024102</v>
      </c>
      <c r="R95" s="1">
        <f t="shared" si="38"/>
        <v>85</v>
      </c>
      <c r="S95" s="11">
        <f>R95/11</f>
        <v>7.7272727272727275</v>
      </c>
      <c r="T95" s="11">
        <f>S95/C97*100</f>
        <v>0.41455325790089742</v>
      </c>
      <c r="U95" s="1">
        <f t="shared" si="38"/>
        <v>87</v>
      </c>
      <c r="V95" s="13">
        <f>U95/16</f>
        <v>5.4375</v>
      </c>
      <c r="W95" s="13">
        <f>V95/C97*100</f>
        <v>0.29171137339055792</v>
      </c>
      <c r="X95" s="26">
        <f t="shared" ref="X95:AD95" si="39">SUM(X77:X94)</f>
        <v>100</v>
      </c>
      <c r="Y95" s="26">
        <f t="shared" si="39"/>
        <v>100.00000000000001</v>
      </c>
      <c r="Z95" s="26">
        <f t="shared" si="39"/>
        <v>100.00000000000001</v>
      </c>
      <c r="AA95" s="26">
        <f t="shared" si="39"/>
        <v>99.999999999999957</v>
      </c>
      <c r="AB95" s="26">
        <f t="shared" si="39"/>
        <v>100</v>
      </c>
      <c r="AC95" s="26">
        <f t="shared" si="39"/>
        <v>100</v>
      </c>
      <c r="AD95" s="26">
        <f t="shared" si="39"/>
        <v>100</v>
      </c>
    </row>
    <row r="97" spans="2:3">
      <c r="B97" s="27" t="s">
        <v>60</v>
      </c>
      <c r="C97" s="27">
        <f>C95+F95+I95+L95+O95+R95+U95</f>
        <v>1864</v>
      </c>
    </row>
  </sheetData>
  <sheetProtection password="F834" sheet="1" objects="1" scenarios="1" selectLockedCells="1" selectUnlockedCells="1"/>
  <mergeCells count="4">
    <mergeCell ref="B2:AD2"/>
    <mergeCell ref="B75:AD75"/>
    <mergeCell ref="B50:AD50"/>
    <mergeCell ref="B26:AD26"/>
  </mergeCells>
  <pageMargins left="0.7" right="0.7" top="0.75" bottom="0.75" header="0.3" footer="0.3"/>
  <pageSetup paperSize="9" orientation="portrait" horizontalDpi="0" verticalDpi="0" r:id="rId1"/>
  <ignoredErrors>
    <ignoredError sqref="X15:X16 Y7 AB9:AC9 Z9:AA9 AA17 AB16 AB18 AC15 AC20:AD20 AD6 Y33:AB33 Y30:Y31 Y36 Z41:Z42 AB44:AC44 Z34:Z35 X56:Y56 X65:Y65 Y58 Y63:Z63 AA56:AB56 AB54:AC54 X80 Z80 AA91 AB93 AC89:AD89 AC79 AC56 AB61 AB59 AB5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B2:AI76"/>
  <sheetViews>
    <sheetView zoomScale="70" zoomScaleNormal="70" workbookViewId="0">
      <selection activeCell="A58" sqref="A58:XFD58"/>
    </sheetView>
  </sheetViews>
  <sheetFormatPr defaultRowHeight="15"/>
  <cols>
    <col min="2" max="2" width="18" bestFit="1" customWidth="1"/>
    <col min="3" max="3" width="30.7109375" bestFit="1" customWidth="1"/>
    <col min="4" max="4" width="8.140625" bestFit="1" customWidth="1"/>
    <col min="5" max="5" width="6" bestFit="1" customWidth="1"/>
    <col min="6" max="6" width="29.7109375" bestFit="1" customWidth="1"/>
    <col min="7" max="7" width="8.140625" bestFit="1" customWidth="1"/>
    <col min="8" max="8" width="6" bestFit="1" customWidth="1"/>
    <col min="9" max="9" width="24.7109375" bestFit="1" customWidth="1"/>
    <col min="10" max="10" width="8.140625" bestFit="1" customWidth="1"/>
    <col min="11" max="11" width="6" bestFit="1" customWidth="1"/>
    <col min="12" max="12" width="26.85546875" bestFit="1" customWidth="1"/>
    <col min="13" max="13" width="8.28515625" bestFit="1" customWidth="1"/>
    <col min="14" max="14" width="7.140625" bestFit="1" customWidth="1"/>
    <col min="15" max="15" width="27" bestFit="1" customWidth="1"/>
    <col min="16" max="16" width="8.140625" bestFit="1" customWidth="1"/>
    <col min="17" max="17" width="6" bestFit="1" customWidth="1"/>
    <col min="18" max="18" width="26.7109375" bestFit="1" customWidth="1"/>
    <col min="19" max="19" width="8.140625" bestFit="1" customWidth="1"/>
    <col min="20" max="20" width="6" bestFit="1" customWidth="1"/>
    <col min="21" max="21" width="29.42578125" bestFit="1" customWidth="1"/>
    <col min="22" max="22" width="8.140625" bestFit="1" customWidth="1"/>
    <col min="23" max="23" width="6" customWidth="1"/>
    <col min="24" max="24" width="11.140625" bestFit="1" customWidth="1"/>
    <col min="25" max="25" width="11.28515625" bestFit="1" customWidth="1"/>
    <col min="26" max="26" width="10.7109375" bestFit="1" customWidth="1"/>
    <col min="27" max="27" width="12.28515625" bestFit="1" customWidth="1"/>
    <col min="28" max="28" width="12.42578125" bestFit="1" customWidth="1"/>
    <col min="29" max="29" width="12.140625" bestFit="1" customWidth="1"/>
    <col min="30" max="30" width="12.42578125" bestFit="1" customWidth="1"/>
  </cols>
  <sheetData>
    <row r="2" spans="2:35"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</row>
    <row r="3" spans="2:35" ht="15.75">
      <c r="B3" s="36" t="s">
        <v>42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9"/>
      <c r="AF3" s="9"/>
      <c r="AG3" s="9"/>
      <c r="AH3" s="10"/>
      <c r="AI3" s="10"/>
    </row>
    <row r="4" spans="2:35">
      <c r="B4" s="5" t="s">
        <v>0</v>
      </c>
      <c r="C4" s="5" t="s">
        <v>36</v>
      </c>
      <c r="D4" s="6" t="s">
        <v>34</v>
      </c>
      <c r="E4" s="7" t="s">
        <v>35</v>
      </c>
      <c r="F4" s="5" t="s">
        <v>37</v>
      </c>
      <c r="G4" s="6" t="s">
        <v>34</v>
      </c>
      <c r="H4" s="7" t="s">
        <v>35</v>
      </c>
      <c r="I4" s="5" t="s">
        <v>3</v>
      </c>
      <c r="J4" s="6" t="s">
        <v>34</v>
      </c>
      <c r="K4" s="7" t="s">
        <v>35</v>
      </c>
      <c r="L4" s="5" t="s">
        <v>38</v>
      </c>
      <c r="M4" s="6" t="s">
        <v>34</v>
      </c>
      <c r="N4" s="7" t="s">
        <v>35</v>
      </c>
      <c r="O4" s="5" t="s">
        <v>39</v>
      </c>
      <c r="P4" s="6" t="s">
        <v>34</v>
      </c>
      <c r="Q4" s="7" t="s">
        <v>35</v>
      </c>
      <c r="R4" s="5" t="s">
        <v>40</v>
      </c>
      <c r="S4" s="6" t="s">
        <v>34</v>
      </c>
      <c r="T4" s="7" t="s">
        <v>35</v>
      </c>
      <c r="U4" s="5" t="s">
        <v>31</v>
      </c>
      <c r="V4" s="6" t="s">
        <v>34</v>
      </c>
      <c r="W4" s="7" t="s">
        <v>35</v>
      </c>
      <c r="X4" s="7" t="s">
        <v>46</v>
      </c>
      <c r="Y4" s="7" t="s">
        <v>47</v>
      </c>
      <c r="Z4" s="7" t="s">
        <v>48</v>
      </c>
      <c r="AA4" s="7" t="s">
        <v>49</v>
      </c>
      <c r="AB4" s="7" t="s">
        <v>50</v>
      </c>
      <c r="AC4" s="7" t="s">
        <v>51</v>
      </c>
      <c r="AD4" s="7" t="s">
        <v>52</v>
      </c>
    </row>
    <row r="5" spans="2:35">
      <c r="B5" s="1" t="s">
        <v>8</v>
      </c>
      <c r="C5" s="1">
        <v>0</v>
      </c>
      <c r="D5" s="11">
        <v>0</v>
      </c>
      <c r="E5" s="11">
        <v>0</v>
      </c>
      <c r="F5" s="1">
        <v>0</v>
      </c>
      <c r="G5" s="11">
        <v>0</v>
      </c>
      <c r="H5" s="11">
        <v>0</v>
      </c>
      <c r="I5" s="1">
        <v>0</v>
      </c>
      <c r="J5" s="11">
        <v>0</v>
      </c>
      <c r="K5" s="11">
        <v>0</v>
      </c>
      <c r="L5" s="1">
        <v>0</v>
      </c>
      <c r="M5" s="11">
        <v>0</v>
      </c>
      <c r="N5" s="11">
        <v>0</v>
      </c>
      <c r="O5" s="1">
        <v>0</v>
      </c>
      <c r="P5" s="11">
        <v>0</v>
      </c>
      <c r="Q5" s="11">
        <v>0</v>
      </c>
      <c r="R5" s="1">
        <v>0</v>
      </c>
      <c r="S5" s="11">
        <v>0</v>
      </c>
      <c r="T5" s="11">
        <v>0</v>
      </c>
      <c r="U5" s="1">
        <v>0</v>
      </c>
      <c r="V5" s="11">
        <v>0</v>
      </c>
      <c r="W5" s="11">
        <v>0</v>
      </c>
      <c r="X5" s="26">
        <f>0/0.25</f>
        <v>0</v>
      </c>
      <c r="Y5" s="26">
        <f>0/2.54</f>
        <v>0</v>
      </c>
      <c r="Z5" s="26">
        <f>0/43.99</f>
        <v>0</v>
      </c>
      <c r="AA5" s="26">
        <f>0/37.32</f>
        <v>0</v>
      </c>
      <c r="AB5" s="26">
        <f>0/13.45</f>
        <v>0</v>
      </c>
      <c r="AC5" s="26">
        <f>0/22.54</f>
        <v>0</v>
      </c>
      <c r="AD5" s="26">
        <f>0/12.29</f>
        <v>0</v>
      </c>
    </row>
    <row r="6" spans="2:35">
      <c r="B6" s="1" t="s">
        <v>9</v>
      </c>
      <c r="C6" s="1">
        <v>0</v>
      </c>
      <c r="D6" s="11">
        <v>0</v>
      </c>
      <c r="E6" s="11">
        <v>0</v>
      </c>
      <c r="F6" s="1">
        <v>0</v>
      </c>
      <c r="G6" s="11">
        <v>0</v>
      </c>
      <c r="H6" s="11">
        <v>0</v>
      </c>
      <c r="I6" s="1">
        <v>116</v>
      </c>
      <c r="J6" s="11">
        <f>I6/140</f>
        <v>0.82857142857142863</v>
      </c>
      <c r="K6" s="11">
        <f>J6/I24*100</f>
        <v>1.8835449615172278E-2</v>
      </c>
      <c r="L6" s="1">
        <v>1</v>
      </c>
      <c r="M6" s="11">
        <f>L6/46</f>
        <v>2.1739130434782608E-2</v>
      </c>
      <c r="N6" s="11">
        <f>M6/L24*100</f>
        <v>5.8250617456545042E-4</v>
      </c>
      <c r="O6" s="1">
        <v>0</v>
      </c>
      <c r="P6" s="11">
        <v>0</v>
      </c>
      <c r="Q6" s="11">
        <v>0</v>
      </c>
      <c r="R6" s="1">
        <v>1</v>
      </c>
      <c r="S6" s="11">
        <f>R6/18</f>
        <v>5.5555555555555552E-2</v>
      </c>
      <c r="T6" s="11">
        <f>S6/R24*100</f>
        <v>2.4647540175490486E-3</v>
      </c>
      <c r="U6" s="1">
        <v>4</v>
      </c>
      <c r="V6" s="11">
        <f>U6/16</f>
        <v>0.25</v>
      </c>
      <c r="W6" s="11">
        <f>V6/U24*100</f>
        <v>2.034174125305126E-2</v>
      </c>
      <c r="X6" s="26">
        <f t="shared" ref="X6:X23" si="0">0/0.25</f>
        <v>0</v>
      </c>
      <c r="Y6" s="26">
        <f t="shared" ref="Y6:Y11" si="1">0/2.54</f>
        <v>0</v>
      </c>
      <c r="Z6" s="26">
        <f>116/43.99</f>
        <v>2.6369629461241191</v>
      </c>
      <c r="AA6" s="26">
        <f>1/37.32</f>
        <v>2.6795284030010719E-2</v>
      </c>
      <c r="AB6" s="26">
        <f>0/13.45</f>
        <v>0</v>
      </c>
      <c r="AC6" s="26">
        <f>1/22.54</f>
        <v>4.4365572315882874E-2</v>
      </c>
      <c r="AD6" s="26">
        <f>4/12.29</f>
        <v>0.32546786004882022</v>
      </c>
    </row>
    <row r="7" spans="2:35">
      <c r="B7" s="1" t="s">
        <v>10</v>
      </c>
      <c r="C7" s="1">
        <v>0</v>
      </c>
      <c r="D7" s="11">
        <v>0</v>
      </c>
      <c r="E7" s="11">
        <v>0</v>
      </c>
      <c r="F7" s="1">
        <v>0</v>
      </c>
      <c r="G7" s="11">
        <v>0</v>
      </c>
      <c r="H7" s="11">
        <v>0</v>
      </c>
      <c r="I7" s="1">
        <v>0</v>
      </c>
      <c r="J7" s="11">
        <v>0</v>
      </c>
      <c r="K7" s="11">
        <v>0</v>
      </c>
      <c r="L7" s="1">
        <v>58</v>
      </c>
      <c r="M7" s="11">
        <f>L7/46</f>
        <v>1.2608695652173914</v>
      </c>
      <c r="N7" s="11">
        <f>M7/L24*100</f>
        <v>3.3785358124796126E-2</v>
      </c>
      <c r="O7" s="1">
        <v>1289</v>
      </c>
      <c r="P7" s="11">
        <f>O7/16</f>
        <v>80.5625</v>
      </c>
      <c r="Q7" s="11">
        <f>P7/O24*100</f>
        <v>5.9897769516728623</v>
      </c>
      <c r="R7" s="1">
        <v>2247</v>
      </c>
      <c r="S7" s="11">
        <f>R7/18</f>
        <v>124.83333333333333</v>
      </c>
      <c r="T7" s="11">
        <f>S7/R24*100</f>
        <v>5.5383022774327122</v>
      </c>
      <c r="U7" s="1">
        <v>1219</v>
      </c>
      <c r="V7" s="11">
        <f>U7/16</f>
        <v>76.1875</v>
      </c>
      <c r="W7" s="11">
        <f>V7/U24*100</f>
        <v>6.1991456468673718</v>
      </c>
      <c r="X7" s="26">
        <f t="shared" si="0"/>
        <v>0</v>
      </c>
      <c r="Y7" s="26">
        <f t="shared" si="1"/>
        <v>0</v>
      </c>
      <c r="Z7" s="26">
        <f>0/43.99</f>
        <v>0</v>
      </c>
      <c r="AA7" s="26">
        <f>58/37.32</f>
        <v>1.5541264737406217</v>
      </c>
      <c r="AB7" s="26">
        <f>1289/13.45</f>
        <v>95.836431226765811</v>
      </c>
      <c r="AC7" s="26">
        <f>2247/22.54</f>
        <v>99.689440993788821</v>
      </c>
      <c r="AD7" s="26">
        <f>1219/12.29</f>
        <v>99.186330349877963</v>
      </c>
    </row>
    <row r="8" spans="2:35">
      <c r="B8" s="1" t="s">
        <v>11</v>
      </c>
      <c r="C8" s="1">
        <v>24</v>
      </c>
      <c r="D8" s="11">
        <f>C8/467</f>
        <v>5.1391862955032119E-2</v>
      </c>
      <c r="E8" s="11">
        <f>D8/C24*100</f>
        <v>0.20556745182012848</v>
      </c>
      <c r="F8" s="1">
        <v>88</v>
      </c>
      <c r="G8" s="11">
        <f>F8/99</f>
        <v>0.88888888888888884</v>
      </c>
      <c r="H8" s="11">
        <f>G8/F24*100</f>
        <v>0.34995625546806647</v>
      </c>
      <c r="I8" s="1">
        <v>1735</v>
      </c>
      <c r="J8" s="11">
        <f>I8/140</f>
        <v>12.392857142857142</v>
      </c>
      <c r="K8" s="11">
        <f>J8/I24*100</f>
        <v>0.28171987139934396</v>
      </c>
      <c r="L8" s="1">
        <v>3277</v>
      </c>
      <c r="M8" s="11">
        <f>L8/46</f>
        <v>71.239130434782609</v>
      </c>
      <c r="N8" s="11">
        <f>M8/L24*100</f>
        <v>1.908872734050981</v>
      </c>
      <c r="O8" s="1">
        <v>6</v>
      </c>
      <c r="P8" s="11">
        <f>O8/16</f>
        <v>0.375</v>
      </c>
      <c r="Q8" s="11">
        <f>P8/O24*100</f>
        <v>2.7881040892193308E-2</v>
      </c>
      <c r="R8" s="1">
        <v>0</v>
      </c>
      <c r="S8" s="11">
        <v>0</v>
      </c>
      <c r="T8" s="11">
        <v>0</v>
      </c>
      <c r="U8" s="1">
        <v>1</v>
      </c>
      <c r="V8" s="11">
        <f>U8/16</f>
        <v>6.25E-2</v>
      </c>
      <c r="W8" s="11">
        <f>V8/U24*100</f>
        <v>5.0854353132628151E-3</v>
      </c>
      <c r="X8" s="26">
        <f>24/0.25</f>
        <v>96</v>
      </c>
      <c r="Y8" s="26">
        <f>88/2.54</f>
        <v>34.645669291338585</v>
      </c>
      <c r="Z8" s="26">
        <f>1735/43.99</f>
        <v>39.440781995908161</v>
      </c>
      <c r="AA8" s="26">
        <f>3277/37.32</f>
        <v>87.80814576634512</v>
      </c>
      <c r="AB8" s="26">
        <f>6/13.45</f>
        <v>0.44609665427509299</v>
      </c>
      <c r="AC8" s="26">
        <f>0/22.54</f>
        <v>0</v>
      </c>
      <c r="AD8" s="26">
        <f>1/12.29</f>
        <v>8.1366965012205056E-2</v>
      </c>
    </row>
    <row r="9" spans="2:35">
      <c r="B9" s="1" t="s">
        <v>41</v>
      </c>
      <c r="C9" s="1">
        <v>0</v>
      </c>
      <c r="D9" s="11">
        <v>0</v>
      </c>
      <c r="E9" s="11">
        <v>0</v>
      </c>
      <c r="F9" s="1">
        <v>0</v>
      </c>
      <c r="G9" s="11">
        <v>0</v>
      </c>
      <c r="H9" s="11">
        <v>0</v>
      </c>
      <c r="I9" s="1">
        <v>0</v>
      </c>
      <c r="J9" s="11">
        <v>0</v>
      </c>
      <c r="K9" s="11">
        <v>0</v>
      </c>
      <c r="L9" s="1">
        <v>0</v>
      </c>
      <c r="M9" s="11">
        <v>0</v>
      </c>
      <c r="N9" s="11">
        <v>0</v>
      </c>
      <c r="O9" s="1">
        <v>0</v>
      </c>
      <c r="P9" s="11">
        <v>0</v>
      </c>
      <c r="Q9" s="11">
        <v>0</v>
      </c>
      <c r="R9" s="1">
        <v>0</v>
      </c>
      <c r="S9" s="11">
        <v>0</v>
      </c>
      <c r="T9" s="11">
        <v>0</v>
      </c>
      <c r="U9" s="1">
        <v>0</v>
      </c>
      <c r="V9" s="11">
        <v>0</v>
      </c>
      <c r="W9" s="11">
        <v>0</v>
      </c>
      <c r="X9" s="26">
        <f t="shared" si="0"/>
        <v>0</v>
      </c>
      <c r="Y9" s="26">
        <f t="shared" si="1"/>
        <v>0</v>
      </c>
      <c r="Z9" s="26">
        <f>0/43.99</f>
        <v>0</v>
      </c>
      <c r="AA9" s="26">
        <f>0/37.32</f>
        <v>0</v>
      </c>
      <c r="AB9" s="26">
        <f>0/13.45</f>
        <v>0</v>
      </c>
      <c r="AC9" s="26">
        <f t="shared" ref="AC9:AC11" si="2">0/22.54</f>
        <v>0</v>
      </c>
      <c r="AD9" s="26">
        <f>0/12.29</f>
        <v>0</v>
      </c>
    </row>
    <row r="10" spans="2:35">
      <c r="B10" s="1" t="s">
        <v>12</v>
      </c>
      <c r="C10" s="1">
        <v>0</v>
      </c>
      <c r="D10" s="11">
        <v>0</v>
      </c>
      <c r="E10" s="11">
        <v>0</v>
      </c>
      <c r="F10" s="1">
        <v>0</v>
      </c>
      <c r="G10" s="11">
        <v>0</v>
      </c>
      <c r="H10" s="11">
        <v>0</v>
      </c>
      <c r="I10" s="1">
        <v>2</v>
      </c>
      <c r="J10" s="11">
        <f>I10/140</f>
        <v>1.4285714285714285E-2</v>
      </c>
      <c r="K10" s="11">
        <f>J10/I24*100</f>
        <v>3.2474913129607378E-4</v>
      </c>
      <c r="L10" s="1">
        <v>0</v>
      </c>
      <c r="M10" s="11">
        <v>0</v>
      </c>
      <c r="N10" s="11">
        <v>0</v>
      </c>
      <c r="O10" s="1">
        <v>0</v>
      </c>
      <c r="P10" s="11">
        <v>0</v>
      </c>
      <c r="Q10" s="11">
        <v>0</v>
      </c>
      <c r="R10" s="1">
        <v>0</v>
      </c>
      <c r="S10" s="11">
        <v>0</v>
      </c>
      <c r="T10" s="11">
        <v>0</v>
      </c>
      <c r="U10" s="1">
        <v>0</v>
      </c>
      <c r="V10" s="11">
        <v>0</v>
      </c>
      <c r="W10" s="11">
        <v>0</v>
      </c>
      <c r="X10" s="26">
        <f t="shared" si="0"/>
        <v>0</v>
      </c>
      <c r="Y10" s="26">
        <f t="shared" si="1"/>
        <v>0</v>
      </c>
      <c r="Z10" s="26">
        <f>2/43.99</f>
        <v>4.546487838145033E-2</v>
      </c>
      <c r="AA10" s="26">
        <f t="shared" ref="AA10:AA11" si="3">0/37.32</f>
        <v>0</v>
      </c>
      <c r="AB10" s="26">
        <f t="shared" ref="AB10:AB11" si="4">0/13.45</f>
        <v>0</v>
      </c>
      <c r="AC10" s="26">
        <f t="shared" si="2"/>
        <v>0</v>
      </c>
      <c r="AD10" s="26">
        <f t="shared" ref="AD10:AD17" si="5">0/12.29</f>
        <v>0</v>
      </c>
    </row>
    <row r="11" spans="2:35">
      <c r="B11" s="1" t="s">
        <v>13</v>
      </c>
      <c r="C11" s="1">
        <v>0</v>
      </c>
      <c r="D11" s="11">
        <v>0</v>
      </c>
      <c r="E11" s="11">
        <v>0</v>
      </c>
      <c r="F11" s="1">
        <v>0</v>
      </c>
      <c r="G11" s="11">
        <v>0</v>
      </c>
      <c r="H11" s="11">
        <v>0</v>
      </c>
      <c r="I11" s="1">
        <v>1</v>
      </c>
      <c r="J11" s="11">
        <f>I11/140</f>
        <v>7.1428571428571426E-3</v>
      </c>
      <c r="K11" s="11">
        <f>J11/I24*100</f>
        <v>1.6237456564803689E-4</v>
      </c>
      <c r="L11" s="1">
        <v>0</v>
      </c>
      <c r="M11" s="11">
        <v>0</v>
      </c>
      <c r="N11" s="11">
        <v>0</v>
      </c>
      <c r="O11" s="1">
        <v>0</v>
      </c>
      <c r="P11" s="11">
        <v>0</v>
      </c>
      <c r="Q11" s="11">
        <v>0</v>
      </c>
      <c r="R11" s="1">
        <v>0</v>
      </c>
      <c r="S11" s="11">
        <v>0</v>
      </c>
      <c r="T11" s="11">
        <v>0</v>
      </c>
      <c r="U11" s="1">
        <v>0</v>
      </c>
      <c r="V11" s="11">
        <v>0</v>
      </c>
      <c r="W11" s="11">
        <v>0</v>
      </c>
      <c r="X11" s="26">
        <f t="shared" si="0"/>
        <v>0</v>
      </c>
      <c r="Y11" s="26">
        <f t="shared" si="1"/>
        <v>0</v>
      </c>
      <c r="Z11" s="26">
        <f>1/43.99</f>
        <v>2.2732439190725165E-2</v>
      </c>
      <c r="AA11" s="26">
        <f t="shared" si="3"/>
        <v>0</v>
      </c>
      <c r="AB11" s="26">
        <f t="shared" si="4"/>
        <v>0</v>
      </c>
      <c r="AC11" s="26">
        <f t="shared" si="2"/>
        <v>0</v>
      </c>
      <c r="AD11" s="26">
        <f t="shared" si="5"/>
        <v>0</v>
      </c>
    </row>
    <row r="12" spans="2:35">
      <c r="B12" s="1" t="s">
        <v>14</v>
      </c>
      <c r="C12" s="1">
        <v>0</v>
      </c>
      <c r="D12" s="11">
        <v>0</v>
      </c>
      <c r="E12" s="11">
        <v>0</v>
      </c>
      <c r="F12" s="1">
        <v>11</v>
      </c>
      <c r="G12" s="11">
        <f>F12/99</f>
        <v>0.1111111111111111</v>
      </c>
      <c r="H12" s="11">
        <f>G12/F24*100</f>
        <v>4.3744531933508309E-2</v>
      </c>
      <c r="I12" s="1">
        <v>848</v>
      </c>
      <c r="J12" s="11">
        <f t="shared" ref="J12:J23" si="6">I12/140</f>
        <v>6.0571428571428569</v>
      </c>
      <c r="K12" s="11">
        <f>J12/I24*100</f>
        <v>0.13769363166953527</v>
      </c>
      <c r="L12" s="1">
        <v>188</v>
      </c>
      <c r="M12" s="11">
        <f>L12/46</f>
        <v>4.0869565217391308</v>
      </c>
      <c r="N12" s="11">
        <f>M12/L24*100</f>
        <v>0.10951116081830468</v>
      </c>
      <c r="O12" s="1">
        <v>26</v>
      </c>
      <c r="P12" s="11">
        <f>O12/16</f>
        <v>1.625</v>
      </c>
      <c r="Q12" s="11">
        <f>P12/O24*100</f>
        <v>0.120817843866171</v>
      </c>
      <c r="R12" s="1">
        <v>1</v>
      </c>
      <c r="S12" s="11">
        <f>R12/18</f>
        <v>5.5555555555555552E-2</v>
      </c>
      <c r="T12" s="11">
        <f>S12/R24*100</f>
        <v>2.4647540175490486E-3</v>
      </c>
      <c r="U12" s="1">
        <v>0</v>
      </c>
      <c r="V12" s="11">
        <v>0</v>
      </c>
      <c r="W12" s="11">
        <v>0</v>
      </c>
      <c r="X12" s="26">
        <f t="shared" si="0"/>
        <v>0</v>
      </c>
      <c r="Y12" s="26">
        <f>11/2.54</f>
        <v>4.3307086614173231</v>
      </c>
      <c r="Z12" s="26">
        <f>848/43.99</f>
        <v>19.277108433734938</v>
      </c>
      <c r="AA12" s="26">
        <f>188/37.32</f>
        <v>5.037513397642015</v>
      </c>
      <c r="AB12" s="26">
        <f>26/13.45</f>
        <v>1.9330855018587361</v>
      </c>
      <c r="AC12" s="26">
        <f>1/22.54</f>
        <v>4.4365572315882874E-2</v>
      </c>
      <c r="AD12" s="26">
        <f t="shared" si="5"/>
        <v>0</v>
      </c>
    </row>
    <row r="13" spans="2:35">
      <c r="B13" s="1" t="s">
        <v>15</v>
      </c>
      <c r="C13" s="1">
        <v>0</v>
      </c>
      <c r="D13" s="11">
        <v>0</v>
      </c>
      <c r="E13" s="11">
        <v>0</v>
      </c>
      <c r="F13" s="1">
        <v>14</v>
      </c>
      <c r="G13" s="11">
        <f>F13/99</f>
        <v>0.14141414141414141</v>
      </c>
      <c r="H13" s="11">
        <f>G13/F24*100</f>
        <v>5.5674858824465129E-2</v>
      </c>
      <c r="I13" s="1">
        <v>549</v>
      </c>
      <c r="J13" s="11">
        <f t="shared" si="6"/>
        <v>3.9214285714285713</v>
      </c>
      <c r="K13" s="11">
        <f>J13/I24*100</f>
        <v>8.9143636540772259E-2</v>
      </c>
      <c r="L13" s="1">
        <v>5</v>
      </c>
      <c r="M13" s="11">
        <f>L13/46</f>
        <v>0.10869565217391304</v>
      </c>
      <c r="N13" s="11">
        <f>M13/L24*100</f>
        <v>2.9125308728272519E-3</v>
      </c>
      <c r="O13" s="1">
        <v>3</v>
      </c>
      <c r="P13" s="11">
        <f>O13/16</f>
        <v>0.1875</v>
      </c>
      <c r="Q13" s="11">
        <f>P13/O24*100</f>
        <v>1.3940520446096654E-2</v>
      </c>
      <c r="R13" s="1">
        <v>0</v>
      </c>
      <c r="S13" s="11">
        <v>0</v>
      </c>
      <c r="T13" s="11">
        <v>0</v>
      </c>
      <c r="U13" s="1">
        <v>0</v>
      </c>
      <c r="V13" s="11">
        <v>0</v>
      </c>
      <c r="W13" s="11">
        <v>0</v>
      </c>
      <c r="X13" s="26">
        <f t="shared" si="0"/>
        <v>0</v>
      </c>
      <c r="Y13" s="26">
        <f>14/2.54</f>
        <v>5.5118110236220472</v>
      </c>
      <c r="Z13" s="26">
        <f>549/43.99</f>
        <v>12.480109115708116</v>
      </c>
      <c r="AA13" s="26">
        <f>5/37.32</f>
        <v>0.13397642015005359</v>
      </c>
      <c r="AB13" s="26">
        <f>3/13.45</f>
        <v>0.22304832713754649</v>
      </c>
      <c r="AC13" s="26">
        <f>0/22.54</f>
        <v>0</v>
      </c>
      <c r="AD13" s="26">
        <f t="shared" si="5"/>
        <v>0</v>
      </c>
    </row>
    <row r="14" spans="2:35">
      <c r="B14" s="1" t="s">
        <v>16</v>
      </c>
      <c r="C14" s="1">
        <v>0</v>
      </c>
      <c r="D14" s="11">
        <v>0</v>
      </c>
      <c r="E14" s="11">
        <v>0</v>
      </c>
      <c r="F14" s="1">
        <v>124</v>
      </c>
      <c r="G14" s="11">
        <f>F14/99</f>
        <v>1.2525252525252526</v>
      </c>
      <c r="H14" s="11">
        <f>G14/F24*100</f>
        <v>0.49312017815954823</v>
      </c>
      <c r="I14" s="1">
        <v>905</v>
      </c>
      <c r="J14" s="11">
        <f t="shared" si="6"/>
        <v>6.4642857142857144</v>
      </c>
      <c r="K14" s="11">
        <f>J14/I24*100</f>
        <v>0.1469489819114734</v>
      </c>
      <c r="L14" s="1">
        <v>80</v>
      </c>
      <c r="M14" s="11">
        <f>L14/46</f>
        <v>1.7391304347826086</v>
      </c>
      <c r="N14" s="11">
        <f>M14/L24*100</f>
        <v>4.660049396523603E-2</v>
      </c>
      <c r="O14" s="1">
        <v>5</v>
      </c>
      <c r="P14" s="11">
        <f>O14/16</f>
        <v>0.3125</v>
      </c>
      <c r="Q14" s="11">
        <f>P14/O24*100</f>
        <v>2.3234200743494422E-2</v>
      </c>
      <c r="R14" s="1">
        <v>0</v>
      </c>
      <c r="S14" s="11">
        <v>0</v>
      </c>
      <c r="T14" s="11">
        <v>0</v>
      </c>
      <c r="U14" s="1">
        <v>0</v>
      </c>
      <c r="V14" s="11">
        <v>0</v>
      </c>
      <c r="W14" s="11">
        <v>0</v>
      </c>
      <c r="X14" s="26">
        <f t="shared" si="0"/>
        <v>0</v>
      </c>
      <c r="Y14" s="26">
        <f>124/2.54</f>
        <v>48.818897637795274</v>
      </c>
      <c r="Z14" s="26">
        <f>905/43.99</f>
        <v>20.572857467606273</v>
      </c>
      <c r="AA14" s="26">
        <f>80/37.32</f>
        <v>2.1436227224008575</v>
      </c>
      <c r="AB14" s="26">
        <f>5/13.45</f>
        <v>0.37174721189591081</v>
      </c>
      <c r="AC14" s="26">
        <f t="shared" ref="AC14:AC17" si="7">0/22.54</f>
        <v>0</v>
      </c>
      <c r="AD14" s="26">
        <f t="shared" si="5"/>
        <v>0</v>
      </c>
    </row>
    <row r="15" spans="2:35">
      <c r="B15" s="1" t="s">
        <v>17</v>
      </c>
      <c r="C15" s="1">
        <v>0</v>
      </c>
      <c r="D15" s="11">
        <v>0</v>
      </c>
      <c r="E15" s="11">
        <v>0</v>
      </c>
      <c r="F15" s="1">
        <v>2</v>
      </c>
      <c r="G15" s="11">
        <f>F15/99</f>
        <v>2.0202020202020204E-2</v>
      </c>
      <c r="H15" s="11">
        <f>G15/F24*100</f>
        <v>7.9535512606378755E-3</v>
      </c>
      <c r="I15" s="1">
        <v>1</v>
      </c>
      <c r="J15" s="11">
        <f t="shared" si="6"/>
        <v>7.1428571428571426E-3</v>
      </c>
      <c r="K15" s="11">
        <f>J15/I24*100</f>
        <v>1.6237456564803689E-4</v>
      </c>
      <c r="L15" s="1">
        <v>1</v>
      </c>
      <c r="M15" s="11">
        <f>L15/46</f>
        <v>2.1739130434782608E-2</v>
      </c>
      <c r="N15" s="11">
        <f>M15/L24*100</f>
        <v>5.8250617456545042E-4</v>
      </c>
      <c r="O15" s="1">
        <v>0</v>
      </c>
      <c r="P15" s="11">
        <v>0</v>
      </c>
      <c r="Q15" s="11">
        <v>0</v>
      </c>
      <c r="R15" s="1">
        <v>0</v>
      </c>
      <c r="S15" s="11">
        <v>0</v>
      </c>
      <c r="T15" s="11">
        <v>0</v>
      </c>
      <c r="U15" s="1">
        <v>0</v>
      </c>
      <c r="V15" s="11">
        <v>0</v>
      </c>
      <c r="W15" s="11">
        <v>0</v>
      </c>
      <c r="X15" s="26">
        <f t="shared" si="0"/>
        <v>0</v>
      </c>
      <c r="Y15" s="26">
        <f>2/2.54</f>
        <v>0.78740157480314954</v>
      </c>
      <c r="Z15" s="26">
        <f>1/43.99</f>
        <v>2.2732439190725165E-2</v>
      </c>
      <c r="AA15" s="26">
        <f>1/37.32</f>
        <v>2.6795284030010719E-2</v>
      </c>
      <c r="AB15" s="26">
        <f>0/13.45</f>
        <v>0</v>
      </c>
      <c r="AC15" s="26">
        <f t="shared" si="7"/>
        <v>0</v>
      </c>
      <c r="AD15" s="26">
        <f t="shared" si="5"/>
        <v>0</v>
      </c>
    </row>
    <row r="16" spans="2:35">
      <c r="B16" s="1" t="s">
        <v>18</v>
      </c>
      <c r="C16" s="1">
        <v>0</v>
      </c>
      <c r="D16" s="11">
        <v>0</v>
      </c>
      <c r="E16" s="11">
        <v>0</v>
      </c>
      <c r="F16" s="1">
        <v>3</v>
      </c>
      <c r="G16" s="17">
        <f>F16/99</f>
        <v>3.0303030303030304E-2</v>
      </c>
      <c r="H16" s="17">
        <f>G16/F24*100</f>
        <v>1.1930326890956812E-2</v>
      </c>
      <c r="I16" s="2">
        <v>6</v>
      </c>
      <c r="J16" s="16">
        <f t="shared" si="6"/>
        <v>4.2857142857142858E-2</v>
      </c>
      <c r="K16" s="16">
        <f>J16/I24*100</f>
        <v>9.7424739388822133E-4</v>
      </c>
      <c r="L16" s="1">
        <v>0</v>
      </c>
      <c r="M16" s="11">
        <v>0</v>
      </c>
      <c r="N16" s="11">
        <v>0</v>
      </c>
      <c r="O16" s="1">
        <v>0</v>
      </c>
      <c r="P16" s="11">
        <v>0</v>
      </c>
      <c r="Q16" s="11">
        <v>0</v>
      </c>
      <c r="R16" s="1">
        <v>0</v>
      </c>
      <c r="S16" s="11">
        <v>0</v>
      </c>
      <c r="T16" s="11">
        <v>0</v>
      </c>
      <c r="U16" s="1">
        <v>0</v>
      </c>
      <c r="V16" s="11">
        <v>0</v>
      </c>
      <c r="W16" s="11">
        <v>0</v>
      </c>
      <c r="X16" s="26">
        <f t="shared" si="0"/>
        <v>0</v>
      </c>
      <c r="Y16" s="26">
        <f>3/2.54</f>
        <v>1.1811023622047243</v>
      </c>
      <c r="Z16" s="26">
        <f>6/43.99</f>
        <v>0.13639463514435099</v>
      </c>
      <c r="AA16" s="26">
        <f>0/37.32</f>
        <v>0</v>
      </c>
      <c r="AB16" s="26">
        <f t="shared" ref="AB16:AB17" si="8">0/13.45</f>
        <v>0</v>
      </c>
      <c r="AC16" s="26">
        <f t="shared" si="7"/>
        <v>0</v>
      </c>
      <c r="AD16" s="26">
        <f t="shared" si="5"/>
        <v>0</v>
      </c>
    </row>
    <row r="17" spans="2:35">
      <c r="B17" s="1" t="s">
        <v>19</v>
      </c>
      <c r="C17" s="1">
        <v>0</v>
      </c>
      <c r="D17" s="11">
        <v>0</v>
      </c>
      <c r="E17" s="11">
        <v>0</v>
      </c>
      <c r="F17" s="1">
        <v>0</v>
      </c>
      <c r="G17" s="11">
        <v>0</v>
      </c>
      <c r="H17" s="11">
        <v>0</v>
      </c>
      <c r="I17" s="1">
        <v>1</v>
      </c>
      <c r="J17" s="11">
        <f t="shared" si="6"/>
        <v>7.1428571428571426E-3</v>
      </c>
      <c r="K17" s="11">
        <f>J17/I24*100</f>
        <v>1.6237456564803689E-4</v>
      </c>
      <c r="L17" s="1">
        <v>0</v>
      </c>
      <c r="M17" s="11">
        <v>0</v>
      </c>
      <c r="N17" s="11">
        <v>0</v>
      </c>
      <c r="O17" s="1">
        <v>0</v>
      </c>
      <c r="P17" s="11">
        <v>0</v>
      </c>
      <c r="Q17" s="11">
        <v>0</v>
      </c>
      <c r="R17" s="1">
        <v>0</v>
      </c>
      <c r="S17" s="11">
        <v>0</v>
      </c>
      <c r="T17" s="11">
        <v>0</v>
      </c>
      <c r="U17" s="1">
        <v>0</v>
      </c>
      <c r="V17" s="11">
        <v>0</v>
      </c>
      <c r="W17" s="11">
        <v>0</v>
      </c>
      <c r="X17" s="26">
        <f t="shared" si="0"/>
        <v>0</v>
      </c>
      <c r="Y17" s="26">
        <f t="shared" ref="Y17:Y19" si="9">0/2.54</f>
        <v>0</v>
      </c>
      <c r="Z17" s="26">
        <f>1/43.99</f>
        <v>2.2732439190725165E-2</v>
      </c>
      <c r="AA17" s="26">
        <f>0/37.32</f>
        <v>0</v>
      </c>
      <c r="AB17" s="26">
        <f t="shared" si="8"/>
        <v>0</v>
      </c>
      <c r="AC17" s="26">
        <f t="shared" si="7"/>
        <v>0</v>
      </c>
      <c r="AD17" s="26">
        <f t="shared" si="5"/>
        <v>0</v>
      </c>
    </row>
    <row r="18" spans="2:35">
      <c r="B18" s="1" t="s">
        <v>20</v>
      </c>
      <c r="C18" s="1">
        <v>1</v>
      </c>
      <c r="D18" s="11">
        <f>C18/467</f>
        <v>2.1413276231263384E-3</v>
      </c>
      <c r="E18" s="11">
        <f>D18/C24*100</f>
        <v>8.5653104925053538E-3</v>
      </c>
      <c r="F18" s="1">
        <v>0</v>
      </c>
      <c r="G18" s="11">
        <v>0</v>
      </c>
      <c r="H18" s="11">
        <v>0</v>
      </c>
      <c r="I18" s="1">
        <v>10</v>
      </c>
      <c r="J18" s="11">
        <f t="shared" si="6"/>
        <v>7.1428571428571425E-2</v>
      </c>
      <c r="K18" s="11">
        <f>J18/I24*100</f>
        <v>1.6237456564803688E-3</v>
      </c>
      <c r="L18" s="1">
        <v>2</v>
      </c>
      <c r="M18" s="11">
        <f>L18/46</f>
        <v>4.3478260869565216E-2</v>
      </c>
      <c r="N18" s="11">
        <f>M18/L24*100</f>
        <v>1.1650123491309008E-3</v>
      </c>
      <c r="O18" s="1">
        <v>1</v>
      </c>
      <c r="P18" s="11">
        <f>O18/16</f>
        <v>6.25E-2</v>
      </c>
      <c r="Q18" s="11">
        <f>P18/O24*100</f>
        <v>4.646840148698885E-3</v>
      </c>
      <c r="R18" s="1">
        <v>1</v>
      </c>
      <c r="S18" s="11">
        <f>R18/18</f>
        <v>5.5555555555555552E-2</v>
      </c>
      <c r="T18" s="11">
        <f>S18/R24*100</f>
        <v>2.4647540175490486E-3</v>
      </c>
      <c r="U18" s="1">
        <v>1</v>
      </c>
      <c r="V18" s="11">
        <f>U18/16</f>
        <v>6.25E-2</v>
      </c>
      <c r="W18" s="11">
        <f>V18/U24*100</f>
        <v>5.0854353132628151E-3</v>
      </c>
      <c r="X18" s="26">
        <f>1/0.25</f>
        <v>4</v>
      </c>
      <c r="Y18" s="26">
        <f t="shared" si="9"/>
        <v>0</v>
      </c>
      <c r="Z18" s="26">
        <f>10/43.99</f>
        <v>0.22732439190725165</v>
      </c>
      <c r="AA18" s="26">
        <f>2/37.32</f>
        <v>5.3590568060021437E-2</v>
      </c>
      <c r="AB18" s="26">
        <f>1/13.45</f>
        <v>7.434944237918216E-2</v>
      </c>
      <c r="AC18" s="26">
        <f>1/22.54</f>
        <v>4.4365572315882874E-2</v>
      </c>
      <c r="AD18" s="26">
        <f>1/12.29</f>
        <v>8.1366965012205056E-2</v>
      </c>
    </row>
    <row r="19" spans="2:35">
      <c r="B19" s="1" t="s">
        <v>21</v>
      </c>
      <c r="C19" s="1">
        <v>0</v>
      </c>
      <c r="D19" s="11">
        <v>0</v>
      </c>
      <c r="E19" s="11">
        <v>0</v>
      </c>
      <c r="F19" s="1">
        <v>0</v>
      </c>
      <c r="G19" s="11">
        <v>0</v>
      </c>
      <c r="H19" s="11">
        <v>0</v>
      </c>
      <c r="I19" s="1">
        <v>2</v>
      </c>
      <c r="J19" s="11">
        <f t="shared" si="6"/>
        <v>1.4285714285714285E-2</v>
      </c>
      <c r="K19" s="11">
        <f>J19/I24*100</f>
        <v>3.2474913129607378E-4</v>
      </c>
      <c r="L19" s="1">
        <v>2</v>
      </c>
      <c r="M19" s="11">
        <f>L19/46</f>
        <v>4.3478260869565216E-2</v>
      </c>
      <c r="N19" s="11">
        <f>M19/L24*100</f>
        <v>1.1650123491309008E-3</v>
      </c>
      <c r="O19" s="1">
        <v>0</v>
      </c>
      <c r="P19" s="11">
        <v>0</v>
      </c>
      <c r="Q19" s="11">
        <v>0</v>
      </c>
      <c r="R19" s="1">
        <v>0</v>
      </c>
      <c r="S19" s="11">
        <v>0</v>
      </c>
      <c r="T19" s="11">
        <v>0</v>
      </c>
      <c r="U19" s="1">
        <v>0</v>
      </c>
      <c r="V19" s="11">
        <v>0</v>
      </c>
      <c r="W19" s="11">
        <v>0</v>
      </c>
      <c r="X19" s="26">
        <f t="shared" si="0"/>
        <v>0</v>
      </c>
      <c r="Y19" s="26">
        <f t="shared" si="9"/>
        <v>0</v>
      </c>
      <c r="Z19" s="26">
        <f>2/43.99</f>
        <v>4.546487838145033E-2</v>
      </c>
      <c r="AA19" s="26">
        <f>2/37.32</f>
        <v>5.3590568060021437E-2</v>
      </c>
      <c r="AB19" s="26">
        <f>0/13.45</f>
        <v>0</v>
      </c>
      <c r="AC19" s="26">
        <f>0/22.54</f>
        <v>0</v>
      </c>
      <c r="AD19" s="26">
        <f>0/12.29</f>
        <v>0</v>
      </c>
    </row>
    <row r="20" spans="2:35">
      <c r="B20" s="1" t="s">
        <v>22</v>
      </c>
      <c r="C20" s="1">
        <v>0</v>
      </c>
      <c r="D20" s="11">
        <v>0</v>
      </c>
      <c r="E20" s="11">
        <v>0</v>
      </c>
      <c r="F20" s="1">
        <v>1</v>
      </c>
      <c r="G20" s="11">
        <f>F20/99</f>
        <v>1.0101010101010102E-2</v>
      </c>
      <c r="H20" s="11">
        <f>G20/F24*100</f>
        <v>3.9767756303189378E-3</v>
      </c>
      <c r="I20" s="1">
        <v>4</v>
      </c>
      <c r="J20" s="11">
        <f t="shared" si="6"/>
        <v>2.8571428571428571E-2</v>
      </c>
      <c r="K20" s="11">
        <f>J20/I24*100</f>
        <v>6.4949826259214755E-4</v>
      </c>
      <c r="L20" s="1">
        <v>2</v>
      </c>
      <c r="M20" s="11">
        <f>L20/46</f>
        <v>4.3478260869565216E-2</v>
      </c>
      <c r="N20" s="11">
        <f>M20/L24*100</f>
        <v>1.1650123491309008E-3</v>
      </c>
      <c r="O20" s="1">
        <v>0</v>
      </c>
      <c r="P20" s="11">
        <v>0</v>
      </c>
      <c r="Q20" s="11">
        <v>0</v>
      </c>
      <c r="R20" s="1">
        <v>0</v>
      </c>
      <c r="S20" s="11">
        <v>0</v>
      </c>
      <c r="T20" s="11">
        <v>0</v>
      </c>
      <c r="U20" s="1">
        <v>0</v>
      </c>
      <c r="V20" s="11">
        <v>0</v>
      </c>
      <c r="W20" s="11">
        <v>0</v>
      </c>
      <c r="X20" s="26">
        <f t="shared" si="0"/>
        <v>0</v>
      </c>
      <c r="Y20" s="26">
        <f>1/2.54</f>
        <v>0.39370078740157477</v>
      </c>
      <c r="Z20" s="26">
        <f>4/43.99</f>
        <v>9.092975676290066E-2</v>
      </c>
      <c r="AA20" s="26">
        <f>2/37.32</f>
        <v>5.3590568060021437E-2</v>
      </c>
      <c r="AB20" s="26">
        <f t="shared" ref="AB20:AB21" si="10">0/13.45</f>
        <v>0</v>
      </c>
      <c r="AC20" s="26">
        <f t="shared" ref="AC20:AC21" si="11">0/22.54</f>
        <v>0</v>
      </c>
      <c r="AD20" s="26">
        <f t="shared" ref="AD20:AD21" si="12">0/12.29</f>
        <v>0</v>
      </c>
    </row>
    <row r="21" spans="2:35">
      <c r="B21" s="1" t="s">
        <v>23</v>
      </c>
      <c r="C21" s="1">
        <v>0</v>
      </c>
      <c r="D21" s="11">
        <v>0</v>
      </c>
      <c r="E21" s="11">
        <v>0</v>
      </c>
      <c r="F21" s="1">
        <v>1</v>
      </c>
      <c r="G21" s="11">
        <f>F21/99</f>
        <v>1.0101010101010102E-2</v>
      </c>
      <c r="H21" s="11">
        <f>G21/F24*100</f>
        <v>3.9767756303189378E-3</v>
      </c>
      <c r="I21" s="1">
        <v>1</v>
      </c>
      <c r="J21" s="11">
        <f t="shared" si="6"/>
        <v>7.1428571428571426E-3</v>
      </c>
      <c r="K21" s="11">
        <f>J21/I24*100</f>
        <v>1.6237456564803689E-4</v>
      </c>
      <c r="L21" s="1">
        <v>9</v>
      </c>
      <c r="M21" s="11">
        <f>L21/46</f>
        <v>0.19565217391304349</v>
      </c>
      <c r="N21" s="11">
        <f>M21/L24*100</f>
        <v>5.242555571089054E-3</v>
      </c>
      <c r="O21" s="1">
        <v>0</v>
      </c>
      <c r="P21" s="11">
        <v>0</v>
      </c>
      <c r="Q21" s="11">
        <v>0</v>
      </c>
      <c r="R21" s="1">
        <v>0</v>
      </c>
      <c r="S21" s="11">
        <v>0</v>
      </c>
      <c r="T21" s="11">
        <v>0</v>
      </c>
      <c r="U21" s="1">
        <v>0</v>
      </c>
      <c r="V21" s="11">
        <v>0</v>
      </c>
      <c r="W21" s="11">
        <v>0</v>
      </c>
      <c r="X21" s="26">
        <f t="shared" si="0"/>
        <v>0</v>
      </c>
      <c r="Y21" s="26">
        <f>1/2.54</f>
        <v>0.39370078740157477</v>
      </c>
      <c r="Z21" s="26">
        <f>1/43.99</f>
        <v>2.2732439190725165E-2</v>
      </c>
      <c r="AA21" s="26">
        <f>9/37.32</f>
        <v>0.24115755627009647</v>
      </c>
      <c r="AB21" s="26">
        <f t="shared" si="10"/>
        <v>0</v>
      </c>
      <c r="AC21" s="26">
        <f t="shared" si="11"/>
        <v>0</v>
      </c>
      <c r="AD21" s="26">
        <f t="shared" si="12"/>
        <v>0</v>
      </c>
    </row>
    <row r="22" spans="2:35">
      <c r="B22" s="1" t="s">
        <v>24</v>
      </c>
      <c r="C22" s="1">
        <v>0</v>
      </c>
      <c r="D22" s="11">
        <v>0</v>
      </c>
      <c r="E22" s="11">
        <v>0</v>
      </c>
      <c r="F22" s="1">
        <v>9</v>
      </c>
      <c r="G22" s="11">
        <f>F22/99</f>
        <v>9.0909090909090912E-2</v>
      </c>
      <c r="H22" s="11">
        <f>G22/F24*100</f>
        <v>3.5790980672870433E-2</v>
      </c>
      <c r="I22" s="1">
        <v>203</v>
      </c>
      <c r="J22" s="11">
        <f t="shared" si="6"/>
        <v>1.45</v>
      </c>
      <c r="K22" s="11">
        <f>J22/I24*100</f>
        <v>3.2962036826551487E-2</v>
      </c>
      <c r="L22" s="1">
        <v>107</v>
      </c>
      <c r="M22" s="11">
        <f>L22/46</f>
        <v>2.3260869565217392</v>
      </c>
      <c r="N22" s="11">
        <f>M22/L24*100</f>
        <v>6.2328160678503199E-2</v>
      </c>
      <c r="O22" s="1">
        <v>15</v>
      </c>
      <c r="P22" s="11">
        <f>O22/16</f>
        <v>0.9375</v>
      </c>
      <c r="Q22" s="11">
        <f>P22/O24*100</f>
        <v>6.9702602230483274E-2</v>
      </c>
      <c r="R22" s="1">
        <v>3</v>
      </c>
      <c r="S22" s="11">
        <f>R22/18</f>
        <v>0.16666666666666666</v>
      </c>
      <c r="T22" s="11">
        <f>S22/R24*100</f>
        <v>7.3942620526471449E-3</v>
      </c>
      <c r="U22" s="1">
        <v>2</v>
      </c>
      <c r="V22" s="11">
        <f>U22/16</f>
        <v>0.125</v>
      </c>
      <c r="W22" s="11">
        <f>V22/U24*100</f>
        <v>1.017087062652563E-2</v>
      </c>
      <c r="X22" s="26">
        <f t="shared" si="0"/>
        <v>0</v>
      </c>
      <c r="Y22" s="26">
        <f>9/2.54</f>
        <v>3.5433070866141732</v>
      </c>
      <c r="Z22" s="26">
        <f>203/43.99</f>
        <v>4.6146851557172086</v>
      </c>
      <c r="AA22" s="26">
        <f>107/37.32</f>
        <v>2.867095391211147</v>
      </c>
      <c r="AB22" s="26">
        <f>15/13.45</f>
        <v>1.1152416356877324</v>
      </c>
      <c r="AC22" s="26">
        <f>3/22.54</f>
        <v>0.13309671694764863</v>
      </c>
      <c r="AD22" s="26">
        <f>2/12.29</f>
        <v>0.16273393002441011</v>
      </c>
    </row>
    <row r="23" spans="2:35">
      <c r="B23" s="1" t="s">
        <v>25</v>
      </c>
      <c r="C23" s="1">
        <v>0</v>
      </c>
      <c r="D23" s="11">
        <v>0</v>
      </c>
      <c r="E23" s="11">
        <v>0</v>
      </c>
      <c r="F23" s="1">
        <v>1</v>
      </c>
      <c r="G23" s="11">
        <f>F23/99</f>
        <v>1.0101010101010102E-2</v>
      </c>
      <c r="H23" s="11">
        <f>G23/F24*100</f>
        <v>3.9767756303189378E-3</v>
      </c>
      <c r="I23" s="1">
        <v>15</v>
      </c>
      <c r="J23" s="11">
        <f t="shared" si="6"/>
        <v>0.10714285714285714</v>
      </c>
      <c r="K23" s="11">
        <f>J23/I24*100</f>
        <v>2.4356184847205533E-3</v>
      </c>
      <c r="L23" s="1">
        <v>0</v>
      </c>
      <c r="M23" s="11">
        <v>0</v>
      </c>
      <c r="N23" s="11">
        <v>0</v>
      </c>
      <c r="O23" s="1">
        <v>0</v>
      </c>
      <c r="P23" s="11">
        <v>0</v>
      </c>
      <c r="Q23" s="11">
        <v>0</v>
      </c>
      <c r="R23" s="1">
        <v>1</v>
      </c>
      <c r="S23" s="11">
        <f>R23/18</f>
        <v>5.5555555555555552E-2</v>
      </c>
      <c r="T23" s="11">
        <f>S23/R24*100</f>
        <v>2.4647540175490486E-3</v>
      </c>
      <c r="U23" s="1">
        <v>2</v>
      </c>
      <c r="V23" s="11">
        <f>U23/16</f>
        <v>0.125</v>
      </c>
      <c r="W23" s="11">
        <f>V23/U24*100</f>
        <v>1.017087062652563E-2</v>
      </c>
      <c r="X23" s="26">
        <f t="shared" si="0"/>
        <v>0</v>
      </c>
      <c r="Y23" s="26">
        <f>1/2.54</f>
        <v>0.39370078740157477</v>
      </c>
      <c r="Z23" s="26">
        <f>15/43.99</f>
        <v>0.34098658786087743</v>
      </c>
      <c r="AA23" s="26">
        <f>0/37.32</f>
        <v>0</v>
      </c>
      <c r="AB23" s="26">
        <f>0/13.45</f>
        <v>0</v>
      </c>
      <c r="AC23" s="26">
        <f>1/22.54</f>
        <v>4.4365572315882874E-2</v>
      </c>
      <c r="AD23" s="26">
        <f>2/12.29</f>
        <v>0.16273393002441011</v>
      </c>
    </row>
    <row r="24" spans="2:35">
      <c r="B24" s="1" t="s">
        <v>26</v>
      </c>
      <c r="C24" s="1">
        <f t="shared" ref="C24:U24" si="13">SUM(C5:C23)</f>
        <v>25</v>
      </c>
      <c r="D24" s="11">
        <f>C24/467</f>
        <v>5.353319057815846E-2</v>
      </c>
      <c r="E24" s="11">
        <f>D24/C26*100</f>
        <v>4.0439032012508282E-4</v>
      </c>
      <c r="F24" s="1">
        <f t="shared" si="13"/>
        <v>254</v>
      </c>
      <c r="G24" s="11">
        <f>F24/99</f>
        <v>2.5656565656565657</v>
      </c>
      <c r="H24" s="11">
        <f>G24/C26*100</f>
        <v>1.9380998380847302E-2</v>
      </c>
      <c r="I24" s="1">
        <f t="shared" si="13"/>
        <v>4399</v>
      </c>
      <c r="J24" s="11">
        <f>I24/140</f>
        <v>31.421428571428571</v>
      </c>
      <c r="K24" s="11">
        <f>J24/C26*100</f>
        <v>0.23735782271814906</v>
      </c>
      <c r="L24" s="1">
        <f t="shared" si="13"/>
        <v>3732</v>
      </c>
      <c r="M24" s="11">
        <f>L24/46</f>
        <v>81.130434782608702</v>
      </c>
      <c r="N24" s="11">
        <f>M24/C26*100</f>
        <v>0.61286021138093905</v>
      </c>
      <c r="O24" s="1">
        <f t="shared" si="13"/>
        <v>1345</v>
      </c>
      <c r="P24" s="11">
        <f>O24/16</f>
        <v>84.0625</v>
      </c>
      <c r="Q24" s="11">
        <f>P24/C26*100</f>
        <v>0.6350090648134159</v>
      </c>
      <c r="R24" s="1">
        <f t="shared" si="13"/>
        <v>2254</v>
      </c>
      <c r="S24" s="11">
        <f>R24/18</f>
        <v>125.22222222222223</v>
      </c>
      <c r="T24" s="11">
        <f>S24/C26*100</f>
        <v>0.94593006664316537</v>
      </c>
      <c r="U24" s="1">
        <f t="shared" si="13"/>
        <v>1229</v>
      </c>
      <c r="V24" s="11">
        <f>U24/16</f>
        <v>76.8125</v>
      </c>
      <c r="W24" s="11">
        <f>V24/C26*100</f>
        <v>0.58024248375887588</v>
      </c>
      <c r="X24" s="26">
        <f t="shared" ref="X24:AD24" si="14">SUM(X5:X23)</f>
        <v>100</v>
      </c>
      <c r="Y24" s="26">
        <f t="shared" si="14"/>
        <v>100</v>
      </c>
      <c r="Z24" s="26">
        <f>SUM(Z5:Z23)</f>
        <v>99.999999999999986</v>
      </c>
      <c r="AA24" s="26">
        <f t="shared" si="14"/>
        <v>100</v>
      </c>
      <c r="AB24" s="26">
        <f t="shared" si="14"/>
        <v>100.00000000000003</v>
      </c>
      <c r="AC24" s="26">
        <f t="shared" si="14"/>
        <v>100</v>
      </c>
      <c r="AD24" s="26">
        <f t="shared" si="14"/>
        <v>100.00000000000003</v>
      </c>
    </row>
    <row r="25" spans="2:35"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</row>
    <row r="26" spans="2:35">
      <c r="B26" s="27" t="s">
        <v>60</v>
      </c>
      <c r="C26" s="27">
        <f>C24+F24+I24+L24+O24+R24+U24</f>
        <v>13238</v>
      </c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</row>
    <row r="27" spans="2:35"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</row>
    <row r="28" spans="2:35" ht="15.75">
      <c r="B28" s="36" t="s">
        <v>43</v>
      </c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9"/>
      <c r="AF28" s="9"/>
      <c r="AG28" s="9"/>
      <c r="AH28" s="10"/>
      <c r="AI28" s="10"/>
    </row>
    <row r="29" spans="2:35">
      <c r="B29" s="5" t="s">
        <v>0</v>
      </c>
      <c r="C29" s="5" t="s">
        <v>36</v>
      </c>
      <c r="D29" s="6" t="s">
        <v>34</v>
      </c>
      <c r="E29" s="7" t="s">
        <v>35</v>
      </c>
      <c r="F29" s="5" t="s">
        <v>37</v>
      </c>
      <c r="G29" s="6" t="s">
        <v>34</v>
      </c>
      <c r="H29" s="7" t="s">
        <v>35</v>
      </c>
      <c r="I29" s="5" t="s">
        <v>3</v>
      </c>
      <c r="J29" s="6" t="s">
        <v>34</v>
      </c>
      <c r="K29" s="7" t="s">
        <v>35</v>
      </c>
      <c r="L29" s="5" t="s">
        <v>38</v>
      </c>
      <c r="M29" s="6" t="s">
        <v>34</v>
      </c>
      <c r="N29" s="7" t="s">
        <v>35</v>
      </c>
      <c r="O29" s="5" t="s">
        <v>39</v>
      </c>
      <c r="P29" s="6" t="s">
        <v>34</v>
      </c>
      <c r="Q29" s="7" t="s">
        <v>35</v>
      </c>
      <c r="R29" s="5" t="s">
        <v>40</v>
      </c>
      <c r="S29" s="6" t="s">
        <v>34</v>
      </c>
      <c r="T29" s="7" t="s">
        <v>35</v>
      </c>
      <c r="U29" s="5" t="s">
        <v>31</v>
      </c>
      <c r="V29" s="6" t="s">
        <v>34</v>
      </c>
      <c r="W29" s="7" t="s">
        <v>35</v>
      </c>
      <c r="X29" s="7" t="s">
        <v>46</v>
      </c>
      <c r="Y29" s="7" t="s">
        <v>47</v>
      </c>
      <c r="Z29" s="7" t="s">
        <v>48</v>
      </c>
      <c r="AA29" s="7" t="s">
        <v>49</v>
      </c>
      <c r="AB29" s="7" t="s">
        <v>50</v>
      </c>
      <c r="AC29" s="7" t="s">
        <v>51</v>
      </c>
      <c r="AD29" s="7" t="s">
        <v>52</v>
      </c>
      <c r="AE29" s="8"/>
      <c r="AF29" s="8"/>
      <c r="AG29" s="8"/>
      <c r="AH29" s="8"/>
      <c r="AI29" s="8"/>
    </row>
    <row r="30" spans="2:35">
      <c r="B30" s="1" t="s">
        <v>8</v>
      </c>
      <c r="C30" s="1">
        <v>0</v>
      </c>
      <c r="D30" s="11">
        <v>0</v>
      </c>
      <c r="E30" s="11">
        <v>0</v>
      </c>
      <c r="F30" s="1">
        <v>0</v>
      </c>
      <c r="G30" s="11">
        <v>0</v>
      </c>
      <c r="H30" s="11">
        <v>0</v>
      </c>
      <c r="I30" s="1">
        <v>0</v>
      </c>
      <c r="J30" s="11">
        <v>0</v>
      </c>
      <c r="K30" s="11">
        <v>0</v>
      </c>
      <c r="L30" s="1">
        <v>0</v>
      </c>
      <c r="M30" s="11">
        <v>0</v>
      </c>
      <c r="N30" s="11">
        <v>0</v>
      </c>
      <c r="O30" s="1">
        <v>0</v>
      </c>
      <c r="P30" s="11">
        <v>0</v>
      </c>
      <c r="Q30" s="11">
        <v>0</v>
      </c>
      <c r="R30" s="1">
        <v>0</v>
      </c>
      <c r="S30" s="11">
        <v>0</v>
      </c>
      <c r="T30" s="11">
        <v>0</v>
      </c>
      <c r="U30" s="1">
        <v>1</v>
      </c>
      <c r="V30" s="11">
        <f>U30/16</f>
        <v>6.25E-2</v>
      </c>
      <c r="W30" s="11">
        <f>V30/U49*100</f>
        <v>1.4124293785310734E-3</v>
      </c>
      <c r="X30" s="26">
        <f>0/5.02</f>
        <v>0</v>
      </c>
      <c r="Y30" s="26">
        <f>0/20.86</f>
        <v>0</v>
      </c>
      <c r="Z30" s="26">
        <f>0/129.88</f>
        <v>0</v>
      </c>
      <c r="AA30" s="26">
        <f>0/87.66</f>
        <v>0</v>
      </c>
      <c r="AB30" s="26">
        <f>0/26.76</f>
        <v>0</v>
      </c>
      <c r="AC30" s="26">
        <f>0/56.11</f>
        <v>0</v>
      </c>
      <c r="AD30" s="26">
        <f>1/44.25</f>
        <v>2.2598870056497175E-2</v>
      </c>
      <c r="AE30" s="8"/>
      <c r="AF30" s="8"/>
      <c r="AG30" s="8"/>
      <c r="AH30" s="8"/>
      <c r="AI30" s="8"/>
    </row>
    <row r="31" spans="2:35">
      <c r="B31" s="1" t="s">
        <v>9</v>
      </c>
      <c r="C31" s="1">
        <v>2</v>
      </c>
      <c r="D31" s="11">
        <f>C31/467</f>
        <v>4.2826552462526769E-3</v>
      </c>
      <c r="E31" s="11">
        <f>D31/C49*100</f>
        <v>8.5311857495073246E-4</v>
      </c>
      <c r="F31" s="1">
        <v>8</v>
      </c>
      <c r="G31" s="11">
        <f>F31/99</f>
        <v>8.0808080808080815E-2</v>
      </c>
      <c r="H31" s="11">
        <f>G31/F49*100</f>
        <v>3.8738293771850819E-3</v>
      </c>
      <c r="I31" s="1">
        <v>558</v>
      </c>
      <c r="J31" s="11">
        <f>I31/140</f>
        <v>3.9857142857142858</v>
      </c>
      <c r="K31" s="11">
        <f>J31/I49*100</f>
        <v>3.068766773725197E-2</v>
      </c>
      <c r="L31" s="1">
        <v>5</v>
      </c>
      <c r="M31" s="11">
        <f>L31/46</f>
        <v>0.10869565217391304</v>
      </c>
      <c r="N31" s="11">
        <f>M31/L49*100</f>
        <v>1.2399686535924373E-3</v>
      </c>
      <c r="O31" s="1">
        <v>1</v>
      </c>
      <c r="P31" s="11">
        <f>O31/16</f>
        <v>6.25E-2</v>
      </c>
      <c r="Q31" s="11">
        <f>P31/O49*100</f>
        <v>2.3355754857997011E-3</v>
      </c>
      <c r="R31" s="1">
        <v>1</v>
      </c>
      <c r="S31" s="11">
        <f>R31/18</f>
        <v>5.5555555555555552E-2</v>
      </c>
      <c r="T31" s="11">
        <f>S31/R49*100</f>
        <v>9.9011861621022186E-4</v>
      </c>
      <c r="U31" s="1">
        <v>1</v>
      </c>
      <c r="V31" s="11">
        <f>U31/16</f>
        <v>6.25E-2</v>
      </c>
      <c r="W31" s="11">
        <f>V31/U49*100</f>
        <v>1.4124293785310734E-3</v>
      </c>
      <c r="X31" s="26">
        <f>2/5.02</f>
        <v>0.39840637450199207</v>
      </c>
      <c r="Y31" s="26">
        <f>8/20.86</f>
        <v>0.38350910834132312</v>
      </c>
      <c r="Z31" s="26">
        <f>558/129.88</f>
        <v>4.296273483215276</v>
      </c>
      <c r="AA31" s="26">
        <f>5/87.66</f>
        <v>5.7038558065252112E-2</v>
      </c>
      <c r="AB31" s="26">
        <f>1/26.76</f>
        <v>3.7369207772795211E-2</v>
      </c>
      <c r="AC31" s="26">
        <f>1/56.11</f>
        <v>1.7822135091783996E-2</v>
      </c>
      <c r="AD31" s="26">
        <f>1/44.25</f>
        <v>2.2598870056497175E-2</v>
      </c>
      <c r="AE31" s="8"/>
      <c r="AF31" s="8"/>
      <c r="AG31" s="8"/>
      <c r="AH31" s="8"/>
      <c r="AI31" s="8"/>
    </row>
    <row r="32" spans="2:35">
      <c r="B32" s="1" t="s">
        <v>10</v>
      </c>
      <c r="C32" s="1">
        <v>0</v>
      </c>
      <c r="D32" s="11">
        <v>0</v>
      </c>
      <c r="E32" s="11">
        <v>0</v>
      </c>
      <c r="F32" s="1">
        <v>0</v>
      </c>
      <c r="G32" s="11">
        <v>0</v>
      </c>
      <c r="H32" s="11">
        <v>0</v>
      </c>
      <c r="I32" s="1">
        <v>0</v>
      </c>
      <c r="J32" s="11">
        <v>0</v>
      </c>
      <c r="K32" s="11">
        <v>0</v>
      </c>
      <c r="L32" s="1">
        <v>42</v>
      </c>
      <c r="M32" s="11">
        <f>L32/46</f>
        <v>0.91304347826086951</v>
      </c>
      <c r="N32" s="11">
        <f>M32/L49*100</f>
        <v>1.0415736690176472E-2</v>
      </c>
      <c r="O32" s="1">
        <v>1572</v>
      </c>
      <c r="P32" s="11">
        <f>O32/16</f>
        <v>98.25</v>
      </c>
      <c r="Q32" s="11">
        <f>P32/O49*100</f>
        <v>3.6715246636771304</v>
      </c>
      <c r="R32" s="1">
        <v>5564</v>
      </c>
      <c r="S32" s="11">
        <f>R32/18</f>
        <v>309.11111111111109</v>
      </c>
      <c r="T32" s="11">
        <f>S32/R49*100</f>
        <v>5.509019980593675</v>
      </c>
      <c r="U32" s="1">
        <v>4352</v>
      </c>
      <c r="V32" s="11">
        <f>U32/16</f>
        <v>272</v>
      </c>
      <c r="W32" s="11">
        <f>V32/U49*100</f>
        <v>6.1468926553672318</v>
      </c>
      <c r="X32" s="26">
        <f>0/5.02</f>
        <v>0</v>
      </c>
      <c r="Y32" s="26">
        <f>0/20.86</f>
        <v>0</v>
      </c>
      <c r="Z32" s="26">
        <f>0/129.88</f>
        <v>0</v>
      </c>
      <c r="AA32" s="26">
        <f>42/87.66</f>
        <v>0.47912388774811776</v>
      </c>
      <c r="AB32" s="26">
        <f>1572/26.76</f>
        <v>58.744394618834079</v>
      </c>
      <c r="AC32" s="26">
        <f>5564/56.11</f>
        <v>99.162359650686156</v>
      </c>
      <c r="AD32" s="26">
        <f>4352/44.25</f>
        <v>98.350282485875709</v>
      </c>
      <c r="AE32" s="8"/>
      <c r="AF32" s="8"/>
      <c r="AG32" s="8"/>
      <c r="AH32" s="8"/>
      <c r="AI32" s="8"/>
    </row>
    <row r="33" spans="2:35">
      <c r="B33" s="1" t="s">
        <v>11</v>
      </c>
      <c r="C33" s="1">
        <v>465</v>
      </c>
      <c r="D33" s="11">
        <f>C33/467</f>
        <v>0.99571734475374729</v>
      </c>
      <c r="E33" s="11">
        <f>D33/C49*100</f>
        <v>0.19835006867604527</v>
      </c>
      <c r="F33" s="1">
        <v>671</v>
      </c>
      <c r="G33" s="11">
        <f>F33/99</f>
        <v>6.7777777777777777</v>
      </c>
      <c r="H33" s="11">
        <f>G33/F49*100</f>
        <v>0.32491743901139875</v>
      </c>
      <c r="I33" s="1">
        <v>4785</v>
      </c>
      <c r="J33" s="11">
        <f>I33/140</f>
        <v>34.178571428571431</v>
      </c>
      <c r="K33" s="11">
        <f>J33/I49*100</f>
        <v>0.26315500021998328</v>
      </c>
      <c r="L33" s="1">
        <v>7531</v>
      </c>
      <c r="M33" s="11">
        <f>L33/46</f>
        <v>163.71739130434781</v>
      </c>
      <c r="N33" s="11">
        <f>M33/L49*100</f>
        <v>1.8676407860409288</v>
      </c>
      <c r="O33" s="1">
        <v>87</v>
      </c>
      <c r="P33" s="11">
        <f>O33/16</f>
        <v>5.4375</v>
      </c>
      <c r="Q33" s="11">
        <f>P33/O49*100</f>
        <v>0.20319506726457398</v>
      </c>
      <c r="R33" s="1">
        <v>3</v>
      </c>
      <c r="S33" s="11">
        <f>R33/18</f>
        <v>0.16666666666666666</v>
      </c>
      <c r="T33" s="11">
        <f>S33/R49*100</f>
        <v>2.9703558486306658E-3</v>
      </c>
      <c r="U33" s="1">
        <v>30</v>
      </c>
      <c r="V33" s="11">
        <f>U33/16</f>
        <v>1.875</v>
      </c>
      <c r="W33" s="11">
        <f>V33/U49*100</f>
        <v>4.2372881355932202E-2</v>
      </c>
      <c r="X33" s="26">
        <f>465/5.02</f>
        <v>92.629482071713156</v>
      </c>
      <c r="Y33" s="26">
        <f>671/20.86</f>
        <v>32.166826462128476</v>
      </c>
      <c r="Z33" s="26">
        <f>4785/129.88</f>
        <v>36.841700030797661</v>
      </c>
      <c r="AA33" s="26">
        <f>7531/87.66</f>
        <v>85.911476157882731</v>
      </c>
      <c r="AB33" s="26">
        <f>87/26.76</f>
        <v>3.2511210762331837</v>
      </c>
      <c r="AC33" s="26">
        <f>3/56.11</f>
        <v>5.3466405275351986E-2</v>
      </c>
      <c r="AD33" s="26">
        <f>30/44.25</f>
        <v>0.67796610169491522</v>
      </c>
      <c r="AE33" s="8"/>
      <c r="AF33" s="8"/>
      <c r="AG33" s="8"/>
      <c r="AH33" s="8"/>
      <c r="AI33" s="8"/>
    </row>
    <row r="34" spans="2:35">
      <c r="B34" s="1" t="s">
        <v>41</v>
      </c>
      <c r="C34" s="1">
        <v>0</v>
      </c>
      <c r="D34" s="11">
        <v>0</v>
      </c>
      <c r="E34" s="11">
        <v>0</v>
      </c>
      <c r="F34" s="1">
        <v>1</v>
      </c>
      <c r="G34" s="11">
        <f>F34/99</f>
        <v>1.0101010101010102E-2</v>
      </c>
      <c r="H34" s="11">
        <f>G34/F49*100</f>
        <v>4.8422867214813523E-4</v>
      </c>
      <c r="I34" s="1">
        <v>0</v>
      </c>
      <c r="J34" s="11">
        <v>0</v>
      </c>
      <c r="K34" s="11">
        <v>0</v>
      </c>
      <c r="L34" s="1">
        <v>0</v>
      </c>
      <c r="M34" s="11">
        <v>0</v>
      </c>
      <c r="N34" s="11">
        <v>0</v>
      </c>
      <c r="O34" s="1">
        <v>0</v>
      </c>
      <c r="P34" s="11">
        <v>0</v>
      </c>
      <c r="Q34" s="11">
        <v>0</v>
      </c>
      <c r="R34" s="1">
        <v>0</v>
      </c>
      <c r="S34" s="11">
        <v>0</v>
      </c>
      <c r="T34" s="11">
        <v>0</v>
      </c>
      <c r="U34" s="1">
        <v>0</v>
      </c>
      <c r="V34" s="11">
        <v>0</v>
      </c>
      <c r="W34" s="11">
        <v>0</v>
      </c>
      <c r="X34" s="26">
        <f>0/5.02</f>
        <v>0</v>
      </c>
      <c r="Y34" s="26">
        <f>1/20.86</f>
        <v>4.793863854266539E-2</v>
      </c>
      <c r="Z34" s="26">
        <f>0/129.88</f>
        <v>0</v>
      </c>
      <c r="AA34" s="26">
        <f>0/87.66</f>
        <v>0</v>
      </c>
      <c r="AB34" s="26">
        <f>0/26.76</f>
        <v>0</v>
      </c>
      <c r="AC34" s="26">
        <f>0/56.11</f>
        <v>0</v>
      </c>
      <c r="AD34" s="26">
        <f>0/44.25</f>
        <v>0</v>
      </c>
      <c r="AE34" s="8"/>
      <c r="AF34" s="8"/>
      <c r="AG34" s="8"/>
      <c r="AH34" s="8"/>
      <c r="AI34" s="8"/>
    </row>
    <row r="35" spans="2:35">
      <c r="B35" s="1" t="s">
        <v>44</v>
      </c>
      <c r="C35" s="1">
        <v>30</v>
      </c>
      <c r="D35" s="11">
        <f>C35/467</f>
        <v>6.4239828693790149E-2</v>
      </c>
      <c r="E35" s="11">
        <f>D35/C49*100</f>
        <v>1.2796778624260985E-2</v>
      </c>
      <c r="F35" s="1">
        <v>14</v>
      </c>
      <c r="G35" s="11">
        <f>F35/99</f>
        <v>0.14141414141414141</v>
      </c>
      <c r="H35" s="11">
        <f>G35/F49*100</f>
        <v>6.7792014100738936E-3</v>
      </c>
      <c r="I35" s="1">
        <v>185</v>
      </c>
      <c r="J35" s="11">
        <f>I35/140</f>
        <v>1.3214285714285714</v>
      </c>
      <c r="K35" s="11">
        <f>J35/I49*100</f>
        <v>1.0174226758766333E-2</v>
      </c>
      <c r="L35" s="1">
        <v>2</v>
      </c>
      <c r="M35" s="11">
        <f>L35/46</f>
        <v>4.3478260869565216E-2</v>
      </c>
      <c r="N35" s="11">
        <f>M35/L49*100</f>
        <v>4.9598746143697482E-4</v>
      </c>
      <c r="O35" s="1">
        <v>1</v>
      </c>
      <c r="P35" s="11">
        <f>O35/16</f>
        <v>6.25E-2</v>
      </c>
      <c r="Q35" s="11">
        <f>P35/O49*100</f>
        <v>2.3355754857997011E-3</v>
      </c>
      <c r="R35" s="1">
        <v>0</v>
      </c>
      <c r="S35" s="11">
        <v>0</v>
      </c>
      <c r="T35" s="11">
        <v>0</v>
      </c>
      <c r="U35" s="1">
        <v>2</v>
      </c>
      <c r="V35" s="11">
        <f>U35/16</f>
        <v>0.125</v>
      </c>
      <c r="W35" s="11">
        <f>V35/U49*100</f>
        <v>2.8248587570621469E-3</v>
      </c>
      <c r="X35" s="26">
        <f>30/5.02</f>
        <v>5.9760956175298814</v>
      </c>
      <c r="Y35" s="26">
        <f>14/20.86</f>
        <v>0.67114093959731547</v>
      </c>
      <c r="Z35" s="26">
        <f>185/129.88</f>
        <v>1.4243917462272868</v>
      </c>
      <c r="AA35" s="26">
        <f>2/87.66</f>
        <v>2.2815423226100844E-2</v>
      </c>
      <c r="AB35" s="26">
        <f>1/26.76</f>
        <v>3.7369207772795211E-2</v>
      </c>
      <c r="AC35" s="26">
        <f>0/56.11</f>
        <v>0</v>
      </c>
      <c r="AD35" s="26">
        <f>2/44.25</f>
        <v>4.519774011299435E-2</v>
      </c>
      <c r="AE35" s="8"/>
      <c r="AF35" s="8"/>
      <c r="AG35" s="8"/>
      <c r="AH35" s="8"/>
      <c r="AI35" s="8"/>
    </row>
    <row r="36" spans="2:35">
      <c r="B36" s="1" t="s">
        <v>13</v>
      </c>
      <c r="C36" s="1">
        <v>0</v>
      </c>
      <c r="D36" s="11">
        <v>0</v>
      </c>
      <c r="E36" s="11">
        <v>0</v>
      </c>
      <c r="F36" s="1">
        <v>0</v>
      </c>
      <c r="G36" s="11">
        <v>0</v>
      </c>
      <c r="H36" s="11">
        <v>0</v>
      </c>
      <c r="I36" s="1">
        <v>0</v>
      </c>
      <c r="J36" s="11">
        <v>0</v>
      </c>
      <c r="K36" s="11">
        <v>0</v>
      </c>
      <c r="L36" s="1">
        <v>0</v>
      </c>
      <c r="M36" s="11">
        <v>0</v>
      </c>
      <c r="N36" s="11">
        <v>0</v>
      </c>
      <c r="O36" s="1">
        <v>2</v>
      </c>
      <c r="P36" s="11">
        <f>O36/46</f>
        <v>4.3478260869565216E-2</v>
      </c>
      <c r="Q36" s="11">
        <f>P36/O49*100</f>
        <v>1.6247481640345746E-3</v>
      </c>
      <c r="R36" s="1">
        <v>0</v>
      </c>
      <c r="S36" s="11">
        <v>0</v>
      </c>
      <c r="T36" s="11">
        <v>0</v>
      </c>
      <c r="U36" s="1">
        <v>0</v>
      </c>
      <c r="V36" s="11">
        <v>0</v>
      </c>
      <c r="W36" s="11">
        <v>0</v>
      </c>
      <c r="X36" s="26">
        <f>0/5.02</f>
        <v>0</v>
      </c>
      <c r="Y36" s="26">
        <f>0/20.86</f>
        <v>0</v>
      </c>
      <c r="Z36" s="26">
        <f>0/129.88</f>
        <v>0</v>
      </c>
      <c r="AA36" s="26">
        <f>0/87.66</f>
        <v>0</v>
      </c>
      <c r="AB36" s="26">
        <f>2/26.76</f>
        <v>7.4738415545590423E-2</v>
      </c>
      <c r="AC36" s="26">
        <f>0/56.11</f>
        <v>0</v>
      </c>
      <c r="AD36" s="26">
        <f>0/44.25</f>
        <v>0</v>
      </c>
      <c r="AE36" s="8"/>
      <c r="AF36" s="8"/>
      <c r="AG36" s="8"/>
      <c r="AH36" s="8"/>
      <c r="AI36" s="8"/>
    </row>
    <row r="37" spans="2:35">
      <c r="B37" s="1" t="s">
        <v>14</v>
      </c>
      <c r="C37" s="1">
        <v>0</v>
      </c>
      <c r="D37" s="11">
        <v>0</v>
      </c>
      <c r="E37" s="11">
        <v>0</v>
      </c>
      <c r="F37" s="1">
        <v>133</v>
      </c>
      <c r="G37" s="11">
        <f>F37/99</f>
        <v>1.3434343434343434</v>
      </c>
      <c r="H37" s="11">
        <f>G37/F49*100</f>
        <v>6.4402413395701977E-2</v>
      </c>
      <c r="I37" s="1">
        <v>2062</v>
      </c>
      <c r="J37" s="11">
        <f t="shared" ref="J37:J49" si="15">I37/140</f>
        <v>14.728571428571428</v>
      </c>
      <c r="K37" s="11">
        <f>J37/I49*100</f>
        <v>0.11340138149500636</v>
      </c>
      <c r="L37" s="1">
        <v>759</v>
      </c>
      <c r="M37" s="11">
        <f>L37/46</f>
        <v>16.5</v>
      </c>
      <c r="N37" s="11">
        <f>M37/L49*100</f>
        <v>0.18822724161533197</v>
      </c>
      <c r="O37" s="1">
        <v>608</v>
      </c>
      <c r="P37" s="11">
        <f>O37/46</f>
        <v>13.217391304347826</v>
      </c>
      <c r="Q37" s="11">
        <f>P37/O49*100</f>
        <v>0.49392344186651066</v>
      </c>
      <c r="R37" s="1">
        <v>21</v>
      </c>
      <c r="S37" s="11">
        <f>R37/18</f>
        <v>1.1666666666666667</v>
      </c>
      <c r="T37" s="11">
        <f>S37/R49*100</f>
        <v>2.0792490940414663E-2</v>
      </c>
      <c r="U37" s="1">
        <v>0</v>
      </c>
      <c r="V37" s="11">
        <v>0</v>
      </c>
      <c r="W37" s="11">
        <v>0</v>
      </c>
      <c r="X37" s="26">
        <f>0/5.02</f>
        <v>0</v>
      </c>
      <c r="Y37" s="26">
        <f>133/20.86</f>
        <v>6.375838926174497</v>
      </c>
      <c r="Z37" s="26">
        <f>2062/129.88</f>
        <v>15.876193409300894</v>
      </c>
      <c r="AA37" s="26">
        <f>759/87.66</f>
        <v>8.6584531143052708</v>
      </c>
      <c r="AB37" s="26">
        <f>608/26.76</f>
        <v>22.720478325859489</v>
      </c>
      <c r="AC37" s="26">
        <f>21/56.11</f>
        <v>0.37426483692746393</v>
      </c>
      <c r="AD37" s="26">
        <f t="shared" ref="AD37:AD38" si="16">0/44.25</f>
        <v>0</v>
      </c>
      <c r="AE37" s="8"/>
      <c r="AF37" s="8"/>
      <c r="AG37" s="8"/>
      <c r="AH37" s="8"/>
      <c r="AI37" s="8"/>
    </row>
    <row r="38" spans="2:35">
      <c r="B38" s="1" t="s">
        <v>15</v>
      </c>
      <c r="C38" s="1">
        <v>2</v>
      </c>
      <c r="D38" s="11">
        <f>C38/467</f>
        <v>4.2826552462526769E-3</v>
      </c>
      <c r="E38" s="11">
        <f>D38/C49*100</f>
        <v>8.5311857495073246E-4</v>
      </c>
      <c r="F38" s="1">
        <v>72</v>
      </c>
      <c r="G38" s="11">
        <f>F38/99</f>
        <v>0.72727272727272729</v>
      </c>
      <c r="H38" s="11">
        <f>G38/F49*100</f>
        <v>3.4864464394665742E-2</v>
      </c>
      <c r="I38" s="1">
        <v>1497</v>
      </c>
      <c r="J38" s="11">
        <f t="shared" si="15"/>
        <v>10.692857142857143</v>
      </c>
      <c r="K38" s="11">
        <f>J38/I49*100</f>
        <v>8.2328743015530823E-2</v>
      </c>
      <c r="L38" s="1">
        <v>35</v>
      </c>
      <c r="M38" s="11">
        <f>L38/46</f>
        <v>0.76086956521739135</v>
      </c>
      <c r="N38" s="11">
        <f>M38/L49*100</f>
        <v>8.67978057514706E-3</v>
      </c>
      <c r="O38" s="1">
        <v>41</v>
      </c>
      <c r="P38" s="11">
        <f>O38/46</f>
        <v>0.89130434782608692</v>
      </c>
      <c r="Q38" s="11">
        <f>P38/O49*100</f>
        <v>3.3307337362708779E-2</v>
      </c>
      <c r="R38" s="1">
        <v>0</v>
      </c>
      <c r="S38" s="11">
        <v>0</v>
      </c>
      <c r="T38" s="11">
        <v>0</v>
      </c>
      <c r="U38" s="1">
        <v>0</v>
      </c>
      <c r="V38" s="11">
        <v>0</v>
      </c>
      <c r="W38" s="11">
        <v>0</v>
      </c>
      <c r="X38" s="26">
        <f>2/5.02</f>
        <v>0.39840637450199207</v>
      </c>
      <c r="Y38" s="26">
        <f>72/20.86</f>
        <v>3.4515819750719081</v>
      </c>
      <c r="Z38" s="26">
        <f>1497/129.88</f>
        <v>11.526024022174315</v>
      </c>
      <c r="AA38" s="26">
        <f>35/87.66</f>
        <v>0.3992699064567648</v>
      </c>
      <c r="AB38" s="26">
        <f>41/26.76</f>
        <v>1.5321375186846038</v>
      </c>
      <c r="AC38" s="26">
        <f>0/56.11</f>
        <v>0</v>
      </c>
      <c r="AD38" s="26">
        <f t="shared" si="16"/>
        <v>0</v>
      </c>
      <c r="AE38" s="8"/>
      <c r="AF38" s="8"/>
      <c r="AG38" s="8"/>
      <c r="AH38" s="8"/>
      <c r="AI38" s="8"/>
    </row>
    <row r="39" spans="2:35">
      <c r="B39" s="1" t="s">
        <v>16</v>
      </c>
      <c r="C39" s="1">
        <v>1</v>
      </c>
      <c r="D39" s="11">
        <f>C39/467</f>
        <v>2.1413276231263384E-3</v>
      </c>
      <c r="E39" s="11">
        <f>D39/C49*100</f>
        <v>4.2655928747536623E-4</v>
      </c>
      <c r="F39" s="1">
        <v>1051</v>
      </c>
      <c r="G39" s="11">
        <f>F39/99</f>
        <v>10.616161616161616</v>
      </c>
      <c r="H39" s="11">
        <f>G39/F49*100</f>
        <v>0.50892433442769014</v>
      </c>
      <c r="I39" s="1">
        <v>3269</v>
      </c>
      <c r="J39" s="11">
        <f t="shared" si="15"/>
        <v>23.35</v>
      </c>
      <c r="K39" s="11">
        <f>J39/I49*100</f>
        <v>0.179781336618417</v>
      </c>
      <c r="L39" s="1">
        <v>134</v>
      </c>
      <c r="M39" s="11">
        <f>L39/46</f>
        <v>2.9130434782608696</v>
      </c>
      <c r="N39" s="11">
        <f>M39/L49*100</f>
        <v>3.3231159916277314E-2</v>
      </c>
      <c r="O39" s="1">
        <v>74</v>
      </c>
      <c r="P39" s="11">
        <f>O39/46</f>
        <v>1.6086956521739131</v>
      </c>
      <c r="Q39" s="11">
        <f>P39/O49*100</f>
        <v>6.0115682069279266E-2</v>
      </c>
      <c r="R39" s="1">
        <v>2</v>
      </c>
      <c r="S39" s="11">
        <f>R39/18</f>
        <v>0.1111111111111111</v>
      </c>
      <c r="T39" s="11">
        <f>S39/R49*100</f>
        <v>1.9802372324204437E-3</v>
      </c>
      <c r="U39" s="1">
        <v>7</v>
      </c>
      <c r="V39" s="11">
        <f>U39/16</f>
        <v>0.4375</v>
      </c>
      <c r="W39" s="11">
        <f>V39/U49*100</f>
        <v>9.8870056497175132E-3</v>
      </c>
      <c r="X39" s="26">
        <f>1/5.02</f>
        <v>0.19920318725099603</v>
      </c>
      <c r="Y39" s="26">
        <f>1051/20.86</f>
        <v>50.383509108341322</v>
      </c>
      <c r="Z39" s="26">
        <f>3269/129.88</f>
        <v>25.169387126578382</v>
      </c>
      <c r="AA39" s="26">
        <f>134/87.66</f>
        <v>1.5286333561487566</v>
      </c>
      <c r="AB39" s="26">
        <f>74/26.76</f>
        <v>2.7653213751868457</v>
      </c>
      <c r="AC39" s="26">
        <f>2/56.11</f>
        <v>3.5644270183567993E-2</v>
      </c>
      <c r="AD39" s="26">
        <f>7/44.25</f>
        <v>0.15819209039548024</v>
      </c>
      <c r="AE39" s="8"/>
      <c r="AF39" s="8"/>
      <c r="AG39" s="8"/>
      <c r="AH39" s="8"/>
      <c r="AI39" s="8"/>
    </row>
    <row r="40" spans="2:35">
      <c r="B40" s="1" t="s">
        <v>17</v>
      </c>
      <c r="C40" s="1">
        <v>0</v>
      </c>
      <c r="D40" s="11">
        <v>0</v>
      </c>
      <c r="E40" s="11">
        <v>0</v>
      </c>
      <c r="F40" s="1">
        <v>2</v>
      </c>
      <c r="G40" s="11">
        <f>F40/99</f>
        <v>2.0202020202020204E-2</v>
      </c>
      <c r="H40" s="11">
        <f>G40/F49*100</f>
        <v>9.6845734429627046E-4</v>
      </c>
      <c r="I40" s="1">
        <v>11</v>
      </c>
      <c r="J40" s="11">
        <f t="shared" si="15"/>
        <v>7.857142857142857E-2</v>
      </c>
      <c r="K40" s="11">
        <f>J40/I49*100</f>
        <v>6.0495402349421438E-4</v>
      </c>
      <c r="L40" s="1">
        <v>0</v>
      </c>
      <c r="M40" s="11">
        <v>0</v>
      </c>
      <c r="N40" s="11">
        <v>0</v>
      </c>
      <c r="O40" s="1">
        <v>0</v>
      </c>
      <c r="P40" s="11">
        <v>0</v>
      </c>
      <c r="Q40" s="11">
        <v>0</v>
      </c>
      <c r="R40" s="1">
        <v>0</v>
      </c>
      <c r="S40" s="11">
        <v>0</v>
      </c>
      <c r="T40" s="11">
        <v>0</v>
      </c>
      <c r="U40" s="1">
        <v>0</v>
      </c>
      <c r="V40" s="11">
        <v>0</v>
      </c>
      <c r="W40" s="11">
        <v>0</v>
      </c>
      <c r="X40" s="26">
        <f>0/5.02</f>
        <v>0</v>
      </c>
      <c r="Y40" s="26">
        <f>2/20.86</f>
        <v>9.5877277085330781E-2</v>
      </c>
      <c r="Z40" s="26">
        <f>11/129.88</f>
        <v>8.4693563289190019E-2</v>
      </c>
      <c r="AA40" s="26">
        <f>0/87.66</f>
        <v>0</v>
      </c>
      <c r="AB40" s="26">
        <f>0/26.76</f>
        <v>0</v>
      </c>
      <c r="AC40" s="26">
        <f t="shared" ref="AC40:AC42" si="17">0/56.11</f>
        <v>0</v>
      </c>
      <c r="AD40" s="26">
        <f>0/44.25</f>
        <v>0</v>
      </c>
      <c r="AE40" s="8"/>
      <c r="AF40" s="8"/>
      <c r="AG40" s="8"/>
      <c r="AH40" s="8"/>
      <c r="AI40" s="8"/>
    </row>
    <row r="41" spans="2:35">
      <c r="B41" s="1" t="s">
        <v>18</v>
      </c>
      <c r="C41" s="1">
        <v>0</v>
      </c>
      <c r="D41" s="11">
        <v>0</v>
      </c>
      <c r="E41" s="11">
        <v>0</v>
      </c>
      <c r="F41" s="1">
        <v>94</v>
      </c>
      <c r="G41" s="17">
        <f>F41/99</f>
        <v>0.9494949494949495</v>
      </c>
      <c r="H41" s="17">
        <f>G41/F49*100</f>
        <v>4.5517495181924716E-2</v>
      </c>
      <c r="I41" s="2">
        <v>48</v>
      </c>
      <c r="J41" s="16">
        <f t="shared" si="15"/>
        <v>0.34285714285714286</v>
      </c>
      <c r="K41" s="16">
        <f>J41/I49*100</f>
        <v>2.6397993752474811E-3</v>
      </c>
      <c r="L41" s="1">
        <v>0</v>
      </c>
      <c r="M41" s="11">
        <v>0</v>
      </c>
      <c r="N41" s="11">
        <v>0</v>
      </c>
      <c r="O41" s="1">
        <v>0</v>
      </c>
      <c r="P41" s="11">
        <v>0</v>
      </c>
      <c r="Q41" s="11">
        <v>0</v>
      </c>
      <c r="R41" s="1">
        <v>0</v>
      </c>
      <c r="S41" s="11">
        <v>0</v>
      </c>
      <c r="T41" s="11">
        <v>0</v>
      </c>
      <c r="U41" s="1">
        <v>0</v>
      </c>
      <c r="V41" s="11">
        <v>0</v>
      </c>
      <c r="W41" s="11">
        <v>0</v>
      </c>
      <c r="X41" s="26">
        <f>0/5.02</f>
        <v>0</v>
      </c>
      <c r="Y41" s="26">
        <f>94/20.86</f>
        <v>4.506232023010547</v>
      </c>
      <c r="Z41" s="26">
        <f>48/129.88</f>
        <v>0.36957191253464738</v>
      </c>
      <c r="AA41" s="26">
        <f>0/87.66</f>
        <v>0</v>
      </c>
      <c r="AB41" s="26">
        <f t="shared" ref="AB41:AB42" si="18">0/26.76</f>
        <v>0</v>
      </c>
      <c r="AC41" s="26">
        <f t="shared" si="17"/>
        <v>0</v>
      </c>
      <c r="AD41" s="26">
        <f t="shared" ref="AD41:AD42" si="19">0/44.25</f>
        <v>0</v>
      </c>
      <c r="AE41" s="8"/>
      <c r="AF41" s="8"/>
      <c r="AG41" s="8"/>
      <c r="AH41" s="8"/>
      <c r="AI41" s="8"/>
    </row>
    <row r="42" spans="2:35">
      <c r="B42" s="1" t="s">
        <v>19</v>
      </c>
      <c r="C42" s="1">
        <v>0</v>
      </c>
      <c r="D42" s="11">
        <v>0</v>
      </c>
      <c r="E42" s="11">
        <v>0</v>
      </c>
      <c r="F42" s="1">
        <v>0</v>
      </c>
      <c r="G42" s="11">
        <v>0</v>
      </c>
      <c r="H42" s="11">
        <v>0</v>
      </c>
      <c r="I42" s="1">
        <v>1</v>
      </c>
      <c r="J42" s="11">
        <f t="shared" si="15"/>
        <v>7.1428571428571426E-3</v>
      </c>
      <c r="K42" s="11">
        <f>J42/I49*100</f>
        <v>5.4995820317655855E-5</v>
      </c>
      <c r="L42" s="1">
        <v>0</v>
      </c>
      <c r="M42" s="11">
        <v>0</v>
      </c>
      <c r="N42" s="11">
        <v>0</v>
      </c>
      <c r="O42" s="1">
        <v>0</v>
      </c>
      <c r="P42" s="11">
        <v>0</v>
      </c>
      <c r="Q42" s="11">
        <v>0</v>
      </c>
      <c r="R42" s="1">
        <v>0</v>
      </c>
      <c r="S42" s="11">
        <v>0</v>
      </c>
      <c r="T42" s="11">
        <v>0</v>
      </c>
      <c r="U42" s="1">
        <v>0</v>
      </c>
      <c r="V42" s="11">
        <v>0</v>
      </c>
      <c r="W42" s="11">
        <v>0</v>
      </c>
      <c r="X42" s="26">
        <f>0/5.02</f>
        <v>0</v>
      </c>
      <c r="Y42" s="26">
        <f>0/20.86</f>
        <v>0</v>
      </c>
      <c r="Z42" s="26">
        <f>1/129.88</f>
        <v>7.6994148444718205E-3</v>
      </c>
      <c r="AA42" s="26">
        <f>0/87.66</f>
        <v>0</v>
      </c>
      <c r="AB42" s="26">
        <f t="shared" si="18"/>
        <v>0</v>
      </c>
      <c r="AC42" s="26">
        <f t="shared" si="17"/>
        <v>0</v>
      </c>
      <c r="AD42" s="26">
        <f t="shared" si="19"/>
        <v>0</v>
      </c>
      <c r="AE42" s="8"/>
      <c r="AF42" s="8"/>
      <c r="AG42" s="8"/>
      <c r="AH42" s="8"/>
      <c r="AI42" s="8"/>
    </row>
    <row r="43" spans="2:35">
      <c r="B43" s="1" t="s">
        <v>20</v>
      </c>
      <c r="C43" s="1">
        <v>1</v>
      </c>
      <c r="D43" s="11">
        <f>C43/467</f>
        <v>2.1413276231263384E-3</v>
      </c>
      <c r="E43" s="11">
        <f>D43/C49*100</f>
        <v>4.2655928747536623E-4</v>
      </c>
      <c r="F43" s="1">
        <v>3</v>
      </c>
      <c r="G43" s="11">
        <f>F43/99</f>
        <v>3.0303030303030304E-2</v>
      </c>
      <c r="H43" s="11">
        <f>G43/F49*100</f>
        <v>1.4526860164444059E-3</v>
      </c>
      <c r="I43" s="1">
        <v>44</v>
      </c>
      <c r="J43" s="11">
        <f t="shared" si="15"/>
        <v>0.31428571428571428</v>
      </c>
      <c r="K43" s="11">
        <f>J43/I49*100</f>
        <v>2.4198160939768575E-3</v>
      </c>
      <c r="L43" s="1">
        <v>14</v>
      </c>
      <c r="M43" s="11">
        <f t="shared" ref="M43:M49" si="20">L43/46</f>
        <v>0.30434782608695654</v>
      </c>
      <c r="N43" s="11">
        <f>M43/L49*100</f>
        <v>3.4719122300588242E-3</v>
      </c>
      <c r="O43" s="1">
        <v>2</v>
      </c>
      <c r="P43" s="11">
        <f>O43/46</f>
        <v>4.3478260869565216E-2</v>
      </c>
      <c r="Q43" s="11">
        <f>P43/O49*100</f>
        <v>1.6247481640345746E-3</v>
      </c>
      <c r="R43" s="1">
        <v>2</v>
      </c>
      <c r="S43" s="11">
        <f>R43/18</f>
        <v>0.1111111111111111</v>
      </c>
      <c r="T43" s="11">
        <f>S43/R49*100</f>
        <v>1.9802372324204437E-3</v>
      </c>
      <c r="U43" s="1">
        <v>2</v>
      </c>
      <c r="V43" s="11">
        <f>U43/16</f>
        <v>0.125</v>
      </c>
      <c r="W43" s="11">
        <f>V43/U49*100</f>
        <v>2.8248587570621469E-3</v>
      </c>
      <c r="X43" s="26">
        <f>1/5.02</f>
        <v>0.19920318725099603</v>
      </c>
      <c r="Y43" s="26">
        <f>3/20.86</f>
        <v>0.14381591562799617</v>
      </c>
      <c r="Z43" s="26">
        <f>44/129.88</f>
        <v>0.33877425315676007</v>
      </c>
      <c r="AA43" s="26">
        <f>14/87.66</f>
        <v>0.15970796258270592</v>
      </c>
      <c r="AB43" s="26">
        <f>2/26.76</f>
        <v>7.4738415545590423E-2</v>
      </c>
      <c r="AC43" s="26">
        <f>2/56.11</f>
        <v>3.5644270183567993E-2</v>
      </c>
      <c r="AD43" s="26">
        <f>2/44.25</f>
        <v>4.519774011299435E-2</v>
      </c>
      <c r="AE43" s="8"/>
      <c r="AF43" s="8"/>
      <c r="AG43" s="8"/>
      <c r="AH43" s="8"/>
      <c r="AI43" s="8"/>
    </row>
    <row r="44" spans="2:35">
      <c r="B44" s="1" t="s">
        <v>21</v>
      </c>
      <c r="C44" s="1">
        <v>0</v>
      </c>
      <c r="D44" s="11">
        <v>0</v>
      </c>
      <c r="E44" s="11">
        <v>0</v>
      </c>
      <c r="F44" s="1">
        <v>2</v>
      </c>
      <c r="G44" s="11">
        <f>F44/99</f>
        <v>2.0202020202020204E-2</v>
      </c>
      <c r="H44" s="11">
        <f>G44/F49*100</f>
        <v>9.6845734429627046E-4</v>
      </c>
      <c r="I44" s="1">
        <v>5</v>
      </c>
      <c r="J44" s="11">
        <f t="shared" si="15"/>
        <v>3.5714285714285712E-2</v>
      </c>
      <c r="K44" s="11">
        <f>J44/I49*100</f>
        <v>2.7497910158827925E-4</v>
      </c>
      <c r="L44" s="1">
        <v>2</v>
      </c>
      <c r="M44" s="11">
        <f t="shared" si="20"/>
        <v>4.3478260869565216E-2</v>
      </c>
      <c r="N44" s="11">
        <f>M44/L49*100</f>
        <v>4.9598746143697482E-4</v>
      </c>
      <c r="O44" s="1">
        <v>6</v>
      </c>
      <c r="P44" s="11">
        <f>O44/46</f>
        <v>0.13043478260869565</v>
      </c>
      <c r="Q44" s="11">
        <f>P44/O49*100</f>
        <v>4.8742444921037239E-3</v>
      </c>
      <c r="R44" s="1">
        <v>0</v>
      </c>
      <c r="S44" s="11">
        <v>0</v>
      </c>
      <c r="T44" s="11">
        <v>0</v>
      </c>
      <c r="U44" s="1">
        <v>0</v>
      </c>
      <c r="V44" s="11">
        <v>0</v>
      </c>
      <c r="W44" s="11">
        <v>0</v>
      </c>
      <c r="X44" s="26">
        <f>0/5.02</f>
        <v>0</v>
      </c>
      <c r="Y44" s="26">
        <f>2/20.86</f>
        <v>9.5877277085330781E-2</v>
      </c>
      <c r="Z44" s="26">
        <f>5/129.88</f>
        <v>3.8497074222359103E-2</v>
      </c>
      <c r="AA44" s="26">
        <f>2/87.66</f>
        <v>2.2815423226100844E-2</v>
      </c>
      <c r="AB44" s="26">
        <f>6/26.76</f>
        <v>0.22421524663677128</v>
      </c>
      <c r="AC44" s="26">
        <f>0/56.11</f>
        <v>0</v>
      </c>
      <c r="AD44" s="26">
        <f>0/44.25</f>
        <v>0</v>
      </c>
      <c r="AE44" s="8"/>
      <c r="AF44" s="8"/>
      <c r="AG44" s="8"/>
      <c r="AH44" s="8"/>
      <c r="AI44" s="8"/>
    </row>
    <row r="45" spans="2:35">
      <c r="B45" s="1" t="s">
        <v>22</v>
      </c>
      <c r="C45" s="1">
        <v>0</v>
      </c>
      <c r="D45" s="11">
        <v>0</v>
      </c>
      <c r="E45" s="11">
        <v>0</v>
      </c>
      <c r="F45" s="1">
        <v>0</v>
      </c>
      <c r="G45" s="11">
        <v>0</v>
      </c>
      <c r="H45" s="11">
        <v>0</v>
      </c>
      <c r="I45" s="1">
        <v>115</v>
      </c>
      <c r="J45" s="11">
        <f t="shared" si="15"/>
        <v>0.8214285714285714</v>
      </c>
      <c r="K45" s="11">
        <f>J45/I49*100</f>
        <v>6.3245193365304231E-3</v>
      </c>
      <c r="L45" s="1">
        <v>3</v>
      </c>
      <c r="M45" s="11">
        <f t="shared" si="20"/>
        <v>6.5217391304347824E-2</v>
      </c>
      <c r="N45" s="11">
        <f>M45/L49*100</f>
        <v>7.4398119215546223E-4</v>
      </c>
      <c r="O45" s="1">
        <v>2</v>
      </c>
      <c r="P45" s="11">
        <f>O45/46</f>
        <v>4.3478260869565216E-2</v>
      </c>
      <c r="Q45" s="11">
        <f>P45/O49*100</f>
        <v>1.6247481640345746E-3</v>
      </c>
      <c r="R45" s="1">
        <v>0</v>
      </c>
      <c r="S45" s="11">
        <v>0</v>
      </c>
      <c r="T45" s="11">
        <v>0</v>
      </c>
      <c r="U45" s="1">
        <v>0</v>
      </c>
      <c r="V45" s="11">
        <v>0</v>
      </c>
      <c r="W45" s="11">
        <v>0</v>
      </c>
      <c r="X45" s="26">
        <f t="shared" ref="X45:X46" si="21">0/5.02</f>
        <v>0</v>
      </c>
      <c r="Y45" s="26">
        <f>0/20.86</f>
        <v>0</v>
      </c>
      <c r="Z45" s="26">
        <f>115/129.88</f>
        <v>0.88543270711425937</v>
      </c>
      <c r="AA45" s="26">
        <f>3/87.66</f>
        <v>3.4223134839151265E-2</v>
      </c>
      <c r="AB45" s="26">
        <f>2/26.76</f>
        <v>7.4738415545590423E-2</v>
      </c>
      <c r="AC45" s="26">
        <f t="shared" ref="AC45:AC46" si="22">0/56.11</f>
        <v>0</v>
      </c>
      <c r="AD45" s="26">
        <f>0/44.25</f>
        <v>0</v>
      </c>
      <c r="AE45" s="8"/>
      <c r="AF45" s="8"/>
      <c r="AG45" s="8"/>
      <c r="AH45" s="8"/>
      <c r="AI45" s="8"/>
    </row>
    <row r="46" spans="2:35">
      <c r="B46" s="1" t="s">
        <v>23</v>
      </c>
      <c r="C46" s="1">
        <v>0</v>
      </c>
      <c r="D46" s="11">
        <v>0</v>
      </c>
      <c r="E46" s="11">
        <v>0</v>
      </c>
      <c r="F46" s="1">
        <v>0</v>
      </c>
      <c r="G46" s="11">
        <v>0</v>
      </c>
      <c r="H46" s="11">
        <v>0</v>
      </c>
      <c r="I46" s="1">
        <v>13</v>
      </c>
      <c r="J46" s="11">
        <f t="shared" si="15"/>
        <v>9.285714285714286E-2</v>
      </c>
      <c r="K46" s="11">
        <f>J46/I49*100</f>
        <v>7.1494566412952615E-4</v>
      </c>
      <c r="L46" s="1">
        <v>7</v>
      </c>
      <c r="M46" s="11">
        <f t="shared" si="20"/>
        <v>0.15217391304347827</v>
      </c>
      <c r="N46" s="11">
        <f>M46/L49*100</f>
        <v>1.7359561150294121E-3</v>
      </c>
      <c r="O46" s="1">
        <v>0</v>
      </c>
      <c r="P46" s="11">
        <v>0</v>
      </c>
      <c r="Q46" s="11">
        <v>0</v>
      </c>
      <c r="R46" s="1">
        <v>0</v>
      </c>
      <c r="S46" s="11">
        <v>0</v>
      </c>
      <c r="T46" s="11">
        <v>0</v>
      </c>
      <c r="U46" s="1">
        <v>1</v>
      </c>
      <c r="V46" s="11">
        <f>U46/16</f>
        <v>6.25E-2</v>
      </c>
      <c r="W46" s="11">
        <f>V46/U49*100</f>
        <v>1.4124293785310734E-3</v>
      </c>
      <c r="X46" s="26">
        <f t="shared" si="21"/>
        <v>0</v>
      </c>
      <c r="Y46" s="26">
        <f>0/20.86</f>
        <v>0</v>
      </c>
      <c r="Z46" s="26">
        <f>13/129.88</f>
        <v>0.10009239297813366</v>
      </c>
      <c r="AA46" s="26">
        <f>7/87.66</f>
        <v>7.985398129135296E-2</v>
      </c>
      <c r="AB46" s="26">
        <f>0/26.76</f>
        <v>0</v>
      </c>
      <c r="AC46" s="26">
        <f t="shared" si="22"/>
        <v>0</v>
      </c>
      <c r="AD46" s="26">
        <f>1/44.25</f>
        <v>2.2598870056497175E-2</v>
      </c>
      <c r="AE46" s="8"/>
      <c r="AF46" s="8"/>
      <c r="AG46" s="8"/>
      <c r="AH46" s="8"/>
      <c r="AI46" s="8"/>
    </row>
    <row r="47" spans="2:35">
      <c r="B47" s="1" t="s">
        <v>24</v>
      </c>
      <c r="C47" s="1">
        <v>1</v>
      </c>
      <c r="D47" s="11">
        <f>C47/467</f>
        <v>2.1413276231263384E-3</v>
      </c>
      <c r="E47" s="11">
        <f>D47/C49*100</f>
        <v>4.2655928747536623E-4</v>
      </c>
      <c r="F47" s="1">
        <v>29</v>
      </c>
      <c r="G47" s="11">
        <f>F47/99</f>
        <v>0.29292929292929293</v>
      </c>
      <c r="H47" s="11">
        <f>G47/F49*100</f>
        <v>1.4042631492295921E-2</v>
      </c>
      <c r="I47" s="1">
        <v>331</v>
      </c>
      <c r="J47" s="11">
        <f t="shared" si="15"/>
        <v>2.3642857142857143</v>
      </c>
      <c r="K47" s="11">
        <f>J47/I49*100</f>
        <v>1.820361652514409E-2</v>
      </c>
      <c r="L47" s="1">
        <v>222</v>
      </c>
      <c r="M47" s="11">
        <f t="shared" si="20"/>
        <v>4.8260869565217392</v>
      </c>
      <c r="N47" s="11">
        <f>M47/L49*100</f>
        <v>5.5054608219504204E-2</v>
      </c>
      <c r="O47" s="1">
        <v>269</v>
      </c>
      <c r="P47" s="11">
        <f>O47/46</f>
        <v>5.8478260869565215</v>
      </c>
      <c r="Q47" s="11">
        <f>P47/O49*100</f>
        <v>0.21852862806265028</v>
      </c>
      <c r="R47" s="1">
        <v>11</v>
      </c>
      <c r="S47" s="11">
        <f>R47/18</f>
        <v>0.61111111111111116</v>
      </c>
      <c r="T47" s="11">
        <f>S47/R49*100</f>
        <v>1.0891304778312443E-2</v>
      </c>
      <c r="U47" s="1">
        <v>2</v>
      </c>
      <c r="V47" s="11">
        <f>U47/16</f>
        <v>0.125</v>
      </c>
      <c r="W47" s="11">
        <f>V47/U49*100</f>
        <v>2.8248587570621469E-3</v>
      </c>
      <c r="X47" s="26">
        <f>1/5.02</f>
        <v>0.19920318725099603</v>
      </c>
      <c r="Y47" s="26">
        <f>29/20.86</f>
        <v>1.3902205177372964</v>
      </c>
      <c r="Z47" s="26">
        <f>331/129.88</f>
        <v>2.5485063135201727</v>
      </c>
      <c r="AA47" s="26">
        <f>222/87.66</f>
        <v>2.5325119780971939</v>
      </c>
      <c r="AB47" s="26">
        <f>269/26.76</f>
        <v>10.052316890881913</v>
      </c>
      <c r="AC47" s="26">
        <f>11/56.11</f>
        <v>0.19604348600962396</v>
      </c>
      <c r="AD47" s="26">
        <f>2/44.25</f>
        <v>4.519774011299435E-2</v>
      </c>
      <c r="AE47" s="8"/>
      <c r="AF47" s="8"/>
      <c r="AG47" s="8"/>
      <c r="AH47" s="8"/>
      <c r="AI47" s="8"/>
    </row>
    <row r="48" spans="2:35">
      <c r="B48" s="1" t="s">
        <v>25</v>
      </c>
      <c r="C48" s="1">
        <v>0</v>
      </c>
      <c r="D48" s="11">
        <v>0</v>
      </c>
      <c r="E48" s="11">
        <v>0</v>
      </c>
      <c r="F48" s="1">
        <v>6</v>
      </c>
      <c r="G48" s="11">
        <f>F48/99</f>
        <v>6.0606060606060608E-2</v>
      </c>
      <c r="H48" s="11">
        <f>G48/F49*100</f>
        <v>2.9053720328888117E-3</v>
      </c>
      <c r="I48" s="1">
        <v>64</v>
      </c>
      <c r="J48" s="11">
        <f t="shared" si="15"/>
        <v>0.45714285714285713</v>
      </c>
      <c r="K48" s="11">
        <f>J48/I49*100</f>
        <v>3.5197325003299747E-3</v>
      </c>
      <c r="L48" s="1">
        <v>10</v>
      </c>
      <c r="M48" s="11">
        <f t="shared" si="20"/>
        <v>0.21739130434782608</v>
      </c>
      <c r="N48" s="11">
        <f>M48/L49*100</f>
        <v>2.4799373071848745E-3</v>
      </c>
      <c r="O48" s="1">
        <v>11</v>
      </c>
      <c r="P48" s="11">
        <f>O48/46</f>
        <v>0.2391304347826087</v>
      </c>
      <c r="Q48" s="11">
        <f>P48/O49*100</f>
        <v>8.9361149021901596E-3</v>
      </c>
      <c r="R48" s="1">
        <v>7</v>
      </c>
      <c r="S48" s="11">
        <f>R48/18</f>
        <v>0.3888888888888889</v>
      </c>
      <c r="T48" s="11">
        <f>S48/R49*100</f>
        <v>6.9308303134715541E-3</v>
      </c>
      <c r="U48" s="1">
        <v>27</v>
      </c>
      <c r="V48" s="11">
        <f>U48/16</f>
        <v>1.6875</v>
      </c>
      <c r="W48" s="11">
        <f>V48/U49*100</f>
        <v>3.8135593220338986E-2</v>
      </c>
      <c r="X48" s="26">
        <f>0/5.02</f>
        <v>0</v>
      </c>
      <c r="Y48" s="26">
        <f>6/20.86</f>
        <v>0.28763183125599234</v>
      </c>
      <c r="Z48" s="26">
        <f>64/129.88</f>
        <v>0.49276255004619651</v>
      </c>
      <c r="AA48" s="26">
        <f>10/87.66</f>
        <v>0.11407711613050422</v>
      </c>
      <c r="AB48" s="26">
        <f>11/26.76</f>
        <v>0.41106128550074739</v>
      </c>
      <c r="AC48" s="26">
        <f>7/56.11</f>
        <v>0.12475494564248797</v>
      </c>
      <c r="AD48" s="26">
        <f>27/44.25</f>
        <v>0.61016949152542377</v>
      </c>
      <c r="AE48" s="8"/>
      <c r="AF48" s="8"/>
      <c r="AG48" s="8"/>
      <c r="AH48" s="8"/>
      <c r="AI48" s="8"/>
    </row>
    <row r="49" spans="2:35">
      <c r="B49" s="1" t="s">
        <v>26</v>
      </c>
      <c r="C49" s="1">
        <f t="shared" ref="C49:U49" si="23">SUM(C30:C48)</f>
        <v>502</v>
      </c>
      <c r="D49" s="11">
        <f>C49/467</f>
        <v>1.0749464668094217</v>
      </c>
      <c r="E49" s="11">
        <f>D49/C51*100</f>
        <v>2.901026790115566E-3</v>
      </c>
      <c r="F49" s="1">
        <f t="shared" si="23"/>
        <v>2086</v>
      </c>
      <c r="G49" s="11">
        <f>F49/99</f>
        <v>21.070707070707069</v>
      </c>
      <c r="H49" s="11">
        <f>G49/C51*100</f>
        <v>5.6864864982746989E-2</v>
      </c>
      <c r="I49" s="1">
        <f t="shared" si="23"/>
        <v>12988</v>
      </c>
      <c r="J49" s="11">
        <f t="shared" si="15"/>
        <v>92.771428571428572</v>
      </c>
      <c r="K49" s="11">
        <f>J49/C51*100</f>
        <v>0.25036818851251841</v>
      </c>
      <c r="L49" s="1">
        <f t="shared" si="23"/>
        <v>8766</v>
      </c>
      <c r="M49" s="11">
        <f t="shared" si="20"/>
        <v>190.56521739130434</v>
      </c>
      <c r="N49" s="11">
        <f>M49/C51*100</f>
        <v>0.51429054188833689</v>
      </c>
      <c r="O49" s="1">
        <f t="shared" si="23"/>
        <v>2676</v>
      </c>
      <c r="P49" s="11">
        <f>O49/46</f>
        <v>58.173913043478258</v>
      </c>
      <c r="Q49" s="11">
        <f>P49/C51*100</f>
        <v>0.15699766028897894</v>
      </c>
      <c r="R49" s="1">
        <f t="shared" si="23"/>
        <v>5611</v>
      </c>
      <c r="S49" s="11">
        <f>R49/18</f>
        <v>311.72222222222223</v>
      </c>
      <c r="T49" s="11">
        <f>S49/C51*100</f>
        <v>0.84126470076704862</v>
      </c>
      <c r="U49" s="1">
        <f t="shared" si="23"/>
        <v>4425</v>
      </c>
      <c r="V49" s="11">
        <f>U49/16</f>
        <v>276.5625</v>
      </c>
      <c r="W49" s="11">
        <f>V49/C51*100</f>
        <v>0.74637690937550605</v>
      </c>
      <c r="X49" s="26">
        <f t="shared" ref="X49:AD49" si="24">SUM(X30:X48)</f>
        <v>100.00000000000001</v>
      </c>
      <c r="Y49" s="26">
        <f t="shared" si="24"/>
        <v>100.00000000000001</v>
      </c>
      <c r="Z49" s="26">
        <f t="shared" si="24"/>
        <v>100.00000000000001</v>
      </c>
      <c r="AA49" s="26">
        <f t="shared" si="24"/>
        <v>100.00000000000001</v>
      </c>
      <c r="AB49" s="26">
        <f t="shared" si="24"/>
        <v>100.00000000000001</v>
      </c>
      <c r="AC49" s="26">
        <f t="shared" si="24"/>
        <v>100.00000000000003</v>
      </c>
      <c r="AD49" s="26">
        <f t="shared" si="24"/>
        <v>100.00000000000001</v>
      </c>
      <c r="AE49" s="8"/>
      <c r="AF49" s="8"/>
      <c r="AG49" s="8"/>
      <c r="AH49" s="8"/>
      <c r="AI49" s="8"/>
    </row>
    <row r="50" spans="2:35"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</row>
    <row r="51" spans="2:35">
      <c r="B51" s="27" t="s">
        <v>60</v>
      </c>
      <c r="C51" s="27">
        <f>C49+F49+I49+L49+O49+R49+U49</f>
        <v>37054</v>
      </c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</row>
    <row r="52" spans="2:35"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</row>
    <row r="53" spans="2:35" ht="15.75">
      <c r="B53" s="36" t="s">
        <v>45</v>
      </c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9"/>
      <c r="AF53" s="9"/>
      <c r="AG53" s="9"/>
      <c r="AH53" s="10"/>
      <c r="AI53" s="10"/>
    </row>
    <row r="54" spans="2:35">
      <c r="B54" s="5" t="s">
        <v>0</v>
      </c>
      <c r="C54" s="5" t="s">
        <v>36</v>
      </c>
      <c r="D54" s="6" t="s">
        <v>34</v>
      </c>
      <c r="E54" s="7" t="s">
        <v>35</v>
      </c>
      <c r="F54" s="5" t="s">
        <v>37</v>
      </c>
      <c r="G54" s="6" t="s">
        <v>34</v>
      </c>
      <c r="H54" s="7" t="s">
        <v>35</v>
      </c>
      <c r="I54" s="5" t="s">
        <v>3</v>
      </c>
      <c r="J54" s="6" t="s">
        <v>34</v>
      </c>
      <c r="K54" s="7" t="s">
        <v>35</v>
      </c>
      <c r="L54" s="5" t="s">
        <v>38</v>
      </c>
      <c r="M54" s="6" t="s">
        <v>34</v>
      </c>
      <c r="N54" s="7" t="s">
        <v>35</v>
      </c>
      <c r="O54" s="5" t="s">
        <v>39</v>
      </c>
      <c r="P54" s="6" t="s">
        <v>34</v>
      </c>
      <c r="Q54" s="7" t="s">
        <v>35</v>
      </c>
      <c r="R54" s="5" t="s">
        <v>40</v>
      </c>
      <c r="S54" s="6" t="s">
        <v>34</v>
      </c>
      <c r="T54" s="7" t="s">
        <v>35</v>
      </c>
      <c r="U54" s="5" t="s">
        <v>31</v>
      </c>
      <c r="V54" s="6" t="s">
        <v>34</v>
      </c>
      <c r="W54" s="7" t="s">
        <v>35</v>
      </c>
      <c r="X54" s="7" t="s">
        <v>46</v>
      </c>
      <c r="Y54" s="7" t="s">
        <v>47</v>
      </c>
      <c r="Z54" s="7" t="s">
        <v>48</v>
      </c>
      <c r="AA54" s="7" t="s">
        <v>49</v>
      </c>
      <c r="AB54" s="7" t="s">
        <v>50</v>
      </c>
      <c r="AC54" s="7" t="s">
        <v>51</v>
      </c>
      <c r="AD54" s="7" t="s">
        <v>52</v>
      </c>
      <c r="AE54" s="8"/>
      <c r="AF54" s="8"/>
      <c r="AG54" s="8"/>
      <c r="AH54" s="8"/>
      <c r="AI54" s="8"/>
    </row>
    <row r="55" spans="2:35">
      <c r="B55" s="1" t="s">
        <v>8</v>
      </c>
      <c r="C55" s="1">
        <v>0</v>
      </c>
      <c r="D55" s="11">
        <v>0</v>
      </c>
      <c r="E55" s="11">
        <v>0</v>
      </c>
      <c r="F55" s="1">
        <v>0</v>
      </c>
      <c r="G55" s="11">
        <v>0</v>
      </c>
      <c r="H55" s="11">
        <v>0</v>
      </c>
      <c r="I55" s="1">
        <v>0</v>
      </c>
      <c r="J55" s="11">
        <v>0</v>
      </c>
      <c r="K55" s="11">
        <v>0</v>
      </c>
      <c r="L55" s="1">
        <v>0</v>
      </c>
      <c r="M55" s="11">
        <v>0</v>
      </c>
      <c r="N55" s="11">
        <v>0</v>
      </c>
      <c r="O55" s="1">
        <v>0</v>
      </c>
      <c r="P55" s="11">
        <v>0</v>
      </c>
      <c r="Q55" s="11">
        <v>0</v>
      </c>
      <c r="R55" s="1">
        <v>0</v>
      </c>
      <c r="S55" s="11">
        <v>0</v>
      </c>
      <c r="T55" s="11">
        <v>0</v>
      </c>
      <c r="U55" s="1">
        <v>0</v>
      </c>
      <c r="V55" s="11">
        <v>0</v>
      </c>
      <c r="W55" s="11">
        <v>0</v>
      </c>
      <c r="X55" s="26">
        <f>0/0.34</f>
        <v>0</v>
      </c>
      <c r="Y55" s="26">
        <f>0/1.83</f>
        <v>0</v>
      </c>
      <c r="Z55" s="26">
        <f>0/20.58</f>
        <v>0</v>
      </c>
      <c r="AA55" s="26">
        <f>0/13.42</f>
        <v>0</v>
      </c>
      <c r="AB55" s="26">
        <f>0/14.47</f>
        <v>0</v>
      </c>
      <c r="AC55" s="26">
        <f>0/12.89</f>
        <v>0</v>
      </c>
      <c r="AD55" s="26">
        <f>0/17.57</f>
        <v>0</v>
      </c>
      <c r="AE55" s="8"/>
      <c r="AF55" s="8"/>
      <c r="AG55" s="8"/>
      <c r="AH55" s="8"/>
      <c r="AI55" s="8"/>
    </row>
    <row r="56" spans="2:35">
      <c r="B56" s="1" t="s">
        <v>9</v>
      </c>
      <c r="C56" s="1">
        <v>0</v>
      </c>
      <c r="D56" s="11">
        <v>0</v>
      </c>
      <c r="E56" s="11">
        <v>0</v>
      </c>
      <c r="F56" s="1">
        <v>0</v>
      </c>
      <c r="G56" s="11">
        <v>0</v>
      </c>
      <c r="H56" s="11">
        <v>0</v>
      </c>
      <c r="I56" s="1">
        <v>108</v>
      </c>
      <c r="J56" s="11">
        <f>I56/140</f>
        <v>0.77142857142857146</v>
      </c>
      <c r="K56" s="11">
        <f>J56/I74*100</f>
        <v>3.7484381507705125E-2</v>
      </c>
      <c r="L56" s="1">
        <v>8</v>
      </c>
      <c r="M56" s="11">
        <f>L56/46</f>
        <v>0.17391304347826086</v>
      </c>
      <c r="N56" s="11">
        <f>M56/L74*100</f>
        <v>1.2959243180198275E-2</v>
      </c>
      <c r="O56" s="1">
        <v>0</v>
      </c>
      <c r="P56" s="11">
        <v>0</v>
      </c>
      <c r="Q56" s="11">
        <v>0</v>
      </c>
      <c r="R56" s="1">
        <v>0</v>
      </c>
      <c r="S56" s="11">
        <v>0</v>
      </c>
      <c r="T56" s="11">
        <v>0</v>
      </c>
      <c r="U56" s="1">
        <v>4</v>
      </c>
      <c r="V56" s="11">
        <f>U56/16</f>
        <v>0.25</v>
      </c>
      <c r="W56" s="11">
        <f>V56/U74*100</f>
        <v>1.4228799089356859E-2</v>
      </c>
      <c r="X56" s="26">
        <f>0/0.34</f>
        <v>0</v>
      </c>
      <c r="Y56" s="26">
        <f>0/1.83</f>
        <v>0</v>
      </c>
      <c r="Z56" s="26">
        <f>108/20.58</f>
        <v>5.2478134110787176</v>
      </c>
      <c r="AA56" s="26">
        <f>8/13.42</f>
        <v>0.5961251862891207</v>
      </c>
      <c r="AB56" s="26">
        <f>0/14.47</f>
        <v>0</v>
      </c>
      <c r="AC56" s="26">
        <f>0/12.89</f>
        <v>0</v>
      </c>
      <c r="AD56" s="26">
        <f>4/17.57</f>
        <v>0.22766078542970972</v>
      </c>
    </row>
    <row r="57" spans="2:35">
      <c r="B57" s="1" t="s">
        <v>10</v>
      </c>
      <c r="C57" s="1">
        <v>0</v>
      </c>
      <c r="D57" s="11">
        <v>0</v>
      </c>
      <c r="E57" s="11">
        <v>0</v>
      </c>
      <c r="F57" s="1">
        <v>0</v>
      </c>
      <c r="G57" s="11">
        <v>0</v>
      </c>
      <c r="H57" s="11">
        <v>0</v>
      </c>
      <c r="I57" s="1">
        <v>0</v>
      </c>
      <c r="J57" s="11">
        <v>0</v>
      </c>
      <c r="K57" s="11">
        <v>0</v>
      </c>
      <c r="L57" s="1">
        <v>27</v>
      </c>
      <c r="M57" s="11">
        <f>L57/46</f>
        <v>0.58695652173913049</v>
      </c>
      <c r="N57" s="11">
        <f>M57/L74*100</f>
        <v>4.3737445733169185E-2</v>
      </c>
      <c r="O57" s="1">
        <v>1099</v>
      </c>
      <c r="P57" s="11">
        <f>O57/16</f>
        <v>68.6875</v>
      </c>
      <c r="Q57" s="11">
        <f>P57/O74*100</f>
        <v>4.7468901174844511</v>
      </c>
      <c r="R57" s="1">
        <v>975</v>
      </c>
      <c r="S57" s="11">
        <f>R57/18</f>
        <v>54.166666666666664</v>
      </c>
      <c r="T57" s="11">
        <f>S57/R74*100</f>
        <v>4.2022239462115332</v>
      </c>
      <c r="U57" s="1">
        <v>1747</v>
      </c>
      <c r="V57" s="11">
        <f>U57/16</f>
        <v>109.1875</v>
      </c>
      <c r="W57" s="11">
        <f>V57/U74*100</f>
        <v>6.2144280022766081</v>
      </c>
      <c r="X57" s="26">
        <f>0/0.34</f>
        <v>0</v>
      </c>
      <c r="Y57" s="26">
        <f>0/1.83</f>
        <v>0</v>
      </c>
      <c r="Z57" s="26">
        <f>0/20.58</f>
        <v>0</v>
      </c>
      <c r="AA57" s="26">
        <f>27/13.42</f>
        <v>2.0119225037257826</v>
      </c>
      <c r="AB57" s="26">
        <f>1099/14.47</f>
        <v>75.950241879751204</v>
      </c>
      <c r="AC57" s="26">
        <f>975/12.89</f>
        <v>75.640031031807595</v>
      </c>
      <c r="AD57" s="26">
        <f>1747/17.57</f>
        <v>99.430848036425729</v>
      </c>
    </row>
    <row r="58" spans="2:35">
      <c r="B58" s="1" t="s">
        <v>11</v>
      </c>
      <c r="C58" s="1">
        <v>33</v>
      </c>
      <c r="D58" s="11">
        <f>C58/467</f>
        <v>7.0663811563169171E-2</v>
      </c>
      <c r="E58" s="11">
        <f>D58/C74*100</f>
        <v>0.20783473989167403</v>
      </c>
      <c r="F58" s="1">
        <v>43</v>
      </c>
      <c r="G58" s="11">
        <f>F58/99</f>
        <v>0.43434343434343436</v>
      </c>
      <c r="H58" s="11">
        <f>G58/F74*100</f>
        <v>0.23734613898548329</v>
      </c>
      <c r="I58" s="1">
        <v>544</v>
      </c>
      <c r="J58" s="11">
        <f>I58/140</f>
        <v>3.8857142857142857</v>
      </c>
      <c r="K58" s="11">
        <f>J58/I74*100</f>
        <v>0.1888102179647369</v>
      </c>
      <c r="L58" s="1">
        <v>1063</v>
      </c>
      <c r="M58" s="11">
        <f>L58/46</f>
        <v>23.108695652173914</v>
      </c>
      <c r="N58" s="11">
        <f>M58/L74*100</f>
        <v>1.7219594375688461</v>
      </c>
      <c r="O58" s="1">
        <v>18</v>
      </c>
      <c r="P58" s="11">
        <f>O58/16</f>
        <v>1.125</v>
      </c>
      <c r="Q58" s="11">
        <f>P58/O74*100</f>
        <v>7.7747062888735313E-2</v>
      </c>
      <c r="R58" s="1">
        <v>0</v>
      </c>
      <c r="S58" s="11">
        <v>0</v>
      </c>
      <c r="T58" s="11">
        <v>0</v>
      </c>
      <c r="U58" s="1">
        <v>3</v>
      </c>
      <c r="V58" s="11">
        <f>U58/16</f>
        <v>0.1875</v>
      </c>
      <c r="W58" s="11">
        <f>V58/U74*100</f>
        <v>1.0671599317017643E-2</v>
      </c>
      <c r="X58" s="26">
        <f>33/0.34</f>
        <v>97.058823529411754</v>
      </c>
      <c r="Y58" s="26">
        <f>43/1.83</f>
        <v>23.497267759562842</v>
      </c>
      <c r="Z58" s="26">
        <f>544/20.58</f>
        <v>26.433430515063169</v>
      </c>
      <c r="AA58" s="26">
        <f>1063/13.42</f>
        <v>79.210134128166914</v>
      </c>
      <c r="AB58" s="26">
        <f>18/14.47</f>
        <v>1.243953006219765</v>
      </c>
      <c r="AC58" s="26">
        <f>0/12.89</f>
        <v>0</v>
      </c>
      <c r="AD58" s="26">
        <f>3/17.57</f>
        <v>0.17074558907228229</v>
      </c>
    </row>
    <row r="59" spans="2:35">
      <c r="B59" s="1" t="s">
        <v>41</v>
      </c>
      <c r="C59" s="1">
        <v>0</v>
      </c>
      <c r="D59" s="11">
        <v>0</v>
      </c>
      <c r="E59" s="11">
        <v>0</v>
      </c>
      <c r="F59" s="1">
        <v>0</v>
      </c>
      <c r="G59" s="11">
        <v>0</v>
      </c>
      <c r="H59" s="11">
        <v>0</v>
      </c>
      <c r="I59" s="1">
        <v>0</v>
      </c>
      <c r="J59" s="11">
        <v>0</v>
      </c>
      <c r="K59" s="11">
        <v>0</v>
      </c>
      <c r="L59" s="1">
        <v>0</v>
      </c>
      <c r="M59" s="11">
        <v>0</v>
      </c>
      <c r="N59" s="11">
        <v>0</v>
      </c>
      <c r="O59" s="1">
        <v>0</v>
      </c>
      <c r="P59" s="11">
        <v>0</v>
      </c>
      <c r="Q59" s="11">
        <v>0</v>
      </c>
      <c r="R59" s="1">
        <v>0</v>
      </c>
      <c r="S59" s="11">
        <v>0</v>
      </c>
      <c r="T59" s="11">
        <v>0</v>
      </c>
      <c r="U59" s="1">
        <v>0</v>
      </c>
      <c r="V59" s="11">
        <v>0</v>
      </c>
      <c r="W59" s="11">
        <v>0</v>
      </c>
      <c r="X59" s="26">
        <f>0/0.34</f>
        <v>0</v>
      </c>
      <c r="Y59" s="26">
        <f>0/1.83</f>
        <v>0</v>
      </c>
      <c r="Z59" s="26">
        <f>0/20.58</f>
        <v>0</v>
      </c>
      <c r="AA59" s="26">
        <f>0/13.42</f>
        <v>0</v>
      </c>
      <c r="AB59" s="26">
        <f>0/14.47</f>
        <v>0</v>
      </c>
      <c r="AC59" s="26">
        <f t="shared" ref="AC59:AC62" si="25">0/12.89</f>
        <v>0</v>
      </c>
      <c r="AD59" s="26">
        <f>0/17.57</f>
        <v>0</v>
      </c>
    </row>
    <row r="60" spans="2:35">
      <c r="B60" s="1" t="s">
        <v>12</v>
      </c>
      <c r="C60" s="1">
        <v>1</v>
      </c>
      <c r="D60" s="11">
        <f>C60/467</f>
        <v>2.1413276231263384E-3</v>
      </c>
      <c r="E60" s="11">
        <f>D60/C74*100</f>
        <v>6.2980224209598194E-3</v>
      </c>
      <c r="F60" s="1">
        <v>0</v>
      </c>
      <c r="G60" s="11">
        <v>0</v>
      </c>
      <c r="H60" s="11">
        <v>0</v>
      </c>
      <c r="I60" s="1">
        <v>14</v>
      </c>
      <c r="J60" s="11">
        <f>I60/140</f>
        <v>0.1</v>
      </c>
      <c r="K60" s="11">
        <f>J60/I74*100</f>
        <v>4.859086491739553E-3</v>
      </c>
      <c r="L60" s="1">
        <v>1</v>
      </c>
      <c r="M60" s="11">
        <f>L60/46</f>
        <v>2.1739130434782608E-2</v>
      </c>
      <c r="N60" s="11">
        <f>M60/L74*100</f>
        <v>1.6199053975247844E-3</v>
      </c>
      <c r="O60" s="1">
        <v>0</v>
      </c>
      <c r="P60" s="11">
        <v>0</v>
      </c>
      <c r="Q60" s="11">
        <v>0</v>
      </c>
      <c r="R60" s="1">
        <v>0</v>
      </c>
      <c r="S60" s="11">
        <v>0</v>
      </c>
      <c r="T60" s="11">
        <v>0</v>
      </c>
      <c r="U60" s="1">
        <v>0</v>
      </c>
      <c r="V60" s="11">
        <v>0</v>
      </c>
      <c r="W60" s="11">
        <v>0</v>
      </c>
      <c r="X60" s="26">
        <f>1/0.34</f>
        <v>2.9411764705882351</v>
      </c>
      <c r="Y60" s="26">
        <f t="shared" ref="Y60:Y61" si="26">0/1.83</f>
        <v>0</v>
      </c>
      <c r="Z60" s="26">
        <f>14/20.58</f>
        <v>0.6802721088435375</v>
      </c>
      <c r="AA60" s="26">
        <f>1/13.42</f>
        <v>7.4515648286140088E-2</v>
      </c>
      <c r="AB60" s="26">
        <f t="shared" ref="AB60:AB61" si="27">0/14.47</f>
        <v>0</v>
      </c>
      <c r="AC60" s="26">
        <f t="shared" si="25"/>
        <v>0</v>
      </c>
      <c r="AD60" s="26">
        <f t="shared" ref="AD60:AD67" si="28">0/17.57</f>
        <v>0</v>
      </c>
    </row>
    <row r="61" spans="2:35">
      <c r="B61" s="1" t="s">
        <v>13</v>
      </c>
      <c r="C61" s="1">
        <v>0</v>
      </c>
      <c r="D61" s="11">
        <v>0</v>
      </c>
      <c r="E61" s="11">
        <v>0</v>
      </c>
      <c r="F61" s="1">
        <v>0</v>
      </c>
      <c r="G61" s="11">
        <v>0</v>
      </c>
      <c r="H61" s="11">
        <v>0</v>
      </c>
      <c r="I61" s="1">
        <v>0</v>
      </c>
      <c r="J61" s="11">
        <v>0</v>
      </c>
      <c r="K61" s="11">
        <v>0</v>
      </c>
      <c r="L61" s="1">
        <v>0</v>
      </c>
      <c r="M61" s="11">
        <v>0</v>
      </c>
      <c r="N61" s="11">
        <v>0</v>
      </c>
      <c r="O61" s="1">
        <v>0</v>
      </c>
      <c r="P61" s="11">
        <v>0</v>
      </c>
      <c r="Q61" s="11">
        <v>0</v>
      </c>
      <c r="R61" s="1">
        <v>0</v>
      </c>
      <c r="S61" s="11">
        <v>0</v>
      </c>
      <c r="T61" s="11">
        <v>0</v>
      </c>
      <c r="U61" s="1">
        <v>0</v>
      </c>
      <c r="V61" s="11">
        <v>0</v>
      </c>
      <c r="W61" s="11">
        <v>0</v>
      </c>
      <c r="X61" s="26">
        <f>0/0.34</f>
        <v>0</v>
      </c>
      <c r="Y61" s="26">
        <f t="shared" si="26"/>
        <v>0</v>
      </c>
      <c r="Z61" s="26">
        <f>0/20.58</f>
        <v>0</v>
      </c>
      <c r="AA61" s="26">
        <f>0/13.42</f>
        <v>0</v>
      </c>
      <c r="AB61" s="26">
        <f t="shared" si="27"/>
        <v>0</v>
      </c>
      <c r="AC61" s="26">
        <f t="shared" si="25"/>
        <v>0</v>
      </c>
      <c r="AD61" s="26">
        <f t="shared" si="28"/>
        <v>0</v>
      </c>
    </row>
    <row r="62" spans="2:35">
      <c r="B62" s="1" t="s">
        <v>14</v>
      </c>
      <c r="C62" s="1">
        <v>0</v>
      </c>
      <c r="D62" s="11">
        <v>0</v>
      </c>
      <c r="E62" s="11">
        <v>0</v>
      </c>
      <c r="F62" s="1">
        <v>9</v>
      </c>
      <c r="G62" s="11">
        <f>F62/99</f>
        <v>9.0909090909090912E-2</v>
      </c>
      <c r="H62" s="11">
        <f>G62/F74*100</f>
        <v>4.967709885742673E-2</v>
      </c>
      <c r="I62" s="1">
        <v>270</v>
      </c>
      <c r="J62" s="11">
        <f>I62/140</f>
        <v>1.9285714285714286</v>
      </c>
      <c r="K62" s="11">
        <f>J62/I74*100</f>
        <v>9.3710953769262806E-2</v>
      </c>
      <c r="L62" s="1">
        <v>107</v>
      </c>
      <c r="M62" s="11">
        <f>L62/46</f>
        <v>2.3260869565217392</v>
      </c>
      <c r="N62" s="11">
        <f>M62/L74*100</f>
        <v>0.17332987753515197</v>
      </c>
      <c r="O62" s="1">
        <v>21</v>
      </c>
      <c r="P62" s="11">
        <f>O62/16</f>
        <v>1.3125</v>
      </c>
      <c r="Q62" s="11">
        <f>P62/O74*100</f>
        <v>9.0704906703524532E-2</v>
      </c>
      <c r="R62" s="1">
        <v>0</v>
      </c>
      <c r="S62" s="11">
        <v>0</v>
      </c>
      <c r="T62" s="11">
        <v>0</v>
      </c>
      <c r="U62" s="1">
        <v>0</v>
      </c>
      <c r="V62" s="11">
        <v>0</v>
      </c>
      <c r="W62" s="11">
        <v>0</v>
      </c>
      <c r="X62" s="26">
        <f t="shared" ref="X62:X73" si="29">0/0.34</f>
        <v>0</v>
      </c>
      <c r="Y62" s="26">
        <f>9/1.83</f>
        <v>4.918032786885246</v>
      </c>
      <c r="Z62" s="26">
        <f>270/20.58</f>
        <v>13.119533527696793</v>
      </c>
      <c r="AA62" s="26">
        <f>107/13.42</f>
        <v>7.9731743666169894</v>
      </c>
      <c r="AB62" s="26">
        <f>21/14.47</f>
        <v>1.4512785072563925</v>
      </c>
      <c r="AC62" s="26">
        <f t="shared" si="25"/>
        <v>0</v>
      </c>
      <c r="AD62" s="26">
        <f t="shared" si="28"/>
        <v>0</v>
      </c>
    </row>
    <row r="63" spans="2:35">
      <c r="B63" s="1" t="s">
        <v>15</v>
      </c>
      <c r="C63" s="1">
        <v>0</v>
      </c>
      <c r="D63" s="11">
        <v>0</v>
      </c>
      <c r="E63" s="11">
        <v>0</v>
      </c>
      <c r="F63" s="1">
        <v>9</v>
      </c>
      <c r="G63" s="11">
        <f>F63/99</f>
        <v>9.0909090909090912E-2</v>
      </c>
      <c r="H63" s="11">
        <f>G63/F74*100</f>
        <v>4.967709885742673E-2</v>
      </c>
      <c r="I63" s="1">
        <v>229</v>
      </c>
      <c r="J63" s="11">
        <f>I63/140</f>
        <v>1.6357142857142857</v>
      </c>
      <c r="K63" s="11">
        <f>J63/I74*100</f>
        <v>7.9480771900596964E-2</v>
      </c>
      <c r="L63" s="1">
        <v>3</v>
      </c>
      <c r="M63" s="11">
        <f>L63/46</f>
        <v>6.5217391304347824E-2</v>
      </c>
      <c r="N63" s="11">
        <f>M63/L74*100</f>
        <v>4.8597161925743532E-3</v>
      </c>
      <c r="O63" s="1">
        <v>0</v>
      </c>
      <c r="P63" s="11">
        <v>0</v>
      </c>
      <c r="Q63" s="11">
        <v>0</v>
      </c>
      <c r="R63" s="1">
        <v>1</v>
      </c>
      <c r="S63" s="11">
        <f>R63/18</f>
        <v>5.5555555555555552E-2</v>
      </c>
      <c r="T63" s="11">
        <f>S63/R74*100</f>
        <v>4.3099732781656753E-3</v>
      </c>
      <c r="U63" s="1">
        <v>0</v>
      </c>
      <c r="V63" s="11">
        <v>0</v>
      </c>
      <c r="W63" s="11">
        <v>0</v>
      </c>
      <c r="X63" s="26">
        <f t="shared" si="29"/>
        <v>0</v>
      </c>
      <c r="Y63" s="26">
        <f>9/1.83</f>
        <v>4.918032786885246</v>
      </c>
      <c r="Z63" s="26">
        <f>229/20.58</f>
        <v>11.127308066083577</v>
      </c>
      <c r="AA63" s="26">
        <f>3/13.42</f>
        <v>0.22354694485842028</v>
      </c>
      <c r="AB63" s="26">
        <f>0/14.47</f>
        <v>0</v>
      </c>
      <c r="AC63" s="26">
        <f>1/12.89</f>
        <v>7.7579519006982151E-2</v>
      </c>
      <c r="AD63" s="26">
        <f t="shared" si="28"/>
        <v>0</v>
      </c>
    </row>
    <row r="64" spans="2:35">
      <c r="B64" s="1" t="s">
        <v>16</v>
      </c>
      <c r="C64" s="1">
        <v>0</v>
      </c>
      <c r="D64" s="11">
        <v>0</v>
      </c>
      <c r="E64" s="11">
        <v>0</v>
      </c>
      <c r="F64" s="1">
        <v>114</v>
      </c>
      <c r="G64" s="11">
        <f>F64/99</f>
        <v>1.1515151515151516</v>
      </c>
      <c r="H64" s="11">
        <f>G64/F74*100</f>
        <v>0.62924325219407196</v>
      </c>
      <c r="I64" s="1">
        <v>631</v>
      </c>
      <c r="J64" s="11">
        <f>I64/140</f>
        <v>4.5071428571428571</v>
      </c>
      <c r="K64" s="11">
        <f>J64/I74*100</f>
        <v>0.21900596973483269</v>
      </c>
      <c r="L64" s="1">
        <v>45</v>
      </c>
      <c r="M64" s="11">
        <f>L64/46</f>
        <v>0.97826086956521741</v>
      </c>
      <c r="N64" s="11">
        <f>M64/L74*100</f>
        <v>7.2895742888615306E-2</v>
      </c>
      <c r="O64" s="1">
        <v>12</v>
      </c>
      <c r="P64" s="11">
        <f>O64/16</f>
        <v>0.75</v>
      </c>
      <c r="Q64" s="11">
        <f>P64/O74*100</f>
        <v>5.1831375259156875E-2</v>
      </c>
      <c r="R64" s="1">
        <v>1</v>
      </c>
      <c r="S64" s="11">
        <f>R64/18</f>
        <v>5.5555555555555552E-2</v>
      </c>
      <c r="T64" s="11">
        <f>S64/R74*100</f>
        <v>4.3099732781656753E-3</v>
      </c>
      <c r="U64" s="1">
        <v>0</v>
      </c>
      <c r="V64" s="11">
        <v>0</v>
      </c>
      <c r="W64" s="11">
        <v>0</v>
      </c>
      <c r="X64" s="26">
        <f t="shared" si="29"/>
        <v>0</v>
      </c>
      <c r="Y64" s="26">
        <f>114/1.83</f>
        <v>62.295081967213115</v>
      </c>
      <c r="Z64" s="26">
        <f>631/20.58</f>
        <v>30.66083576287658</v>
      </c>
      <c r="AA64" s="26">
        <f>45/13.42</f>
        <v>3.3532041728763042</v>
      </c>
      <c r="AB64" s="26">
        <f>12/14.47</f>
        <v>0.82930200414651001</v>
      </c>
      <c r="AC64" s="26">
        <f>1/12.89</f>
        <v>7.7579519006982151E-2</v>
      </c>
      <c r="AD64" s="26">
        <f t="shared" si="28"/>
        <v>0</v>
      </c>
    </row>
    <row r="65" spans="2:30">
      <c r="B65" s="1" t="s">
        <v>17</v>
      </c>
      <c r="C65" s="1">
        <v>0</v>
      </c>
      <c r="D65" s="11">
        <v>0</v>
      </c>
      <c r="E65" s="11">
        <v>0</v>
      </c>
      <c r="F65" s="1">
        <v>1</v>
      </c>
      <c r="G65" s="11">
        <f>F65/99</f>
        <v>1.0101010101010102E-2</v>
      </c>
      <c r="H65" s="11">
        <f>G65/F74*100</f>
        <v>5.5196776508251921E-3</v>
      </c>
      <c r="I65" s="1">
        <v>2</v>
      </c>
      <c r="J65" s="11">
        <f>I65/140</f>
        <v>1.4285714285714285E-2</v>
      </c>
      <c r="K65" s="11">
        <f>J65/I74*100</f>
        <v>6.9415521310565032E-4</v>
      </c>
      <c r="L65" s="1">
        <v>0</v>
      </c>
      <c r="M65" s="11">
        <v>0</v>
      </c>
      <c r="N65" s="11">
        <v>0</v>
      </c>
      <c r="O65" s="1">
        <v>0</v>
      </c>
      <c r="P65" s="11">
        <v>0</v>
      </c>
      <c r="Q65" s="11">
        <v>0</v>
      </c>
      <c r="R65" s="1">
        <v>0</v>
      </c>
      <c r="S65" s="11">
        <v>0</v>
      </c>
      <c r="T65" s="11">
        <v>0</v>
      </c>
      <c r="U65" s="1">
        <v>0</v>
      </c>
      <c r="V65" s="11">
        <v>0</v>
      </c>
      <c r="W65" s="11">
        <v>0</v>
      </c>
      <c r="X65" s="26">
        <f t="shared" si="29"/>
        <v>0</v>
      </c>
      <c r="Y65" s="26">
        <f>1/1.83</f>
        <v>0.54644808743169393</v>
      </c>
      <c r="Z65" s="26">
        <f>2/20.58</f>
        <v>9.7181729834791064E-2</v>
      </c>
      <c r="AA65" s="26">
        <f>0/13.42</f>
        <v>0</v>
      </c>
      <c r="AB65" s="26">
        <f>0/14.47</f>
        <v>0</v>
      </c>
      <c r="AC65" s="26">
        <f>0/12.89</f>
        <v>0</v>
      </c>
      <c r="AD65" s="26">
        <f t="shared" si="28"/>
        <v>0</v>
      </c>
    </row>
    <row r="66" spans="2:30">
      <c r="B66" s="1" t="s">
        <v>18</v>
      </c>
      <c r="C66" s="1">
        <v>0</v>
      </c>
      <c r="D66" s="11">
        <v>0</v>
      </c>
      <c r="E66" s="11">
        <v>0</v>
      </c>
      <c r="F66" s="1">
        <v>2</v>
      </c>
      <c r="G66" s="17">
        <f>F66/99</f>
        <v>2.0202020202020204E-2</v>
      </c>
      <c r="H66" s="17">
        <f>G66/F74*100</f>
        <v>1.1039355301650384E-2</v>
      </c>
      <c r="I66" s="2">
        <v>2</v>
      </c>
      <c r="J66" s="16">
        <f>I66/140</f>
        <v>1.4285714285714285E-2</v>
      </c>
      <c r="K66" s="16">
        <f>J66/I74*100</f>
        <v>6.9415521310565032E-4</v>
      </c>
      <c r="L66" s="1">
        <v>0</v>
      </c>
      <c r="M66" s="11">
        <v>0</v>
      </c>
      <c r="N66" s="11">
        <v>0</v>
      </c>
      <c r="O66" s="1">
        <v>0</v>
      </c>
      <c r="P66" s="11">
        <v>0</v>
      </c>
      <c r="Q66" s="11">
        <v>0</v>
      </c>
      <c r="R66" s="1">
        <v>0</v>
      </c>
      <c r="S66" s="11">
        <v>0</v>
      </c>
      <c r="T66" s="11">
        <v>0</v>
      </c>
      <c r="U66" s="1">
        <v>0</v>
      </c>
      <c r="V66" s="11">
        <v>0</v>
      </c>
      <c r="W66" s="11">
        <v>0</v>
      </c>
      <c r="X66" s="26">
        <f t="shared" si="29"/>
        <v>0</v>
      </c>
      <c r="Y66" s="26">
        <f>2/1.83</f>
        <v>1.0928961748633879</v>
      </c>
      <c r="Z66" s="26">
        <f>2/20.58</f>
        <v>9.7181729834791064E-2</v>
      </c>
      <c r="AA66" s="26">
        <f t="shared" ref="AA66:AA67" si="30">0/13.42</f>
        <v>0</v>
      </c>
      <c r="AB66" s="26">
        <f t="shared" ref="AB66:AB68" si="31">0/14.47</f>
        <v>0</v>
      </c>
      <c r="AC66" s="26">
        <f t="shared" ref="AC66:AC67" si="32">0/12.89</f>
        <v>0</v>
      </c>
      <c r="AD66" s="26">
        <f t="shared" si="28"/>
        <v>0</v>
      </c>
    </row>
    <row r="67" spans="2:30">
      <c r="B67" s="1" t="s">
        <v>19</v>
      </c>
      <c r="C67" s="1">
        <v>0</v>
      </c>
      <c r="D67" s="11">
        <v>0</v>
      </c>
      <c r="E67" s="11">
        <v>0</v>
      </c>
      <c r="F67" s="1">
        <v>0</v>
      </c>
      <c r="G67" s="11">
        <v>0</v>
      </c>
      <c r="H67" s="11">
        <v>0</v>
      </c>
      <c r="I67" s="1">
        <v>0</v>
      </c>
      <c r="J67" s="11">
        <v>0</v>
      </c>
      <c r="K67" s="11">
        <v>0</v>
      </c>
      <c r="L67" s="1">
        <v>0</v>
      </c>
      <c r="M67" s="11">
        <v>0</v>
      </c>
      <c r="N67" s="11">
        <v>0</v>
      </c>
      <c r="O67" s="1">
        <v>0</v>
      </c>
      <c r="P67" s="11">
        <v>0</v>
      </c>
      <c r="Q67" s="11">
        <v>0</v>
      </c>
      <c r="R67" s="1">
        <v>0</v>
      </c>
      <c r="S67" s="11">
        <v>0</v>
      </c>
      <c r="T67" s="11">
        <v>0</v>
      </c>
      <c r="U67" s="1">
        <v>0</v>
      </c>
      <c r="V67" s="11">
        <v>0</v>
      </c>
      <c r="W67" s="11">
        <v>0</v>
      </c>
      <c r="X67" s="26">
        <f t="shared" si="29"/>
        <v>0</v>
      </c>
      <c r="Y67" s="26">
        <f>0/1.83</f>
        <v>0</v>
      </c>
      <c r="Z67" s="26">
        <f>0/20.58</f>
        <v>0</v>
      </c>
      <c r="AA67" s="26">
        <f t="shared" si="30"/>
        <v>0</v>
      </c>
      <c r="AB67" s="26">
        <f t="shared" si="31"/>
        <v>0</v>
      </c>
      <c r="AC67" s="26">
        <f t="shared" si="32"/>
        <v>0</v>
      </c>
      <c r="AD67" s="26">
        <f t="shared" si="28"/>
        <v>0</v>
      </c>
    </row>
    <row r="68" spans="2:30">
      <c r="B68" s="1" t="s">
        <v>20</v>
      </c>
      <c r="C68" s="1">
        <v>0</v>
      </c>
      <c r="D68" s="11">
        <v>0</v>
      </c>
      <c r="E68" s="11">
        <v>0</v>
      </c>
      <c r="F68" s="1">
        <v>1</v>
      </c>
      <c r="G68" s="11">
        <f>F68/99</f>
        <v>1.0101010101010102E-2</v>
      </c>
      <c r="H68" s="11">
        <f>G68/F74*100</f>
        <v>5.5196776508251921E-3</v>
      </c>
      <c r="I68" s="1">
        <v>7</v>
      </c>
      <c r="J68" s="11">
        <f t="shared" ref="J68:J74" si="33">I68/140</f>
        <v>0.05</v>
      </c>
      <c r="K68" s="11">
        <f>J68/I74*100</f>
        <v>2.4295432458697765E-3</v>
      </c>
      <c r="L68" s="1">
        <v>2</v>
      </c>
      <c r="M68" s="11">
        <f>L68/46</f>
        <v>4.3478260869565216E-2</v>
      </c>
      <c r="N68" s="11">
        <f>M68/L74*100</f>
        <v>3.2398107950495688E-3</v>
      </c>
      <c r="O68" s="1">
        <v>0</v>
      </c>
      <c r="P68" s="11">
        <v>0</v>
      </c>
      <c r="Q68" s="11">
        <v>0</v>
      </c>
      <c r="R68" s="1">
        <v>1</v>
      </c>
      <c r="S68" s="11">
        <f>R68/18</f>
        <v>5.5555555555555552E-2</v>
      </c>
      <c r="T68" s="11">
        <f>S68/R74*100</f>
        <v>4.3099732781656753E-3</v>
      </c>
      <c r="U68" s="1">
        <v>1</v>
      </c>
      <c r="V68" s="11">
        <f>U68/16</f>
        <v>6.25E-2</v>
      </c>
      <c r="W68" s="11">
        <f>V68/U74*100</f>
        <v>3.5571997723392148E-3</v>
      </c>
      <c r="X68" s="26">
        <f t="shared" si="29"/>
        <v>0</v>
      </c>
      <c r="Y68" s="26">
        <f>1/1.83</f>
        <v>0.54644808743169393</v>
      </c>
      <c r="Z68" s="26">
        <f>7/20.58</f>
        <v>0.34013605442176875</v>
      </c>
      <c r="AA68" s="26">
        <f>2/13.42</f>
        <v>0.14903129657228018</v>
      </c>
      <c r="AB68" s="26">
        <f t="shared" si="31"/>
        <v>0</v>
      </c>
      <c r="AC68" s="26">
        <f>1/12.89</f>
        <v>7.7579519006982151E-2</v>
      </c>
      <c r="AD68" s="26">
        <f>1/17.57</f>
        <v>5.6915196357427429E-2</v>
      </c>
    </row>
    <row r="69" spans="2:30">
      <c r="B69" s="1" t="s">
        <v>21</v>
      </c>
      <c r="C69" s="1">
        <v>0</v>
      </c>
      <c r="D69" s="11">
        <v>0</v>
      </c>
      <c r="E69" s="11">
        <v>0</v>
      </c>
      <c r="F69" s="1">
        <v>0</v>
      </c>
      <c r="G69" s="11">
        <v>0</v>
      </c>
      <c r="H69" s="11">
        <v>0</v>
      </c>
      <c r="I69" s="1">
        <v>5</v>
      </c>
      <c r="J69" s="11">
        <f t="shared" si="33"/>
        <v>3.5714285714285712E-2</v>
      </c>
      <c r="K69" s="11">
        <f>J69/I74*100</f>
        <v>1.7353880327641261E-3</v>
      </c>
      <c r="L69" s="1">
        <v>1</v>
      </c>
      <c r="M69" s="11">
        <f>L69/46</f>
        <v>2.1739130434782608E-2</v>
      </c>
      <c r="N69" s="11">
        <f>M69/L74*100</f>
        <v>1.6199053975247844E-3</v>
      </c>
      <c r="O69" s="1">
        <v>245</v>
      </c>
      <c r="P69" s="11">
        <f t="shared" ref="P69:P74" si="34">O69/16</f>
        <v>15.3125</v>
      </c>
      <c r="Q69" s="11">
        <f>P69/O74*100</f>
        <v>1.0582239115411194</v>
      </c>
      <c r="R69" s="1">
        <v>9</v>
      </c>
      <c r="S69" s="11">
        <f>R69/18</f>
        <v>0.5</v>
      </c>
      <c r="T69" s="11">
        <f>S69/R74*100</f>
        <v>3.8789759503491075E-2</v>
      </c>
      <c r="U69" s="1">
        <v>0</v>
      </c>
      <c r="V69" s="11">
        <v>0</v>
      </c>
      <c r="W69" s="11">
        <v>0</v>
      </c>
      <c r="X69" s="26">
        <f t="shared" si="29"/>
        <v>0</v>
      </c>
      <c r="Y69" s="26">
        <f>0/1.83</f>
        <v>0</v>
      </c>
      <c r="Z69" s="26">
        <f>5/20.58</f>
        <v>0.24295432458697766</v>
      </c>
      <c r="AA69" s="26">
        <f>1/13.42</f>
        <v>7.4515648286140088E-2</v>
      </c>
      <c r="AB69" s="26">
        <f>245/14.47</f>
        <v>16.931582584657914</v>
      </c>
      <c r="AC69" s="26">
        <f>9/12.89</f>
        <v>0.69821567106283933</v>
      </c>
      <c r="AD69" s="26">
        <f>0/17.57</f>
        <v>0</v>
      </c>
    </row>
    <row r="70" spans="2:30">
      <c r="B70" s="1" t="s">
        <v>22</v>
      </c>
      <c r="C70" s="1">
        <v>0</v>
      </c>
      <c r="D70" s="11">
        <v>0</v>
      </c>
      <c r="E70" s="11">
        <v>0</v>
      </c>
      <c r="F70" s="1">
        <v>0</v>
      </c>
      <c r="G70" s="11">
        <v>0</v>
      </c>
      <c r="H70" s="11">
        <v>0</v>
      </c>
      <c r="I70" s="1">
        <v>2</v>
      </c>
      <c r="J70" s="11">
        <f t="shared" si="33"/>
        <v>1.4285714285714285E-2</v>
      </c>
      <c r="K70" s="11">
        <f>J70/I74*100</f>
        <v>6.9415521310565032E-4</v>
      </c>
      <c r="L70" s="1">
        <v>0</v>
      </c>
      <c r="M70" s="11">
        <v>0</v>
      </c>
      <c r="N70" s="11">
        <v>0</v>
      </c>
      <c r="O70" s="1">
        <v>37</v>
      </c>
      <c r="P70" s="11">
        <f t="shared" si="34"/>
        <v>2.3125</v>
      </c>
      <c r="Q70" s="11">
        <f>P70/O74*100</f>
        <v>0.15981340704906705</v>
      </c>
      <c r="R70" s="1">
        <v>0</v>
      </c>
      <c r="S70" s="11">
        <v>0</v>
      </c>
      <c r="T70" s="11">
        <v>0</v>
      </c>
      <c r="U70" s="1">
        <v>0</v>
      </c>
      <c r="V70" s="11">
        <v>0</v>
      </c>
      <c r="W70" s="11">
        <v>0</v>
      </c>
      <c r="X70" s="26">
        <f t="shared" si="29"/>
        <v>0</v>
      </c>
      <c r="Y70" s="26">
        <f t="shared" ref="Y70:Y73" si="35">0/1.83</f>
        <v>0</v>
      </c>
      <c r="Z70" s="26">
        <f>2/20.58</f>
        <v>9.7181729834791064E-2</v>
      </c>
      <c r="AA70" s="26">
        <f>0/13.42</f>
        <v>0</v>
      </c>
      <c r="AB70" s="26">
        <f>37/14.47</f>
        <v>2.5570145127850723</v>
      </c>
      <c r="AC70" s="26">
        <f>0/12.89</f>
        <v>0</v>
      </c>
      <c r="AD70" s="26">
        <f t="shared" ref="AD70:AD72" si="36">0/17.57</f>
        <v>0</v>
      </c>
    </row>
    <row r="71" spans="2:30">
      <c r="B71" s="1" t="s">
        <v>23</v>
      </c>
      <c r="C71" s="1">
        <v>0</v>
      </c>
      <c r="D71" s="11">
        <v>0</v>
      </c>
      <c r="E71" s="11">
        <v>0</v>
      </c>
      <c r="F71" s="1">
        <v>0</v>
      </c>
      <c r="G71" s="11">
        <v>0</v>
      </c>
      <c r="H71" s="11">
        <v>0</v>
      </c>
      <c r="I71" s="1">
        <v>1</v>
      </c>
      <c r="J71" s="11">
        <f t="shared" si="33"/>
        <v>7.1428571428571426E-3</v>
      </c>
      <c r="K71" s="11">
        <f>J71/I74*100</f>
        <v>3.4707760655282516E-4</v>
      </c>
      <c r="L71" s="1">
        <v>1</v>
      </c>
      <c r="M71" s="11">
        <f>L71/46</f>
        <v>2.1739130434782608E-2</v>
      </c>
      <c r="N71" s="11">
        <f>M71/L74*100</f>
        <v>1.6199053975247844E-3</v>
      </c>
      <c r="O71" s="1">
        <v>4</v>
      </c>
      <c r="P71" s="11">
        <f t="shared" si="34"/>
        <v>0.25</v>
      </c>
      <c r="Q71" s="11">
        <f>P71/O74*100</f>
        <v>1.7277125086385625E-2</v>
      </c>
      <c r="R71" s="1">
        <v>0</v>
      </c>
      <c r="S71" s="11">
        <v>0</v>
      </c>
      <c r="T71" s="11">
        <v>0</v>
      </c>
      <c r="U71" s="1">
        <v>0</v>
      </c>
      <c r="V71" s="11">
        <v>0</v>
      </c>
      <c r="W71" s="11">
        <v>0</v>
      </c>
      <c r="X71" s="26">
        <f t="shared" si="29"/>
        <v>0</v>
      </c>
      <c r="Y71" s="26">
        <f t="shared" si="35"/>
        <v>0</v>
      </c>
      <c r="Z71" s="26">
        <f>1/20.58</f>
        <v>4.8590864917395532E-2</v>
      </c>
      <c r="AA71" s="26">
        <f>1/13.42</f>
        <v>7.4515648286140088E-2</v>
      </c>
      <c r="AB71" s="26">
        <f>4/14.47</f>
        <v>0.27643400138217</v>
      </c>
      <c r="AC71" s="26">
        <f>0/12.89</f>
        <v>0</v>
      </c>
      <c r="AD71" s="26">
        <f t="shared" si="36"/>
        <v>0</v>
      </c>
    </row>
    <row r="72" spans="2:30">
      <c r="B72" s="1" t="s">
        <v>24</v>
      </c>
      <c r="C72" s="1">
        <v>0</v>
      </c>
      <c r="D72" s="11">
        <v>0</v>
      </c>
      <c r="E72" s="11">
        <v>0</v>
      </c>
      <c r="F72" s="1">
        <v>4</v>
      </c>
      <c r="G72" s="11">
        <f>F72/99</f>
        <v>4.0404040404040407E-2</v>
      </c>
      <c r="H72" s="11">
        <f>G72/F74*100</f>
        <v>2.2078710603300768E-2</v>
      </c>
      <c r="I72" s="1">
        <v>218</v>
      </c>
      <c r="J72" s="11">
        <f t="shared" si="33"/>
        <v>1.5571428571428572</v>
      </c>
      <c r="K72" s="11">
        <f>J72/I74*100</f>
        <v>7.5662918228515896E-2</v>
      </c>
      <c r="L72" s="1">
        <v>77</v>
      </c>
      <c r="M72" s="11">
        <f>L72/46</f>
        <v>1.673913043478261</v>
      </c>
      <c r="N72" s="11">
        <f>M72/L74*100</f>
        <v>0.12473271560940842</v>
      </c>
      <c r="O72" s="1">
        <v>8</v>
      </c>
      <c r="P72" s="11">
        <f t="shared" si="34"/>
        <v>0.5</v>
      </c>
      <c r="Q72" s="11">
        <f>P72/O74*100</f>
        <v>3.455425017277125E-2</v>
      </c>
      <c r="R72" s="1">
        <v>2</v>
      </c>
      <c r="S72" s="11">
        <f>R72/18</f>
        <v>0.1111111111111111</v>
      </c>
      <c r="T72" s="11">
        <f>S72/R74*100</f>
        <v>8.6199465563313506E-3</v>
      </c>
      <c r="U72" s="1">
        <v>0</v>
      </c>
      <c r="V72" s="11">
        <v>0</v>
      </c>
      <c r="W72" s="11">
        <v>0</v>
      </c>
      <c r="X72" s="26">
        <f t="shared" si="29"/>
        <v>0</v>
      </c>
      <c r="Y72" s="26">
        <f>4/1.83</f>
        <v>2.1857923497267757</v>
      </c>
      <c r="Z72" s="26">
        <f>218/20.58</f>
        <v>10.592808551992226</v>
      </c>
      <c r="AA72" s="26">
        <f>77/13.42</f>
        <v>5.7377049180327866</v>
      </c>
      <c r="AB72" s="26">
        <f>8/14.47</f>
        <v>0.55286800276434001</v>
      </c>
      <c r="AC72" s="26">
        <f>2/12.89</f>
        <v>0.1551590380139643</v>
      </c>
      <c r="AD72" s="26">
        <f t="shared" si="36"/>
        <v>0</v>
      </c>
    </row>
    <row r="73" spans="2:30">
      <c r="B73" s="1" t="s">
        <v>25</v>
      </c>
      <c r="C73" s="1">
        <v>0</v>
      </c>
      <c r="D73" s="11">
        <v>0</v>
      </c>
      <c r="E73" s="11">
        <v>0</v>
      </c>
      <c r="F73" s="1">
        <v>0</v>
      </c>
      <c r="G73" s="11">
        <v>0</v>
      </c>
      <c r="H73" s="11">
        <v>0</v>
      </c>
      <c r="I73" s="1">
        <v>25</v>
      </c>
      <c r="J73" s="11">
        <f t="shared" si="33"/>
        <v>0.17857142857142858</v>
      </c>
      <c r="K73" s="11">
        <f>J73/I74*100</f>
        <v>8.67694016382063E-3</v>
      </c>
      <c r="L73" s="1">
        <v>7</v>
      </c>
      <c r="M73" s="11">
        <f>L73/46</f>
        <v>0.15217391304347827</v>
      </c>
      <c r="N73" s="11">
        <f>M73/L74*100</f>
        <v>1.1339337782673492E-2</v>
      </c>
      <c r="O73" s="1">
        <v>3</v>
      </c>
      <c r="P73" s="11">
        <f t="shared" si="34"/>
        <v>0.1875</v>
      </c>
      <c r="Q73" s="11">
        <f>P73/O74*100</f>
        <v>1.2957843814789219E-2</v>
      </c>
      <c r="R73" s="1">
        <v>300</v>
      </c>
      <c r="S73" s="11">
        <f>R73/18</f>
        <v>16.666666666666668</v>
      </c>
      <c r="T73" s="11">
        <f>S73/R74*100</f>
        <v>1.2929919834497028</v>
      </c>
      <c r="U73" s="1">
        <v>2</v>
      </c>
      <c r="V73" s="11">
        <f>U73/16</f>
        <v>0.125</v>
      </c>
      <c r="W73" s="11">
        <f>V73/U74*100</f>
        <v>7.1143995446784295E-3</v>
      </c>
      <c r="X73" s="26">
        <f t="shared" si="29"/>
        <v>0</v>
      </c>
      <c r="Y73" s="26">
        <f t="shared" si="35"/>
        <v>0</v>
      </c>
      <c r="Z73" s="26">
        <f>25/20.58</f>
        <v>1.2147716229348884</v>
      </c>
      <c r="AA73" s="26">
        <f>7/13.42</f>
        <v>0.5216095380029806</v>
      </c>
      <c r="AB73" s="26">
        <f>3/14.47</f>
        <v>0.2073255010366275</v>
      </c>
      <c r="AC73" s="26">
        <f>300/12.89</f>
        <v>23.273855702094647</v>
      </c>
      <c r="AD73" s="26">
        <f>2/17.57</f>
        <v>0.11383039271485486</v>
      </c>
    </row>
    <row r="74" spans="2:30">
      <c r="B74" s="1" t="s">
        <v>26</v>
      </c>
      <c r="C74" s="1">
        <f t="shared" ref="C74:U74" si="37">SUM(C55:C73)</f>
        <v>34</v>
      </c>
      <c r="D74" s="11">
        <f>C74/467</f>
        <v>7.2805139186295498E-2</v>
      </c>
      <c r="E74" s="11">
        <f>D74/C76*100</f>
        <v>8.9772058182855112E-4</v>
      </c>
      <c r="F74" s="1">
        <f t="shared" si="37"/>
        <v>183</v>
      </c>
      <c r="G74" s="11">
        <f>F74/99</f>
        <v>1.8484848484848484</v>
      </c>
      <c r="H74" s="11">
        <f>G74/C76*100</f>
        <v>2.2792661510294063E-2</v>
      </c>
      <c r="I74" s="1">
        <f t="shared" si="37"/>
        <v>2058</v>
      </c>
      <c r="J74" s="11">
        <f t="shared" si="33"/>
        <v>14.7</v>
      </c>
      <c r="K74" s="11">
        <f>J74/C76*100</f>
        <v>0.18125770653514178</v>
      </c>
      <c r="L74" s="1">
        <f t="shared" si="37"/>
        <v>1342</v>
      </c>
      <c r="M74" s="11">
        <f>L74/46</f>
        <v>29.173913043478262</v>
      </c>
      <c r="N74" s="11">
        <f>M74/C76*100</f>
        <v>0.35972765774942367</v>
      </c>
      <c r="O74" s="1">
        <f t="shared" si="37"/>
        <v>1447</v>
      </c>
      <c r="P74" s="11">
        <f t="shared" si="34"/>
        <v>90.4375</v>
      </c>
      <c r="Q74" s="11">
        <f>P74/C76*100</f>
        <v>1.1151356350184958</v>
      </c>
      <c r="R74" s="1">
        <f t="shared" si="37"/>
        <v>1289</v>
      </c>
      <c r="S74" s="11">
        <f>R74/18</f>
        <v>71.611111111111114</v>
      </c>
      <c r="T74" s="11">
        <f>S74/C76*100</f>
        <v>0.88299767091382397</v>
      </c>
      <c r="U74" s="1">
        <f t="shared" si="37"/>
        <v>1757</v>
      </c>
      <c r="V74" s="11">
        <f>U74/16</f>
        <v>109.8125</v>
      </c>
      <c r="W74" s="11">
        <f>V74/C76*100</f>
        <v>1.3540382244143034</v>
      </c>
      <c r="X74" s="26">
        <f t="shared" ref="X74:AD74" si="38">SUM(X55:X73)</f>
        <v>99.999999999999986</v>
      </c>
      <c r="Y74" s="26">
        <f t="shared" si="38"/>
        <v>100.00000000000001</v>
      </c>
      <c r="Z74" s="26">
        <f t="shared" si="38"/>
        <v>99.999999999999986</v>
      </c>
      <c r="AA74" s="26">
        <f t="shared" si="38"/>
        <v>99.999999999999986</v>
      </c>
      <c r="AB74" s="26">
        <f t="shared" si="38"/>
        <v>100</v>
      </c>
      <c r="AC74" s="26">
        <f t="shared" si="38"/>
        <v>100.00000000000001</v>
      </c>
      <c r="AD74" s="26">
        <f t="shared" si="38"/>
        <v>100</v>
      </c>
    </row>
    <row r="76" spans="2:30">
      <c r="B76" s="27" t="s">
        <v>60</v>
      </c>
      <c r="C76" s="27">
        <f>C74+F74+I74+L74+O74+R74+U74</f>
        <v>8110</v>
      </c>
    </row>
  </sheetData>
  <sheetProtection password="F834" sheet="1" objects="1" scenarios="1" selectLockedCells="1" selectUnlockedCells="1"/>
  <mergeCells count="3">
    <mergeCell ref="B3:AD3"/>
    <mergeCell ref="B28:AD28"/>
    <mergeCell ref="B53:AD53"/>
  </mergeCells>
  <pageMargins left="0.7" right="0.7" top="0.75" bottom="0.75" header="0.3" footer="0.3"/>
  <ignoredErrors>
    <ignoredError sqref="X8:Z8 X18 Y12 Y20 Y22 AB22 AB18:AD18 AC12 X31:Z31 X33 X35 X43 X47 Z35:AA35 Z33 AB44 AC37 AC39:AD39 AC43:AD43 AC47 AD35 X58:Z58 X60 Y68 Y72 Z56 Z60:AA60 AA70 AB62 AB64 AC57 AD68 Z16 Z6" formula="1"/>
  </ignoredErrors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AD168"/>
  <sheetViews>
    <sheetView zoomScale="70" zoomScaleNormal="70" workbookViewId="0">
      <selection activeCell="AD148" sqref="AD148:AD166"/>
    </sheetView>
  </sheetViews>
  <sheetFormatPr defaultRowHeight="15"/>
  <cols>
    <col min="2" max="2" width="18" bestFit="1" customWidth="1"/>
    <col min="3" max="3" width="31.140625" bestFit="1" customWidth="1"/>
    <col min="6" max="6" width="30" bestFit="1" customWidth="1"/>
    <col min="9" max="9" width="25.140625" bestFit="1" customWidth="1"/>
    <col min="12" max="12" width="27.140625" bestFit="1" customWidth="1"/>
    <col min="14" max="14" width="9.140625" customWidth="1"/>
    <col min="15" max="15" width="27.28515625" bestFit="1" customWidth="1"/>
    <col min="18" max="18" width="27" bestFit="1" customWidth="1"/>
    <col min="21" max="21" width="27" bestFit="1" customWidth="1"/>
    <col min="24" max="24" width="11.140625" bestFit="1" customWidth="1"/>
    <col min="25" max="25" width="11.28515625" bestFit="1" customWidth="1"/>
    <col min="26" max="26" width="10.7109375" bestFit="1" customWidth="1"/>
    <col min="27" max="27" width="12.28515625" bestFit="1" customWidth="1"/>
    <col min="28" max="28" width="12.42578125" bestFit="1" customWidth="1"/>
    <col min="29" max="29" width="12.140625" bestFit="1" customWidth="1"/>
    <col min="30" max="30" width="12.42578125" bestFit="1" customWidth="1"/>
  </cols>
  <sheetData>
    <row r="2" spans="2:30" ht="15.75">
      <c r="B2" s="36" t="s">
        <v>53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7"/>
      <c r="W2" s="37"/>
      <c r="X2" s="37"/>
      <c r="Y2" s="37"/>
      <c r="Z2" s="37"/>
      <c r="AA2" s="37"/>
      <c r="AB2" s="37"/>
      <c r="AC2" s="37"/>
      <c r="AD2" s="37"/>
    </row>
    <row r="3" spans="2:30">
      <c r="B3" s="5" t="s">
        <v>0</v>
      </c>
      <c r="C3" s="5" t="s">
        <v>36</v>
      </c>
      <c r="D3" s="6" t="s">
        <v>34</v>
      </c>
      <c r="E3" s="7" t="s">
        <v>35</v>
      </c>
      <c r="F3" s="5" t="s">
        <v>37</v>
      </c>
      <c r="G3" s="6" t="s">
        <v>34</v>
      </c>
      <c r="H3" s="7" t="s">
        <v>35</v>
      </c>
      <c r="I3" s="5" t="s">
        <v>3</v>
      </c>
      <c r="J3" s="6" t="s">
        <v>34</v>
      </c>
      <c r="K3" s="7" t="s">
        <v>35</v>
      </c>
      <c r="L3" s="5" t="s">
        <v>38</v>
      </c>
      <c r="M3" s="6" t="s">
        <v>34</v>
      </c>
      <c r="N3" s="7" t="s">
        <v>35</v>
      </c>
      <c r="O3" s="5" t="s">
        <v>39</v>
      </c>
      <c r="P3" s="6" t="s">
        <v>34</v>
      </c>
      <c r="Q3" s="7" t="s">
        <v>35</v>
      </c>
      <c r="R3" s="5" t="s">
        <v>40</v>
      </c>
      <c r="S3" s="6" t="s">
        <v>34</v>
      </c>
      <c r="T3" s="7" t="s">
        <v>35</v>
      </c>
      <c r="U3" s="5" t="s">
        <v>31</v>
      </c>
      <c r="V3" s="6" t="s">
        <v>34</v>
      </c>
      <c r="W3" s="7" t="s">
        <v>35</v>
      </c>
      <c r="X3" s="7" t="s">
        <v>46</v>
      </c>
      <c r="Y3" s="7" t="s">
        <v>47</v>
      </c>
      <c r="Z3" s="7" t="s">
        <v>48</v>
      </c>
      <c r="AA3" s="7" t="s">
        <v>49</v>
      </c>
      <c r="AB3" s="7" t="s">
        <v>50</v>
      </c>
      <c r="AC3" s="7" t="s">
        <v>51</v>
      </c>
      <c r="AD3" s="7" t="s">
        <v>52</v>
      </c>
    </row>
    <row r="4" spans="2:30">
      <c r="B4" s="1" t="s">
        <v>8</v>
      </c>
      <c r="C4" s="1">
        <v>0</v>
      </c>
      <c r="D4" s="13">
        <v>0</v>
      </c>
      <c r="E4" s="13">
        <v>0</v>
      </c>
      <c r="F4" s="1">
        <v>0</v>
      </c>
      <c r="G4" s="12">
        <v>0</v>
      </c>
      <c r="H4" s="12">
        <v>0</v>
      </c>
      <c r="I4" s="1">
        <v>0</v>
      </c>
      <c r="J4" s="12">
        <v>0</v>
      </c>
      <c r="K4" s="12">
        <v>0</v>
      </c>
      <c r="L4" s="1">
        <v>0</v>
      </c>
      <c r="M4" s="12">
        <v>0</v>
      </c>
      <c r="N4" s="12">
        <v>0</v>
      </c>
      <c r="O4" s="1">
        <v>0</v>
      </c>
      <c r="P4" s="12">
        <v>0</v>
      </c>
      <c r="Q4" s="12">
        <v>0</v>
      </c>
      <c r="R4" s="1">
        <v>0</v>
      </c>
      <c r="S4" s="12">
        <v>0</v>
      </c>
      <c r="T4" s="12">
        <v>0</v>
      </c>
      <c r="U4" s="1">
        <v>0</v>
      </c>
      <c r="V4" s="12">
        <v>0</v>
      </c>
      <c r="W4" s="12">
        <v>0</v>
      </c>
      <c r="X4" s="26">
        <f>0/0.01</f>
        <v>0</v>
      </c>
      <c r="Y4" s="26">
        <f>0/0.18</f>
        <v>0</v>
      </c>
      <c r="Z4" s="26">
        <f>0/0.09</f>
        <v>0</v>
      </c>
      <c r="AA4" s="26">
        <f>0/0.01</f>
        <v>0</v>
      </c>
      <c r="AB4" s="26">
        <f>0/0.04</f>
        <v>0</v>
      </c>
      <c r="AC4" s="26">
        <f>0/0.01</f>
        <v>0</v>
      </c>
      <c r="AD4" s="26">
        <f>0/0.02</f>
        <v>0</v>
      </c>
    </row>
    <row r="5" spans="2:30">
      <c r="B5" s="1" t="s">
        <v>9</v>
      </c>
      <c r="C5" s="1">
        <v>0</v>
      </c>
      <c r="D5" s="13">
        <v>0</v>
      </c>
      <c r="E5" s="13">
        <v>0</v>
      </c>
      <c r="F5" s="1">
        <v>1</v>
      </c>
      <c r="G5" s="12">
        <f>F5/99</f>
        <v>1.0101010101010102E-2</v>
      </c>
      <c r="H5" s="12">
        <f>G5/F22*100</f>
        <v>5.6116722783389458E-2</v>
      </c>
      <c r="I5" s="1">
        <v>0</v>
      </c>
      <c r="J5" s="12">
        <v>0</v>
      </c>
      <c r="K5" s="12">
        <v>0</v>
      </c>
      <c r="L5" s="1">
        <v>0</v>
      </c>
      <c r="M5" s="12">
        <v>0</v>
      </c>
      <c r="N5" s="12">
        <v>0</v>
      </c>
      <c r="O5" s="1">
        <v>0</v>
      </c>
      <c r="P5" s="12">
        <v>0</v>
      </c>
      <c r="Q5" s="12">
        <v>0</v>
      </c>
      <c r="R5" s="1">
        <v>0</v>
      </c>
      <c r="S5" s="12">
        <v>0</v>
      </c>
      <c r="T5" s="12">
        <v>0</v>
      </c>
      <c r="U5" s="1">
        <v>0</v>
      </c>
      <c r="V5" s="12">
        <v>0</v>
      </c>
      <c r="W5" s="12">
        <v>0</v>
      </c>
      <c r="X5" s="26">
        <f t="shared" ref="X5:X6" si="0">0/0.01</f>
        <v>0</v>
      </c>
      <c r="Y5" s="26">
        <f>1/0.18</f>
        <v>5.5555555555555554</v>
      </c>
      <c r="Z5" s="26">
        <f>0/0.09</f>
        <v>0</v>
      </c>
      <c r="AA5" s="26">
        <f t="shared" ref="AA5:AA6" si="1">0/0.01</f>
        <v>0</v>
      </c>
      <c r="AB5" s="26">
        <f>0/0.04</f>
        <v>0</v>
      </c>
      <c r="AC5" s="26">
        <f>0/0.01</f>
        <v>0</v>
      </c>
      <c r="AD5" s="26">
        <f>0/0.02</f>
        <v>0</v>
      </c>
    </row>
    <row r="6" spans="2:30">
      <c r="B6" s="1" t="s">
        <v>10</v>
      </c>
      <c r="C6" s="1">
        <v>0</v>
      </c>
      <c r="D6" s="13">
        <v>0</v>
      </c>
      <c r="E6" s="13">
        <v>0</v>
      </c>
      <c r="F6" s="1">
        <v>0</v>
      </c>
      <c r="G6" s="12">
        <v>0</v>
      </c>
      <c r="H6" s="12">
        <v>0</v>
      </c>
      <c r="I6" s="1">
        <v>0</v>
      </c>
      <c r="J6" s="12">
        <v>0</v>
      </c>
      <c r="K6" s="12">
        <v>0</v>
      </c>
      <c r="L6" s="1">
        <v>0</v>
      </c>
      <c r="M6" s="12">
        <v>0</v>
      </c>
      <c r="N6" s="12">
        <v>0</v>
      </c>
      <c r="O6" s="1">
        <v>1</v>
      </c>
      <c r="P6" s="12">
        <f>O6/16</f>
        <v>6.25E-2</v>
      </c>
      <c r="Q6" s="12">
        <f>P6/O22*100</f>
        <v>1.5625</v>
      </c>
      <c r="R6" s="1">
        <v>1</v>
      </c>
      <c r="S6" s="13">
        <f>R6/18</f>
        <v>5.5555555555555552E-2</v>
      </c>
      <c r="T6" s="13">
        <f>S6/R22*100</f>
        <v>5.5555555555555554</v>
      </c>
      <c r="U6" s="1">
        <v>2</v>
      </c>
      <c r="V6" s="13">
        <f>U6/16</f>
        <v>0.125</v>
      </c>
      <c r="W6" s="13">
        <f>V6/U22*100</f>
        <v>6.25</v>
      </c>
      <c r="X6" s="26">
        <f t="shared" si="0"/>
        <v>0</v>
      </c>
      <c r="Y6" s="26">
        <f>0/0.18</f>
        <v>0</v>
      </c>
      <c r="Z6" s="26">
        <f>0/0.09</f>
        <v>0</v>
      </c>
      <c r="AA6" s="26">
        <f t="shared" si="1"/>
        <v>0</v>
      </c>
      <c r="AB6" s="26">
        <f>1/0.04</f>
        <v>25</v>
      </c>
      <c r="AC6" s="26">
        <f>1/0.01</f>
        <v>100</v>
      </c>
      <c r="AD6" s="26">
        <f>2/0.02</f>
        <v>100</v>
      </c>
    </row>
    <row r="7" spans="2:30">
      <c r="B7" s="1" t="s">
        <v>11</v>
      </c>
      <c r="C7" s="1">
        <v>1</v>
      </c>
      <c r="D7" s="13">
        <f>C7/467</f>
        <v>2.1413276231263384E-3</v>
      </c>
      <c r="E7" s="13">
        <f>D7/C22*100</f>
        <v>0.21413276231263384</v>
      </c>
      <c r="F7" s="1">
        <v>0</v>
      </c>
      <c r="G7" s="12">
        <v>0</v>
      </c>
      <c r="H7" s="12">
        <v>0</v>
      </c>
      <c r="I7" s="1">
        <v>3</v>
      </c>
      <c r="J7" s="12">
        <f>I7/140</f>
        <v>2.1428571428571429E-2</v>
      </c>
      <c r="K7" s="12">
        <f>J7/I22*100</f>
        <v>0.23809523809523811</v>
      </c>
      <c r="L7" s="1">
        <v>1</v>
      </c>
      <c r="M7" s="12">
        <f>L7/46</f>
        <v>2.1739130434782608E-2</v>
      </c>
      <c r="N7" s="13">
        <f>M7/L22*100</f>
        <v>2.1739130434782608</v>
      </c>
      <c r="O7" s="1">
        <v>0</v>
      </c>
      <c r="P7" s="12">
        <v>0</v>
      </c>
      <c r="Q7" s="12">
        <v>0</v>
      </c>
      <c r="R7" s="1">
        <v>0</v>
      </c>
      <c r="S7" s="13">
        <v>0</v>
      </c>
      <c r="T7" s="13">
        <v>0</v>
      </c>
      <c r="U7" s="1">
        <v>0</v>
      </c>
      <c r="V7" s="13">
        <v>0</v>
      </c>
      <c r="W7" s="13">
        <v>0</v>
      </c>
      <c r="X7" s="26">
        <f>1/0.01</f>
        <v>100</v>
      </c>
      <c r="Y7" s="26">
        <f t="shared" ref="Y7:Y9" si="2">0/0.18</f>
        <v>0</v>
      </c>
      <c r="Z7" s="26">
        <f>3/0.09</f>
        <v>33.333333333333336</v>
      </c>
      <c r="AA7" s="26">
        <f>1/0.01</f>
        <v>100</v>
      </c>
      <c r="AB7" s="26">
        <f>0/0.04</f>
        <v>0</v>
      </c>
      <c r="AC7" s="26">
        <f>0/0.01</f>
        <v>0</v>
      </c>
      <c r="AD7" s="26">
        <f>0/0.02</f>
        <v>0</v>
      </c>
    </row>
    <row r="8" spans="2:30">
      <c r="B8" s="1" t="s">
        <v>12</v>
      </c>
      <c r="C8" s="1">
        <v>0</v>
      </c>
      <c r="D8" s="13">
        <v>0</v>
      </c>
      <c r="E8" s="13">
        <v>0</v>
      </c>
      <c r="F8" s="1">
        <v>0</v>
      </c>
      <c r="G8" s="12">
        <v>0</v>
      </c>
      <c r="H8" s="12">
        <v>0</v>
      </c>
      <c r="I8" s="1">
        <v>0</v>
      </c>
      <c r="J8" s="12">
        <v>0</v>
      </c>
      <c r="K8" s="12">
        <v>0</v>
      </c>
      <c r="L8" s="1">
        <v>0</v>
      </c>
      <c r="M8" s="12">
        <v>0</v>
      </c>
      <c r="N8" s="13">
        <v>0</v>
      </c>
      <c r="O8" s="1">
        <v>0</v>
      </c>
      <c r="P8" s="12">
        <v>0</v>
      </c>
      <c r="Q8" s="12">
        <v>0</v>
      </c>
      <c r="R8" s="1">
        <v>0</v>
      </c>
      <c r="S8" s="13">
        <v>0</v>
      </c>
      <c r="T8" s="13">
        <v>0</v>
      </c>
      <c r="U8" s="1">
        <v>0</v>
      </c>
      <c r="V8" s="13">
        <v>0</v>
      </c>
      <c r="W8" s="13">
        <v>0</v>
      </c>
      <c r="X8" s="26">
        <f>0/0.01</f>
        <v>0</v>
      </c>
      <c r="Y8" s="26">
        <f t="shared" si="2"/>
        <v>0</v>
      </c>
      <c r="Z8" s="26">
        <f>0/0.09</f>
        <v>0</v>
      </c>
      <c r="AA8" s="26">
        <f>0/0.01</f>
        <v>0</v>
      </c>
      <c r="AB8" s="26">
        <f t="shared" ref="AB8:AB9" si="3">0/0.04</f>
        <v>0</v>
      </c>
      <c r="AC8" s="26">
        <f t="shared" ref="AC8:AC21" si="4">0/0.01</f>
        <v>0</v>
      </c>
      <c r="AD8" s="26">
        <f t="shared" ref="AD8:AD21" si="5">0/0.02</f>
        <v>0</v>
      </c>
    </row>
    <row r="9" spans="2:30">
      <c r="B9" s="1" t="s">
        <v>13</v>
      </c>
      <c r="C9" s="1">
        <v>0</v>
      </c>
      <c r="D9" s="13">
        <v>0</v>
      </c>
      <c r="E9" s="13">
        <v>0</v>
      </c>
      <c r="F9" s="1">
        <v>0</v>
      </c>
      <c r="G9" s="12">
        <v>0</v>
      </c>
      <c r="H9" s="12">
        <v>0</v>
      </c>
      <c r="I9" s="1">
        <v>0</v>
      </c>
      <c r="J9" s="12">
        <v>0</v>
      </c>
      <c r="K9" s="12">
        <v>0</v>
      </c>
      <c r="L9" s="1">
        <v>0</v>
      </c>
      <c r="M9" s="12">
        <v>0</v>
      </c>
      <c r="N9" s="13">
        <v>0</v>
      </c>
      <c r="O9" s="1">
        <v>0</v>
      </c>
      <c r="P9" s="12">
        <v>0</v>
      </c>
      <c r="Q9" s="12">
        <v>0</v>
      </c>
      <c r="R9" s="1">
        <v>0</v>
      </c>
      <c r="S9" s="13">
        <v>0</v>
      </c>
      <c r="T9" s="13">
        <v>0</v>
      </c>
      <c r="U9" s="1">
        <v>0</v>
      </c>
      <c r="V9" s="13">
        <v>0</v>
      </c>
      <c r="W9" s="13">
        <v>0</v>
      </c>
      <c r="X9" s="26">
        <f t="shared" ref="X9:X21" si="6">0/0.01</f>
        <v>0</v>
      </c>
      <c r="Y9" s="26">
        <f t="shared" si="2"/>
        <v>0</v>
      </c>
      <c r="Z9" s="26">
        <f>0/0.09</f>
        <v>0</v>
      </c>
      <c r="AA9" s="26">
        <f t="shared" ref="AA9:AA21" si="7">0/0.01</f>
        <v>0</v>
      </c>
      <c r="AB9" s="26">
        <f t="shared" si="3"/>
        <v>0</v>
      </c>
      <c r="AC9" s="26">
        <f t="shared" si="4"/>
        <v>0</v>
      </c>
      <c r="AD9" s="26">
        <f t="shared" si="5"/>
        <v>0</v>
      </c>
    </row>
    <row r="10" spans="2:30">
      <c r="B10" s="1" t="s">
        <v>14</v>
      </c>
      <c r="C10" s="1">
        <v>0</v>
      </c>
      <c r="D10" s="13">
        <v>0</v>
      </c>
      <c r="E10" s="13">
        <v>0</v>
      </c>
      <c r="F10" s="1">
        <v>2</v>
      </c>
      <c r="G10" s="12">
        <f>F10/99</f>
        <v>2.0202020202020204E-2</v>
      </c>
      <c r="H10" s="12">
        <f>G10/F22*100</f>
        <v>0.11223344556677892</v>
      </c>
      <c r="I10" s="1">
        <v>5</v>
      </c>
      <c r="J10" s="12">
        <f>I10/140</f>
        <v>3.5714285714285712E-2</v>
      </c>
      <c r="K10" s="12">
        <f>J10/I22*100</f>
        <v>0.3968253968253968</v>
      </c>
      <c r="L10" s="1">
        <v>0</v>
      </c>
      <c r="M10" s="12">
        <v>0</v>
      </c>
      <c r="N10" s="13">
        <v>0</v>
      </c>
      <c r="O10" s="1">
        <v>3</v>
      </c>
      <c r="P10" s="12">
        <f>O10/16</f>
        <v>0.1875</v>
      </c>
      <c r="Q10" s="12">
        <f>P10/O22*100</f>
        <v>4.6875</v>
      </c>
      <c r="R10" s="1">
        <v>0</v>
      </c>
      <c r="S10" s="13">
        <v>0</v>
      </c>
      <c r="T10" s="13">
        <v>0</v>
      </c>
      <c r="U10" s="1">
        <v>0</v>
      </c>
      <c r="V10" s="13">
        <v>0</v>
      </c>
      <c r="W10" s="13">
        <v>0</v>
      </c>
      <c r="X10" s="26">
        <f t="shared" si="6"/>
        <v>0</v>
      </c>
      <c r="Y10" s="26">
        <f>2/0.18</f>
        <v>11.111111111111111</v>
      </c>
      <c r="Z10" s="26">
        <f>5/0.09</f>
        <v>55.555555555555557</v>
      </c>
      <c r="AA10" s="26">
        <f t="shared" si="7"/>
        <v>0</v>
      </c>
      <c r="AB10" s="26">
        <f>3/0.04</f>
        <v>75</v>
      </c>
      <c r="AC10" s="26">
        <f t="shared" si="4"/>
        <v>0</v>
      </c>
      <c r="AD10" s="26">
        <f t="shared" si="5"/>
        <v>0</v>
      </c>
    </row>
    <row r="11" spans="2:30">
      <c r="B11" s="1" t="s">
        <v>15</v>
      </c>
      <c r="C11" s="1">
        <v>0</v>
      </c>
      <c r="D11" s="13">
        <v>0</v>
      </c>
      <c r="E11" s="13">
        <v>0</v>
      </c>
      <c r="F11" s="1">
        <v>1</v>
      </c>
      <c r="G11" s="12">
        <f>F11/99</f>
        <v>1.0101010101010102E-2</v>
      </c>
      <c r="H11" s="12">
        <f>G11/F22*100</f>
        <v>5.6116722783389458E-2</v>
      </c>
      <c r="I11" s="1">
        <v>0</v>
      </c>
      <c r="J11" s="12">
        <v>0</v>
      </c>
      <c r="K11" s="12">
        <v>0</v>
      </c>
      <c r="L11" s="1">
        <v>0</v>
      </c>
      <c r="M11" s="12">
        <v>0</v>
      </c>
      <c r="N11" s="13">
        <v>0</v>
      </c>
      <c r="O11" s="1">
        <v>0</v>
      </c>
      <c r="P11" s="12">
        <v>0</v>
      </c>
      <c r="Q11" s="12">
        <v>0</v>
      </c>
      <c r="R11" s="1">
        <v>0</v>
      </c>
      <c r="S11" s="13">
        <v>0</v>
      </c>
      <c r="T11" s="13">
        <v>0</v>
      </c>
      <c r="U11" s="1">
        <v>0</v>
      </c>
      <c r="V11" s="13">
        <v>0</v>
      </c>
      <c r="W11" s="13">
        <v>0</v>
      </c>
      <c r="X11" s="26">
        <f t="shared" si="6"/>
        <v>0</v>
      </c>
      <c r="Y11" s="26">
        <f>1/0.18</f>
        <v>5.5555555555555554</v>
      </c>
      <c r="Z11" s="26">
        <f>0/0.09</f>
        <v>0</v>
      </c>
      <c r="AA11" s="26">
        <f t="shared" si="7"/>
        <v>0</v>
      </c>
      <c r="AB11" s="26">
        <f>0/0.04</f>
        <v>0</v>
      </c>
      <c r="AC11" s="26">
        <f t="shared" si="4"/>
        <v>0</v>
      </c>
      <c r="AD11" s="26">
        <f t="shared" si="5"/>
        <v>0</v>
      </c>
    </row>
    <row r="12" spans="2:30">
      <c r="B12" s="1" t="s">
        <v>16</v>
      </c>
      <c r="C12" s="1">
        <v>0</v>
      </c>
      <c r="D12" s="13">
        <v>0</v>
      </c>
      <c r="E12" s="13">
        <v>0</v>
      </c>
      <c r="F12" s="1">
        <v>14</v>
      </c>
      <c r="G12" s="12">
        <f>F12/99</f>
        <v>0.14141414141414141</v>
      </c>
      <c r="H12" s="12">
        <f>G12/F22*100</f>
        <v>0.78563411896745217</v>
      </c>
      <c r="I12" s="1">
        <v>1</v>
      </c>
      <c r="J12" s="12">
        <f>I12/140</f>
        <v>7.1428571428571426E-3</v>
      </c>
      <c r="K12" s="12">
        <f>J12/I22*100</f>
        <v>7.9365079365079361E-2</v>
      </c>
      <c r="L12" s="1">
        <v>0</v>
      </c>
      <c r="M12" s="12">
        <v>0</v>
      </c>
      <c r="N12" s="13">
        <v>0</v>
      </c>
      <c r="O12" s="1">
        <v>0</v>
      </c>
      <c r="P12" s="12">
        <v>0</v>
      </c>
      <c r="Q12" s="12">
        <v>0</v>
      </c>
      <c r="R12" s="1">
        <v>0</v>
      </c>
      <c r="S12" s="13">
        <v>0</v>
      </c>
      <c r="T12" s="13">
        <v>0</v>
      </c>
      <c r="U12" s="1">
        <v>0</v>
      </c>
      <c r="V12" s="13">
        <v>0</v>
      </c>
      <c r="W12" s="13">
        <v>0</v>
      </c>
      <c r="X12" s="26">
        <f t="shared" si="6"/>
        <v>0</v>
      </c>
      <c r="Y12" s="26">
        <f>14/0.18</f>
        <v>77.777777777777786</v>
      </c>
      <c r="Z12" s="26">
        <f>1/0.09</f>
        <v>11.111111111111111</v>
      </c>
      <c r="AA12" s="26">
        <f t="shared" si="7"/>
        <v>0</v>
      </c>
      <c r="AB12" s="26">
        <f t="shared" ref="AB12:AB21" si="8">0/0.04</f>
        <v>0</v>
      </c>
      <c r="AC12" s="26">
        <f t="shared" si="4"/>
        <v>0</v>
      </c>
      <c r="AD12" s="26">
        <f t="shared" si="5"/>
        <v>0</v>
      </c>
    </row>
    <row r="13" spans="2:30">
      <c r="B13" s="1" t="s">
        <v>17</v>
      </c>
      <c r="C13" s="1">
        <v>0</v>
      </c>
      <c r="D13" s="13">
        <v>0</v>
      </c>
      <c r="E13" s="13">
        <v>0</v>
      </c>
      <c r="F13" s="1">
        <v>0</v>
      </c>
      <c r="G13" s="12">
        <v>0</v>
      </c>
      <c r="H13" s="12">
        <v>0</v>
      </c>
      <c r="I13" s="1">
        <v>0</v>
      </c>
      <c r="J13" s="12">
        <v>0</v>
      </c>
      <c r="K13" s="12">
        <v>0</v>
      </c>
      <c r="L13" s="1">
        <v>0</v>
      </c>
      <c r="M13" s="12">
        <v>0</v>
      </c>
      <c r="N13" s="13">
        <v>0</v>
      </c>
      <c r="O13" s="1">
        <v>0</v>
      </c>
      <c r="P13" s="12">
        <v>0</v>
      </c>
      <c r="Q13" s="12">
        <v>0</v>
      </c>
      <c r="R13" s="1">
        <v>0</v>
      </c>
      <c r="S13" s="13">
        <v>0</v>
      </c>
      <c r="T13" s="13">
        <v>0</v>
      </c>
      <c r="U13" s="1">
        <v>0</v>
      </c>
      <c r="V13" s="13">
        <v>0</v>
      </c>
      <c r="W13" s="13">
        <v>0</v>
      </c>
      <c r="X13" s="26">
        <f t="shared" si="6"/>
        <v>0</v>
      </c>
      <c r="Y13" s="26">
        <f>0/0.18</f>
        <v>0</v>
      </c>
      <c r="Z13" s="26">
        <f>0/0.09</f>
        <v>0</v>
      </c>
      <c r="AA13" s="26">
        <f t="shared" si="7"/>
        <v>0</v>
      </c>
      <c r="AB13" s="26">
        <f t="shared" si="8"/>
        <v>0</v>
      </c>
      <c r="AC13" s="26">
        <f t="shared" si="4"/>
        <v>0</v>
      </c>
      <c r="AD13" s="26">
        <f t="shared" si="5"/>
        <v>0</v>
      </c>
    </row>
    <row r="14" spans="2:30">
      <c r="B14" s="1" t="s">
        <v>18</v>
      </c>
      <c r="C14" s="1">
        <v>0</v>
      </c>
      <c r="D14" s="13">
        <v>0</v>
      </c>
      <c r="E14" s="13">
        <v>0</v>
      </c>
      <c r="F14" s="1">
        <v>0</v>
      </c>
      <c r="G14" s="12">
        <v>0</v>
      </c>
      <c r="H14" s="12">
        <v>0</v>
      </c>
      <c r="I14" s="1">
        <v>0</v>
      </c>
      <c r="J14" s="12">
        <v>0</v>
      </c>
      <c r="K14" s="12">
        <v>0</v>
      </c>
      <c r="L14" s="1">
        <v>0</v>
      </c>
      <c r="M14" s="12">
        <v>0</v>
      </c>
      <c r="N14" s="13">
        <v>0</v>
      </c>
      <c r="O14" s="1">
        <v>0</v>
      </c>
      <c r="P14" s="12">
        <v>0</v>
      </c>
      <c r="Q14" s="12">
        <v>0</v>
      </c>
      <c r="R14" s="1">
        <v>0</v>
      </c>
      <c r="S14" s="13">
        <v>0</v>
      </c>
      <c r="T14" s="13">
        <v>0</v>
      </c>
      <c r="U14" s="1">
        <v>0</v>
      </c>
      <c r="V14" s="13">
        <v>0</v>
      </c>
      <c r="W14" s="13">
        <v>0</v>
      </c>
      <c r="X14" s="26">
        <f t="shared" si="6"/>
        <v>0</v>
      </c>
      <c r="Y14" s="26">
        <f t="shared" ref="Y14:Y21" si="9">0/0.18</f>
        <v>0</v>
      </c>
      <c r="Z14" s="26">
        <f t="shared" ref="Z14:Z21" si="10">0/0.09</f>
        <v>0</v>
      </c>
      <c r="AA14" s="26">
        <f t="shared" si="7"/>
        <v>0</v>
      </c>
      <c r="AB14" s="26">
        <f t="shared" si="8"/>
        <v>0</v>
      </c>
      <c r="AC14" s="26">
        <f t="shared" si="4"/>
        <v>0</v>
      </c>
      <c r="AD14" s="26">
        <f t="shared" si="5"/>
        <v>0</v>
      </c>
    </row>
    <row r="15" spans="2:30">
      <c r="B15" s="1" t="s">
        <v>19</v>
      </c>
      <c r="C15" s="1">
        <v>0</v>
      </c>
      <c r="D15" s="13">
        <v>0</v>
      </c>
      <c r="E15" s="13">
        <v>0</v>
      </c>
      <c r="F15" s="1">
        <v>0</v>
      </c>
      <c r="G15" s="12">
        <v>0</v>
      </c>
      <c r="H15" s="12">
        <v>0</v>
      </c>
      <c r="I15" s="1">
        <v>0</v>
      </c>
      <c r="J15" s="12">
        <v>0</v>
      </c>
      <c r="K15" s="12">
        <v>0</v>
      </c>
      <c r="L15" s="1">
        <v>0</v>
      </c>
      <c r="M15" s="12">
        <v>0</v>
      </c>
      <c r="N15" s="13">
        <v>0</v>
      </c>
      <c r="O15" s="1">
        <v>0</v>
      </c>
      <c r="P15" s="12">
        <v>0</v>
      </c>
      <c r="Q15" s="12">
        <v>0</v>
      </c>
      <c r="R15" s="1">
        <v>0</v>
      </c>
      <c r="S15" s="13">
        <v>0</v>
      </c>
      <c r="T15" s="13">
        <v>0</v>
      </c>
      <c r="U15" s="1">
        <v>0</v>
      </c>
      <c r="V15" s="13">
        <v>0</v>
      </c>
      <c r="W15" s="13">
        <v>0</v>
      </c>
      <c r="X15" s="26">
        <f t="shared" si="6"/>
        <v>0</v>
      </c>
      <c r="Y15" s="26">
        <f t="shared" si="9"/>
        <v>0</v>
      </c>
      <c r="Z15" s="26">
        <f t="shared" si="10"/>
        <v>0</v>
      </c>
      <c r="AA15" s="26">
        <f t="shared" si="7"/>
        <v>0</v>
      </c>
      <c r="AB15" s="26">
        <f t="shared" si="8"/>
        <v>0</v>
      </c>
      <c r="AC15" s="26">
        <f t="shared" si="4"/>
        <v>0</v>
      </c>
      <c r="AD15" s="26">
        <f t="shared" si="5"/>
        <v>0</v>
      </c>
    </row>
    <row r="16" spans="2:30">
      <c r="B16" s="1" t="s">
        <v>20</v>
      </c>
      <c r="C16" s="1">
        <v>0</v>
      </c>
      <c r="D16" s="13">
        <v>0</v>
      </c>
      <c r="E16" s="13">
        <v>0</v>
      </c>
      <c r="F16" s="1">
        <v>0</v>
      </c>
      <c r="G16" s="12">
        <v>0</v>
      </c>
      <c r="H16" s="12">
        <v>0</v>
      </c>
      <c r="I16" s="1">
        <v>0</v>
      </c>
      <c r="J16" s="12">
        <v>0</v>
      </c>
      <c r="K16" s="12">
        <v>0</v>
      </c>
      <c r="L16" s="1">
        <v>0</v>
      </c>
      <c r="M16" s="12">
        <v>0</v>
      </c>
      <c r="N16" s="13">
        <v>0</v>
      </c>
      <c r="O16" s="1">
        <v>0</v>
      </c>
      <c r="P16" s="12">
        <v>0</v>
      </c>
      <c r="Q16" s="12">
        <v>0</v>
      </c>
      <c r="R16" s="1">
        <v>0</v>
      </c>
      <c r="S16" s="13">
        <v>0</v>
      </c>
      <c r="T16" s="13">
        <v>0</v>
      </c>
      <c r="U16" s="1">
        <v>0</v>
      </c>
      <c r="V16" s="13">
        <v>0</v>
      </c>
      <c r="W16" s="13">
        <v>0</v>
      </c>
      <c r="X16" s="26">
        <f t="shared" si="6"/>
        <v>0</v>
      </c>
      <c r="Y16" s="26">
        <f t="shared" si="9"/>
        <v>0</v>
      </c>
      <c r="Z16" s="26">
        <f t="shared" si="10"/>
        <v>0</v>
      </c>
      <c r="AA16" s="26">
        <f t="shared" si="7"/>
        <v>0</v>
      </c>
      <c r="AB16" s="26">
        <f t="shared" si="8"/>
        <v>0</v>
      </c>
      <c r="AC16" s="26">
        <f t="shared" si="4"/>
        <v>0</v>
      </c>
      <c r="AD16" s="26">
        <f t="shared" si="5"/>
        <v>0</v>
      </c>
    </row>
    <row r="17" spans="2:30">
      <c r="B17" s="1" t="s">
        <v>21</v>
      </c>
      <c r="C17" s="1">
        <v>0</v>
      </c>
      <c r="D17" s="13">
        <v>0</v>
      </c>
      <c r="E17" s="13">
        <v>0</v>
      </c>
      <c r="F17" s="1">
        <v>0</v>
      </c>
      <c r="G17" s="12">
        <v>0</v>
      </c>
      <c r="H17" s="12">
        <v>0</v>
      </c>
      <c r="I17" s="1">
        <v>0</v>
      </c>
      <c r="J17" s="12">
        <v>0</v>
      </c>
      <c r="K17" s="12">
        <v>0</v>
      </c>
      <c r="L17" s="1">
        <v>0</v>
      </c>
      <c r="M17" s="12">
        <v>0</v>
      </c>
      <c r="N17" s="13">
        <v>0</v>
      </c>
      <c r="O17" s="1">
        <v>0</v>
      </c>
      <c r="P17" s="12">
        <v>0</v>
      </c>
      <c r="Q17" s="12">
        <v>0</v>
      </c>
      <c r="R17" s="1">
        <v>0</v>
      </c>
      <c r="S17" s="13">
        <v>0</v>
      </c>
      <c r="T17" s="13">
        <v>0</v>
      </c>
      <c r="U17" s="1">
        <v>0</v>
      </c>
      <c r="V17" s="13">
        <v>0</v>
      </c>
      <c r="W17" s="13">
        <v>0</v>
      </c>
      <c r="X17" s="26">
        <f t="shared" si="6"/>
        <v>0</v>
      </c>
      <c r="Y17" s="26">
        <f t="shared" si="9"/>
        <v>0</v>
      </c>
      <c r="Z17" s="26">
        <f t="shared" si="10"/>
        <v>0</v>
      </c>
      <c r="AA17" s="26">
        <f t="shared" si="7"/>
        <v>0</v>
      </c>
      <c r="AB17" s="26">
        <f t="shared" si="8"/>
        <v>0</v>
      </c>
      <c r="AC17" s="26">
        <f t="shared" si="4"/>
        <v>0</v>
      </c>
      <c r="AD17" s="26">
        <f t="shared" si="5"/>
        <v>0</v>
      </c>
    </row>
    <row r="18" spans="2:30">
      <c r="B18" s="1" t="s">
        <v>22</v>
      </c>
      <c r="C18" s="1">
        <v>0</v>
      </c>
      <c r="D18" s="13">
        <v>0</v>
      </c>
      <c r="E18" s="13">
        <v>0</v>
      </c>
      <c r="F18" s="1">
        <v>0</v>
      </c>
      <c r="G18" s="12">
        <v>0</v>
      </c>
      <c r="H18" s="12">
        <v>0</v>
      </c>
      <c r="I18" s="1">
        <v>0</v>
      </c>
      <c r="J18" s="12">
        <v>0</v>
      </c>
      <c r="K18" s="12">
        <v>0</v>
      </c>
      <c r="L18" s="1">
        <v>0</v>
      </c>
      <c r="M18" s="12">
        <v>0</v>
      </c>
      <c r="N18" s="13">
        <v>0</v>
      </c>
      <c r="O18" s="1">
        <v>0</v>
      </c>
      <c r="P18" s="12">
        <v>0</v>
      </c>
      <c r="Q18" s="12">
        <v>0</v>
      </c>
      <c r="R18" s="1">
        <v>0</v>
      </c>
      <c r="S18" s="13">
        <v>0</v>
      </c>
      <c r="T18" s="13">
        <v>0</v>
      </c>
      <c r="U18" s="1">
        <v>0</v>
      </c>
      <c r="V18" s="13">
        <v>0</v>
      </c>
      <c r="W18" s="13">
        <v>0</v>
      </c>
      <c r="X18" s="26">
        <f t="shared" si="6"/>
        <v>0</v>
      </c>
      <c r="Y18" s="26">
        <f t="shared" si="9"/>
        <v>0</v>
      </c>
      <c r="Z18" s="26">
        <f t="shared" si="10"/>
        <v>0</v>
      </c>
      <c r="AA18" s="26">
        <f t="shared" si="7"/>
        <v>0</v>
      </c>
      <c r="AB18" s="26">
        <f t="shared" si="8"/>
        <v>0</v>
      </c>
      <c r="AC18" s="26">
        <f t="shared" si="4"/>
        <v>0</v>
      </c>
      <c r="AD18" s="26">
        <f t="shared" si="5"/>
        <v>0</v>
      </c>
    </row>
    <row r="19" spans="2:30">
      <c r="B19" s="1" t="s">
        <v>23</v>
      </c>
      <c r="C19" s="1">
        <v>0</v>
      </c>
      <c r="D19" s="13">
        <v>0</v>
      </c>
      <c r="E19" s="13">
        <v>0</v>
      </c>
      <c r="F19" s="1">
        <v>0</v>
      </c>
      <c r="G19" s="12">
        <v>0</v>
      </c>
      <c r="H19" s="12">
        <v>0</v>
      </c>
      <c r="I19" s="1">
        <v>0</v>
      </c>
      <c r="J19" s="12">
        <v>0</v>
      </c>
      <c r="K19" s="12">
        <v>0</v>
      </c>
      <c r="L19" s="1">
        <v>0</v>
      </c>
      <c r="M19" s="12">
        <v>0</v>
      </c>
      <c r="N19" s="13">
        <v>0</v>
      </c>
      <c r="O19" s="1">
        <v>0</v>
      </c>
      <c r="P19" s="12">
        <v>0</v>
      </c>
      <c r="Q19" s="12">
        <v>0</v>
      </c>
      <c r="R19" s="1">
        <v>0</v>
      </c>
      <c r="S19" s="13">
        <v>0</v>
      </c>
      <c r="T19" s="13">
        <v>0</v>
      </c>
      <c r="U19" s="1">
        <v>0</v>
      </c>
      <c r="V19" s="13">
        <v>0</v>
      </c>
      <c r="W19" s="13">
        <v>0</v>
      </c>
      <c r="X19" s="26">
        <f t="shared" si="6"/>
        <v>0</v>
      </c>
      <c r="Y19" s="26">
        <f t="shared" si="9"/>
        <v>0</v>
      </c>
      <c r="Z19" s="26">
        <f t="shared" si="10"/>
        <v>0</v>
      </c>
      <c r="AA19" s="26">
        <f t="shared" si="7"/>
        <v>0</v>
      </c>
      <c r="AB19" s="26">
        <f t="shared" si="8"/>
        <v>0</v>
      </c>
      <c r="AC19" s="26">
        <f t="shared" si="4"/>
        <v>0</v>
      </c>
      <c r="AD19" s="26">
        <f t="shared" si="5"/>
        <v>0</v>
      </c>
    </row>
    <row r="20" spans="2:30">
      <c r="B20" s="1" t="s">
        <v>24</v>
      </c>
      <c r="C20" s="1">
        <v>0</v>
      </c>
      <c r="D20" s="13">
        <v>0</v>
      </c>
      <c r="E20" s="13">
        <v>0</v>
      </c>
      <c r="F20" s="1">
        <v>0</v>
      </c>
      <c r="G20" s="12">
        <v>0</v>
      </c>
      <c r="H20" s="12">
        <v>0</v>
      </c>
      <c r="I20" s="1">
        <v>0</v>
      </c>
      <c r="J20" s="12">
        <v>0</v>
      </c>
      <c r="K20" s="12">
        <v>0</v>
      </c>
      <c r="L20" s="1">
        <v>0</v>
      </c>
      <c r="M20" s="12">
        <v>0</v>
      </c>
      <c r="N20" s="13">
        <v>0</v>
      </c>
      <c r="O20" s="1">
        <v>0</v>
      </c>
      <c r="P20" s="12">
        <v>0</v>
      </c>
      <c r="Q20" s="12">
        <v>0</v>
      </c>
      <c r="R20" s="1">
        <v>0</v>
      </c>
      <c r="S20" s="13">
        <v>0</v>
      </c>
      <c r="T20" s="13">
        <v>0</v>
      </c>
      <c r="U20" s="1">
        <v>0</v>
      </c>
      <c r="V20" s="13">
        <v>0</v>
      </c>
      <c r="W20" s="13">
        <v>0</v>
      </c>
      <c r="X20" s="26">
        <f t="shared" si="6"/>
        <v>0</v>
      </c>
      <c r="Y20" s="26">
        <f t="shared" si="9"/>
        <v>0</v>
      </c>
      <c r="Z20" s="26">
        <f t="shared" si="10"/>
        <v>0</v>
      </c>
      <c r="AA20" s="26">
        <f t="shared" si="7"/>
        <v>0</v>
      </c>
      <c r="AB20" s="26">
        <f t="shared" si="8"/>
        <v>0</v>
      </c>
      <c r="AC20" s="26">
        <f t="shared" si="4"/>
        <v>0</v>
      </c>
      <c r="AD20" s="26">
        <f t="shared" si="5"/>
        <v>0</v>
      </c>
    </row>
    <row r="21" spans="2:30">
      <c r="B21" s="1" t="s">
        <v>25</v>
      </c>
      <c r="C21" s="1">
        <v>0</v>
      </c>
      <c r="D21" s="13">
        <v>0</v>
      </c>
      <c r="E21" s="13">
        <v>0</v>
      </c>
      <c r="F21" s="1">
        <v>0</v>
      </c>
      <c r="G21" s="12">
        <v>0</v>
      </c>
      <c r="H21" s="12">
        <v>0</v>
      </c>
      <c r="I21" s="1">
        <v>0</v>
      </c>
      <c r="J21" s="12">
        <v>0</v>
      </c>
      <c r="K21" s="12">
        <v>0</v>
      </c>
      <c r="L21" s="1">
        <v>0</v>
      </c>
      <c r="M21" s="12">
        <v>0</v>
      </c>
      <c r="N21" s="13">
        <v>0</v>
      </c>
      <c r="O21" s="1">
        <v>0</v>
      </c>
      <c r="P21" s="12">
        <v>0</v>
      </c>
      <c r="Q21" s="12">
        <v>0</v>
      </c>
      <c r="R21" s="1">
        <v>0</v>
      </c>
      <c r="S21" s="13">
        <v>0</v>
      </c>
      <c r="T21" s="13">
        <v>0</v>
      </c>
      <c r="U21" s="1">
        <v>0</v>
      </c>
      <c r="V21" s="13">
        <v>0</v>
      </c>
      <c r="W21" s="13">
        <v>0</v>
      </c>
      <c r="X21" s="26">
        <f t="shared" si="6"/>
        <v>0</v>
      </c>
      <c r="Y21" s="26">
        <f t="shared" si="9"/>
        <v>0</v>
      </c>
      <c r="Z21" s="26">
        <f t="shared" si="10"/>
        <v>0</v>
      </c>
      <c r="AA21" s="26">
        <f t="shared" si="7"/>
        <v>0</v>
      </c>
      <c r="AB21" s="26">
        <f t="shared" si="8"/>
        <v>0</v>
      </c>
      <c r="AC21" s="26">
        <f t="shared" si="4"/>
        <v>0</v>
      </c>
      <c r="AD21" s="26">
        <f t="shared" si="5"/>
        <v>0</v>
      </c>
    </row>
    <row r="22" spans="2:30">
      <c r="B22" s="1" t="s">
        <v>26</v>
      </c>
      <c r="C22" s="1">
        <f>SUM(C4:C21)</f>
        <v>1</v>
      </c>
      <c r="D22" s="13">
        <f>C22/467</f>
        <v>2.1413276231263384E-3</v>
      </c>
      <c r="E22" s="13">
        <f>D22/C24*100</f>
        <v>5.9481322864620512E-3</v>
      </c>
      <c r="F22" s="1">
        <f>SUM(F4:F21)</f>
        <v>18</v>
      </c>
      <c r="G22" s="12">
        <f>F22/99</f>
        <v>0.18181818181818182</v>
      </c>
      <c r="H22" s="12">
        <f>G22/C24*100</f>
        <v>0.50505050505050508</v>
      </c>
      <c r="I22" s="1">
        <f>SUM(I4:I21)</f>
        <v>9</v>
      </c>
      <c r="J22" s="12">
        <f>I22/140</f>
        <v>6.4285714285714279E-2</v>
      </c>
      <c r="K22" s="12">
        <f>J22/C24*100</f>
        <v>0.17857142857142855</v>
      </c>
      <c r="L22" s="1">
        <f>SUM(L4:L21)</f>
        <v>1</v>
      </c>
      <c r="M22" s="12">
        <f>L22/46</f>
        <v>2.1739130434782608E-2</v>
      </c>
      <c r="N22" s="13">
        <f>M22/C24*100</f>
        <v>6.0386473429951688E-2</v>
      </c>
      <c r="O22" s="1">
        <f>SUM(O4:O21)</f>
        <v>4</v>
      </c>
      <c r="P22" s="12">
        <f>O22/16</f>
        <v>0.25</v>
      </c>
      <c r="Q22" s="12">
        <f>P22/C24*100</f>
        <v>0.69444444444444442</v>
      </c>
      <c r="R22" s="1">
        <f>SUM(R4:R21)</f>
        <v>1</v>
      </c>
      <c r="S22" s="13">
        <f>R22/18</f>
        <v>5.5555555555555552E-2</v>
      </c>
      <c r="T22" s="13">
        <f>S22/C24*100</f>
        <v>0.15432098765432098</v>
      </c>
      <c r="U22" s="1">
        <f>SUM(U4:U21)</f>
        <v>2</v>
      </c>
      <c r="V22" s="13">
        <f>U22/16</f>
        <v>0.125</v>
      </c>
      <c r="W22" s="13">
        <f>V22/C24*100</f>
        <v>0.34722222222222221</v>
      </c>
      <c r="X22" s="26">
        <f t="shared" ref="X22:AD22" si="11">SUM(X4:X21)</f>
        <v>100</v>
      </c>
      <c r="Y22" s="26">
        <f t="shared" si="11"/>
        <v>100</v>
      </c>
      <c r="Z22" s="26">
        <f t="shared" si="11"/>
        <v>100</v>
      </c>
      <c r="AA22" s="26">
        <f t="shared" si="11"/>
        <v>100</v>
      </c>
      <c r="AB22" s="26">
        <f t="shared" si="11"/>
        <v>100</v>
      </c>
      <c r="AC22" s="26">
        <f t="shared" si="11"/>
        <v>100</v>
      </c>
      <c r="AD22" s="26">
        <f t="shared" si="11"/>
        <v>100</v>
      </c>
    </row>
    <row r="24" spans="2:30">
      <c r="B24" s="27" t="s">
        <v>60</v>
      </c>
      <c r="C24" s="27">
        <f>C22+F22+I22+L22+O22+R22+U22</f>
        <v>36</v>
      </c>
    </row>
    <row r="26" spans="2:30" ht="15.75">
      <c r="B26" s="36" t="s">
        <v>54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7"/>
      <c r="W26" s="37"/>
      <c r="X26" s="37"/>
      <c r="Y26" s="37"/>
      <c r="Z26" s="37"/>
      <c r="AA26" s="37"/>
      <c r="AB26" s="37"/>
      <c r="AC26" s="37"/>
      <c r="AD26" s="37"/>
    </row>
    <row r="27" spans="2:30">
      <c r="B27" s="5" t="s">
        <v>0</v>
      </c>
      <c r="C27" s="5" t="s">
        <v>36</v>
      </c>
      <c r="D27" s="6" t="s">
        <v>34</v>
      </c>
      <c r="E27" s="7" t="s">
        <v>35</v>
      </c>
      <c r="F27" s="5" t="s">
        <v>37</v>
      </c>
      <c r="G27" s="6" t="s">
        <v>34</v>
      </c>
      <c r="H27" s="7" t="s">
        <v>35</v>
      </c>
      <c r="I27" s="5" t="s">
        <v>3</v>
      </c>
      <c r="J27" s="6" t="s">
        <v>34</v>
      </c>
      <c r="K27" s="7" t="s">
        <v>35</v>
      </c>
      <c r="L27" s="5" t="s">
        <v>38</v>
      </c>
      <c r="M27" s="6" t="s">
        <v>34</v>
      </c>
      <c r="N27" s="7" t="s">
        <v>35</v>
      </c>
      <c r="O27" s="5" t="s">
        <v>39</v>
      </c>
      <c r="P27" s="6" t="s">
        <v>34</v>
      </c>
      <c r="Q27" s="7" t="s">
        <v>35</v>
      </c>
      <c r="R27" s="5" t="s">
        <v>40</v>
      </c>
      <c r="S27" s="6" t="s">
        <v>34</v>
      </c>
      <c r="T27" s="7" t="s">
        <v>35</v>
      </c>
      <c r="U27" s="5" t="s">
        <v>31</v>
      </c>
      <c r="V27" s="6" t="s">
        <v>34</v>
      </c>
      <c r="W27" s="7" t="s">
        <v>35</v>
      </c>
      <c r="X27" s="7" t="s">
        <v>46</v>
      </c>
      <c r="Y27" s="7" t="s">
        <v>47</v>
      </c>
      <c r="Z27" s="7" t="s">
        <v>48</v>
      </c>
      <c r="AA27" s="7" t="s">
        <v>49</v>
      </c>
      <c r="AB27" s="7" t="s">
        <v>50</v>
      </c>
      <c r="AC27" s="7" t="s">
        <v>51</v>
      </c>
      <c r="AD27" s="7" t="s">
        <v>52</v>
      </c>
    </row>
    <row r="28" spans="2:30">
      <c r="B28" s="1" t="s">
        <v>8</v>
      </c>
      <c r="C28" s="29">
        <v>0</v>
      </c>
      <c r="D28" s="13">
        <v>0</v>
      </c>
      <c r="E28" s="13">
        <v>0</v>
      </c>
      <c r="F28" s="29">
        <v>0</v>
      </c>
      <c r="G28" s="11">
        <v>0</v>
      </c>
      <c r="H28" s="11">
        <v>0</v>
      </c>
      <c r="I28" s="29">
        <v>0</v>
      </c>
      <c r="J28" s="11">
        <v>0</v>
      </c>
      <c r="K28" s="11">
        <v>0</v>
      </c>
      <c r="L28" s="1">
        <v>0</v>
      </c>
      <c r="M28" s="11">
        <v>0</v>
      </c>
      <c r="N28" s="11">
        <v>0</v>
      </c>
      <c r="O28" s="1">
        <v>0</v>
      </c>
      <c r="P28" s="11">
        <v>0</v>
      </c>
      <c r="Q28" s="11">
        <v>0</v>
      </c>
      <c r="R28" s="29">
        <v>0</v>
      </c>
      <c r="S28" s="11">
        <v>0</v>
      </c>
      <c r="T28" s="11">
        <v>0</v>
      </c>
      <c r="U28" s="29">
        <v>0</v>
      </c>
      <c r="V28" s="11">
        <v>0</v>
      </c>
      <c r="W28" s="11">
        <v>0</v>
      </c>
      <c r="X28" s="26">
        <v>0</v>
      </c>
      <c r="Y28" s="26">
        <v>0</v>
      </c>
      <c r="Z28" s="26">
        <v>0</v>
      </c>
      <c r="AA28" s="26">
        <f>0/0.03</f>
        <v>0</v>
      </c>
      <c r="AB28" s="26">
        <f>0/0.02</f>
        <v>0</v>
      </c>
      <c r="AC28" s="26">
        <v>0</v>
      </c>
      <c r="AD28" s="26">
        <v>0</v>
      </c>
    </row>
    <row r="29" spans="2:30">
      <c r="B29" s="1" t="s">
        <v>9</v>
      </c>
      <c r="C29" s="29">
        <v>0</v>
      </c>
      <c r="D29" s="13">
        <v>0</v>
      </c>
      <c r="E29" s="13">
        <v>0</v>
      </c>
      <c r="F29" s="29">
        <v>0</v>
      </c>
      <c r="G29" s="11">
        <v>0</v>
      </c>
      <c r="H29" s="11">
        <v>0</v>
      </c>
      <c r="I29" s="29">
        <v>0</v>
      </c>
      <c r="J29" s="11">
        <v>0</v>
      </c>
      <c r="K29" s="11">
        <v>0</v>
      </c>
      <c r="L29" s="1">
        <v>0</v>
      </c>
      <c r="M29" s="11">
        <v>0</v>
      </c>
      <c r="N29" s="11">
        <v>0</v>
      </c>
      <c r="O29" s="1">
        <v>0</v>
      </c>
      <c r="P29" s="11">
        <v>0</v>
      </c>
      <c r="Q29" s="11">
        <v>0</v>
      </c>
      <c r="R29" s="29">
        <v>0</v>
      </c>
      <c r="S29" s="11">
        <v>0</v>
      </c>
      <c r="T29" s="11">
        <v>0</v>
      </c>
      <c r="U29" s="29">
        <v>0</v>
      </c>
      <c r="V29" s="11">
        <v>0</v>
      </c>
      <c r="W29" s="11">
        <v>0</v>
      </c>
      <c r="X29" s="26">
        <v>0</v>
      </c>
      <c r="Y29" s="26">
        <v>0</v>
      </c>
      <c r="Z29" s="26">
        <v>0</v>
      </c>
      <c r="AA29" s="26">
        <f t="shared" ref="AA29:AA30" si="12">0/0.03</f>
        <v>0</v>
      </c>
      <c r="AB29" s="26">
        <f>0/0.02</f>
        <v>0</v>
      </c>
      <c r="AC29" s="26">
        <v>0</v>
      </c>
      <c r="AD29" s="26">
        <v>0</v>
      </c>
    </row>
    <row r="30" spans="2:30">
      <c r="B30" s="1" t="s">
        <v>10</v>
      </c>
      <c r="C30" s="29">
        <v>0</v>
      </c>
      <c r="D30" s="13">
        <v>0</v>
      </c>
      <c r="E30" s="13">
        <v>0</v>
      </c>
      <c r="F30" s="29">
        <v>0</v>
      </c>
      <c r="G30" s="11">
        <v>0</v>
      </c>
      <c r="H30" s="11">
        <v>0</v>
      </c>
      <c r="I30" s="29">
        <v>0</v>
      </c>
      <c r="J30" s="11">
        <v>0</v>
      </c>
      <c r="K30" s="11">
        <v>0</v>
      </c>
      <c r="L30" s="1">
        <v>0</v>
      </c>
      <c r="M30" s="11">
        <v>0</v>
      </c>
      <c r="N30" s="11">
        <v>0</v>
      </c>
      <c r="O30" s="1">
        <v>1</v>
      </c>
      <c r="P30" s="24">
        <f>O30/16</f>
        <v>6.25E-2</v>
      </c>
      <c r="Q30" s="24">
        <f>P30/O46*100</f>
        <v>3.125</v>
      </c>
      <c r="R30" s="29">
        <v>0</v>
      </c>
      <c r="S30" s="11">
        <v>0</v>
      </c>
      <c r="T30" s="11">
        <v>0</v>
      </c>
      <c r="U30" s="29">
        <v>0</v>
      </c>
      <c r="V30" s="11">
        <v>0</v>
      </c>
      <c r="W30" s="11">
        <v>0</v>
      </c>
      <c r="X30" s="26">
        <v>0</v>
      </c>
      <c r="Y30" s="26">
        <v>0</v>
      </c>
      <c r="Z30" s="26">
        <v>0</v>
      </c>
      <c r="AA30" s="26">
        <f t="shared" si="12"/>
        <v>0</v>
      </c>
      <c r="AB30" s="26">
        <f>1/0.02</f>
        <v>50</v>
      </c>
      <c r="AC30" s="26">
        <v>0</v>
      </c>
      <c r="AD30" s="26">
        <v>0</v>
      </c>
    </row>
    <row r="31" spans="2:30">
      <c r="B31" s="1" t="s">
        <v>11</v>
      </c>
      <c r="C31" s="29">
        <v>0</v>
      </c>
      <c r="D31" s="13">
        <v>0</v>
      </c>
      <c r="E31" s="13">
        <v>0</v>
      </c>
      <c r="F31" s="29">
        <v>0</v>
      </c>
      <c r="G31" s="11">
        <v>0</v>
      </c>
      <c r="H31" s="11">
        <v>0</v>
      </c>
      <c r="I31" s="29">
        <v>0</v>
      </c>
      <c r="J31" s="11">
        <v>0</v>
      </c>
      <c r="K31" s="11">
        <v>0</v>
      </c>
      <c r="L31" s="1">
        <v>3</v>
      </c>
      <c r="M31" s="24">
        <f>L31/46</f>
        <v>6.5217391304347824E-2</v>
      </c>
      <c r="N31" s="24">
        <f>M31/L46*100</f>
        <v>2.1739130434782608</v>
      </c>
      <c r="O31" s="1">
        <v>0</v>
      </c>
      <c r="P31" s="11">
        <v>0</v>
      </c>
      <c r="Q31" s="11">
        <v>0</v>
      </c>
      <c r="R31" s="29">
        <v>0</v>
      </c>
      <c r="S31" s="11">
        <v>0</v>
      </c>
      <c r="T31" s="11">
        <v>0</v>
      </c>
      <c r="U31" s="29">
        <v>0</v>
      </c>
      <c r="V31" s="11">
        <v>0</v>
      </c>
      <c r="W31" s="11">
        <v>0</v>
      </c>
      <c r="X31" s="26">
        <v>0</v>
      </c>
      <c r="Y31" s="26">
        <v>0</v>
      </c>
      <c r="Z31" s="26">
        <v>0</v>
      </c>
      <c r="AA31" s="26">
        <f>3/0.03</f>
        <v>100</v>
      </c>
      <c r="AB31" s="26">
        <f>0/0.02</f>
        <v>0</v>
      </c>
      <c r="AC31" s="26">
        <v>0</v>
      </c>
      <c r="AD31" s="26">
        <v>0</v>
      </c>
    </row>
    <row r="32" spans="2:30">
      <c r="B32" s="1" t="s">
        <v>12</v>
      </c>
      <c r="C32" s="29">
        <v>0</v>
      </c>
      <c r="D32" s="13">
        <v>0</v>
      </c>
      <c r="E32" s="13">
        <v>0</v>
      </c>
      <c r="F32" s="29">
        <v>0</v>
      </c>
      <c r="G32" s="11">
        <v>0</v>
      </c>
      <c r="H32" s="11">
        <v>0</v>
      </c>
      <c r="I32" s="29">
        <v>0</v>
      </c>
      <c r="J32" s="11">
        <v>0</v>
      </c>
      <c r="K32" s="11">
        <v>0</v>
      </c>
      <c r="L32" s="1">
        <v>0</v>
      </c>
      <c r="M32" s="11">
        <v>0</v>
      </c>
      <c r="N32" s="11">
        <v>0</v>
      </c>
      <c r="O32" s="1">
        <v>0</v>
      </c>
      <c r="P32" s="11">
        <v>0</v>
      </c>
      <c r="Q32" s="11">
        <v>0</v>
      </c>
      <c r="R32" s="29">
        <v>0</v>
      </c>
      <c r="S32" s="11">
        <v>0</v>
      </c>
      <c r="T32" s="11">
        <v>0</v>
      </c>
      <c r="U32" s="29">
        <v>0</v>
      </c>
      <c r="V32" s="11">
        <v>0</v>
      </c>
      <c r="W32" s="11">
        <v>0</v>
      </c>
      <c r="X32" s="26">
        <v>0</v>
      </c>
      <c r="Y32" s="26">
        <v>0</v>
      </c>
      <c r="Z32" s="26">
        <v>0</v>
      </c>
      <c r="AA32" s="26">
        <f>0/0.03</f>
        <v>0</v>
      </c>
      <c r="AB32" s="26">
        <f t="shared" ref="AB32:AB33" si="13">0/0.02</f>
        <v>0</v>
      </c>
      <c r="AC32" s="26">
        <v>0</v>
      </c>
      <c r="AD32" s="26">
        <v>0</v>
      </c>
    </row>
    <row r="33" spans="2:30">
      <c r="B33" s="1" t="s">
        <v>13</v>
      </c>
      <c r="C33" s="29">
        <v>0</v>
      </c>
      <c r="D33" s="13">
        <v>0</v>
      </c>
      <c r="E33" s="13">
        <v>0</v>
      </c>
      <c r="F33" s="29">
        <v>0</v>
      </c>
      <c r="G33" s="11">
        <v>0</v>
      </c>
      <c r="H33" s="11">
        <v>0</v>
      </c>
      <c r="I33" s="29">
        <v>0</v>
      </c>
      <c r="J33" s="11">
        <v>0</v>
      </c>
      <c r="K33" s="11">
        <v>0</v>
      </c>
      <c r="L33" s="1">
        <v>0</v>
      </c>
      <c r="M33" s="11">
        <v>0</v>
      </c>
      <c r="N33" s="11">
        <v>0</v>
      </c>
      <c r="O33" s="1">
        <v>0</v>
      </c>
      <c r="P33" s="11">
        <v>0</v>
      </c>
      <c r="Q33" s="11">
        <v>0</v>
      </c>
      <c r="R33" s="29">
        <v>0</v>
      </c>
      <c r="S33" s="11">
        <v>0</v>
      </c>
      <c r="T33" s="11">
        <v>0</v>
      </c>
      <c r="U33" s="29">
        <v>0</v>
      </c>
      <c r="V33" s="11">
        <v>0</v>
      </c>
      <c r="W33" s="11">
        <v>0</v>
      </c>
      <c r="X33" s="26">
        <v>0</v>
      </c>
      <c r="Y33" s="26">
        <v>0</v>
      </c>
      <c r="Z33" s="26">
        <v>0</v>
      </c>
      <c r="AA33" s="26">
        <f t="shared" ref="AA33:AA45" si="14">0/0.03</f>
        <v>0</v>
      </c>
      <c r="AB33" s="26">
        <f t="shared" si="13"/>
        <v>0</v>
      </c>
      <c r="AC33" s="26">
        <v>0</v>
      </c>
      <c r="AD33" s="26">
        <v>0</v>
      </c>
    </row>
    <row r="34" spans="2:30">
      <c r="B34" s="1" t="s">
        <v>14</v>
      </c>
      <c r="C34" s="29">
        <v>0</v>
      </c>
      <c r="D34" s="13">
        <v>0</v>
      </c>
      <c r="E34" s="13">
        <v>0</v>
      </c>
      <c r="F34" s="29">
        <v>0</v>
      </c>
      <c r="G34" s="11">
        <v>0</v>
      </c>
      <c r="H34" s="11">
        <v>0</v>
      </c>
      <c r="I34" s="29">
        <v>0</v>
      </c>
      <c r="J34" s="11">
        <v>0</v>
      </c>
      <c r="K34" s="11">
        <v>0</v>
      </c>
      <c r="L34" s="1">
        <v>0</v>
      </c>
      <c r="M34" s="11">
        <v>0</v>
      </c>
      <c r="N34" s="11">
        <v>0</v>
      </c>
      <c r="O34" s="1">
        <v>1</v>
      </c>
      <c r="P34" s="24">
        <f>O34/16</f>
        <v>6.25E-2</v>
      </c>
      <c r="Q34" s="24">
        <f>P34/O46*100</f>
        <v>3.125</v>
      </c>
      <c r="R34" s="29">
        <v>0</v>
      </c>
      <c r="S34" s="11">
        <v>0</v>
      </c>
      <c r="T34" s="11">
        <v>0</v>
      </c>
      <c r="U34" s="29">
        <v>0</v>
      </c>
      <c r="V34" s="11">
        <v>0</v>
      </c>
      <c r="W34" s="11">
        <v>0</v>
      </c>
      <c r="X34" s="26">
        <v>0</v>
      </c>
      <c r="Y34" s="26">
        <v>0</v>
      </c>
      <c r="Z34" s="26">
        <v>0</v>
      </c>
      <c r="AA34" s="26">
        <f t="shared" si="14"/>
        <v>0</v>
      </c>
      <c r="AB34" s="26">
        <f>1/0.02</f>
        <v>50</v>
      </c>
      <c r="AC34" s="26">
        <v>0</v>
      </c>
      <c r="AD34" s="26">
        <v>0</v>
      </c>
    </row>
    <row r="35" spans="2:30">
      <c r="B35" s="1" t="s">
        <v>15</v>
      </c>
      <c r="C35" s="29">
        <v>0</v>
      </c>
      <c r="D35" s="13">
        <v>0</v>
      </c>
      <c r="E35" s="13">
        <v>0</v>
      </c>
      <c r="F35" s="29">
        <v>0</v>
      </c>
      <c r="G35" s="11">
        <v>0</v>
      </c>
      <c r="H35" s="11">
        <v>0</v>
      </c>
      <c r="I35" s="29">
        <v>0</v>
      </c>
      <c r="J35" s="11">
        <v>0</v>
      </c>
      <c r="K35" s="11">
        <v>0</v>
      </c>
      <c r="L35" s="1">
        <v>0</v>
      </c>
      <c r="M35" s="11">
        <v>0</v>
      </c>
      <c r="N35" s="11">
        <v>0</v>
      </c>
      <c r="O35" s="1">
        <v>0</v>
      </c>
      <c r="P35" s="11">
        <v>0</v>
      </c>
      <c r="Q35" s="11">
        <v>0</v>
      </c>
      <c r="R35" s="29">
        <v>0</v>
      </c>
      <c r="S35" s="11">
        <v>0</v>
      </c>
      <c r="T35" s="11">
        <v>0</v>
      </c>
      <c r="U35" s="29">
        <v>0</v>
      </c>
      <c r="V35" s="11">
        <v>0</v>
      </c>
      <c r="W35" s="11">
        <v>0</v>
      </c>
      <c r="X35" s="26">
        <v>0</v>
      </c>
      <c r="Y35" s="26">
        <v>0</v>
      </c>
      <c r="Z35" s="26">
        <v>0</v>
      </c>
      <c r="AA35" s="26">
        <f t="shared" si="14"/>
        <v>0</v>
      </c>
      <c r="AB35" s="26">
        <f>0/0.02</f>
        <v>0</v>
      </c>
      <c r="AC35" s="26">
        <v>0</v>
      </c>
      <c r="AD35" s="26">
        <v>0</v>
      </c>
    </row>
    <row r="36" spans="2:30">
      <c r="B36" s="1" t="s">
        <v>16</v>
      </c>
      <c r="C36" s="29">
        <v>0</v>
      </c>
      <c r="D36" s="13">
        <v>0</v>
      </c>
      <c r="E36" s="13">
        <v>0</v>
      </c>
      <c r="F36" s="29">
        <v>0</v>
      </c>
      <c r="G36" s="11">
        <v>0</v>
      </c>
      <c r="H36" s="11">
        <v>0</v>
      </c>
      <c r="I36" s="29">
        <v>0</v>
      </c>
      <c r="J36" s="11">
        <v>0</v>
      </c>
      <c r="K36" s="11">
        <v>0</v>
      </c>
      <c r="L36" s="1">
        <v>0</v>
      </c>
      <c r="M36" s="11">
        <v>0</v>
      </c>
      <c r="N36" s="11">
        <v>0</v>
      </c>
      <c r="O36" s="1">
        <v>0</v>
      </c>
      <c r="P36" s="11">
        <v>0</v>
      </c>
      <c r="Q36" s="11">
        <v>0</v>
      </c>
      <c r="R36" s="29">
        <v>0</v>
      </c>
      <c r="S36" s="11">
        <v>0</v>
      </c>
      <c r="T36" s="11">
        <v>0</v>
      </c>
      <c r="U36" s="29">
        <v>0</v>
      </c>
      <c r="V36" s="11">
        <v>0</v>
      </c>
      <c r="W36" s="11">
        <v>0</v>
      </c>
      <c r="X36" s="26">
        <v>0</v>
      </c>
      <c r="Y36" s="26">
        <v>0</v>
      </c>
      <c r="Z36" s="26">
        <v>0</v>
      </c>
      <c r="AA36" s="26">
        <f t="shared" si="14"/>
        <v>0</v>
      </c>
      <c r="AB36" s="26">
        <f t="shared" ref="AB36:AB45" si="15">0/0.02</f>
        <v>0</v>
      </c>
      <c r="AC36" s="26">
        <v>0</v>
      </c>
      <c r="AD36" s="26">
        <v>0</v>
      </c>
    </row>
    <row r="37" spans="2:30">
      <c r="B37" s="1" t="s">
        <v>17</v>
      </c>
      <c r="C37" s="29">
        <v>0</v>
      </c>
      <c r="D37" s="13">
        <v>0</v>
      </c>
      <c r="E37" s="13">
        <v>0</v>
      </c>
      <c r="F37" s="29">
        <v>0</v>
      </c>
      <c r="G37" s="11">
        <v>0</v>
      </c>
      <c r="H37" s="11">
        <v>0</v>
      </c>
      <c r="I37" s="29">
        <v>0</v>
      </c>
      <c r="J37" s="11">
        <v>0</v>
      </c>
      <c r="K37" s="11">
        <v>0</v>
      </c>
      <c r="L37" s="1">
        <v>0</v>
      </c>
      <c r="M37" s="11">
        <v>0</v>
      </c>
      <c r="N37" s="11">
        <v>0</v>
      </c>
      <c r="O37" s="1">
        <v>0</v>
      </c>
      <c r="P37" s="11">
        <v>0</v>
      </c>
      <c r="Q37" s="11">
        <v>0</v>
      </c>
      <c r="R37" s="29">
        <v>0</v>
      </c>
      <c r="S37" s="11">
        <v>0</v>
      </c>
      <c r="T37" s="11">
        <v>0</v>
      </c>
      <c r="U37" s="29">
        <v>0</v>
      </c>
      <c r="V37" s="11">
        <v>0</v>
      </c>
      <c r="W37" s="11">
        <v>0</v>
      </c>
      <c r="X37" s="26">
        <v>0</v>
      </c>
      <c r="Y37" s="26">
        <v>0</v>
      </c>
      <c r="Z37" s="26">
        <v>0</v>
      </c>
      <c r="AA37" s="26">
        <f t="shared" si="14"/>
        <v>0</v>
      </c>
      <c r="AB37" s="26">
        <f t="shared" si="15"/>
        <v>0</v>
      </c>
      <c r="AC37" s="26">
        <v>0</v>
      </c>
      <c r="AD37" s="26">
        <v>0</v>
      </c>
    </row>
    <row r="38" spans="2:30">
      <c r="B38" s="1" t="s">
        <v>18</v>
      </c>
      <c r="C38" s="29">
        <v>0</v>
      </c>
      <c r="D38" s="13">
        <v>0</v>
      </c>
      <c r="E38" s="13">
        <v>0</v>
      </c>
      <c r="F38" s="29">
        <v>0</v>
      </c>
      <c r="G38" s="11">
        <v>0</v>
      </c>
      <c r="H38" s="11">
        <v>0</v>
      </c>
      <c r="I38" s="29">
        <v>0</v>
      </c>
      <c r="J38" s="11">
        <v>0</v>
      </c>
      <c r="K38" s="11">
        <v>0</v>
      </c>
      <c r="L38" s="1">
        <v>0</v>
      </c>
      <c r="M38" s="11">
        <v>0</v>
      </c>
      <c r="N38" s="11">
        <v>0</v>
      </c>
      <c r="O38" s="1">
        <v>0</v>
      </c>
      <c r="P38" s="11">
        <v>0</v>
      </c>
      <c r="Q38" s="11">
        <v>0</v>
      </c>
      <c r="R38" s="29">
        <v>0</v>
      </c>
      <c r="S38" s="11">
        <v>0</v>
      </c>
      <c r="T38" s="11">
        <v>0</v>
      </c>
      <c r="U38" s="29">
        <v>0</v>
      </c>
      <c r="V38" s="11">
        <v>0</v>
      </c>
      <c r="W38" s="11">
        <v>0</v>
      </c>
      <c r="X38" s="26">
        <v>0</v>
      </c>
      <c r="Y38" s="26">
        <v>0</v>
      </c>
      <c r="Z38" s="26">
        <v>0</v>
      </c>
      <c r="AA38" s="26">
        <f t="shared" si="14"/>
        <v>0</v>
      </c>
      <c r="AB38" s="26">
        <f t="shared" si="15"/>
        <v>0</v>
      </c>
      <c r="AC38" s="26">
        <v>0</v>
      </c>
      <c r="AD38" s="26">
        <v>0</v>
      </c>
    </row>
    <row r="39" spans="2:30">
      <c r="B39" s="1" t="s">
        <v>19</v>
      </c>
      <c r="C39" s="29">
        <v>0</v>
      </c>
      <c r="D39" s="13">
        <v>0</v>
      </c>
      <c r="E39" s="13">
        <v>0</v>
      </c>
      <c r="F39" s="29">
        <v>0</v>
      </c>
      <c r="G39" s="11">
        <v>0</v>
      </c>
      <c r="H39" s="11">
        <v>0</v>
      </c>
      <c r="I39" s="29">
        <v>0</v>
      </c>
      <c r="J39" s="11">
        <v>0</v>
      </c>
      <c r="K39" s="11">
        <v>0</v>
      </c>
      <c r="L39" s="1">
        <v>0</v>
      </c>
      <c r="M39" s="11">
        <v>0</v>
      </c>
      <c r="N39" s="11">
        <v>0</v>
      </c>
      <c r="O39" s="1">
        <v>0</v>
      </c>
      <c r="P39" s="11">
        <v>0</v>
      </c>
      <c r="Q39" s="11">
        <v>0</v>
      </c>
      <c r="R39" s="29">
        <v>0</v>
      </c>
      <c r="S39" s="11">
        <v>0</v>
      </c>
      <c r="T39" s="11">
        <v>0</v>
      </c>
      <c r="U39" s="29">
        <v>0</v>
      </c>
      <c r="V39" s="11">
        <v>0</v>
      </c>
      <c r="W39" s="11">
        <v>0</v>
      </c>
      <c r="X39" s="26">
        <v>0</v>
      </c>
      <c r="Y39" s="26">
        <v>0</v>
      </c>
      <c r="Z39" s="26">
        <v>0</v>
      </c>
      <c r="AA39" s="26">
        <f t="shared" si="14"/>
        <v>0</v>
      </c>
      <c r="AB39" s="26">
        <f t="shared" si="15"/>
        <v>0</v>
      </c>
      <c r="AC39" s="26">
        <v>0</v>
      </c>
      <c r="AD39" s="26">
        <v>0</v>
      </c>
    </row>
    <row r="40" spans="2:30">
      <c r="B40" s="1" t="s">
        <v>20</v>
      </c>
      <c r="C40" s="29">
        <v>0</v>
      </c>
      <c r="D40" s="13">
        <v>0</v>
      </c>
      <c r="E40" s="13">
        <v>0</v>
      </c>
      <c r="F40" s="29">
        <v>0</v>
      </c>
      <c r="G40" s="11">
        <v>0</v>
      </c>
      <c r="H40" s="11">
        <v>0</v>
      </c>
      <c r="I40" s="29">
        <v>0</v>
      </c>
      <c r="J40" s="11">
        <v>0</v>
      </c>
      <c r="K40" s="11">
        <v>0</v>
      </c>
      <c r="L40" s="1">
        <v>0</v>
      </c>
      <c r="M40" s="11">
        <v>0</v>
      </c>
      <c r="N40" s="11">
        <v>0</v>
      </c>
      <c r="O40" s="1">
        <v>0</v>
      </c>
      <c r="P40" s="11">
        <v>0</v>
      </c>
      <c r="Q40" s="11">
        <v>0</v>
      </c>
      <c r="R40" s="29">
        <v>0</v>
      </c>
      <c r="S40" s="11">
        <v>0</v>
      </c>
      <c r="T40" s="11">
        <v>0</v>
      </c>
      <c r="U40" s="29">
        <v>0</v>
      </c>
      <c r="V40" s="11">
        <v>0</v>
      </c>
      <c r="W40" s="11">
        <v>0</v>
      </c>
      <c r="X40" s="26">
        <v>0</v>
      </c>
      <c r="Y40" s="26">
        <v>0</v>
      </c>
      <c r="Z40" s="26">
        <v>0</v>
      </c>
      <c r="AA40" s="26">
        <f t="shared" si="14"/>
        <v>0</v>
      </c>
      <c r="AB40" s="26">
        <f t="shared" si="15"/>
        <v>0</v>
      </c>
      <c r="AC40" s="26">
        <v>0</v>
      </c>
      <c r="AD40" s="26">
        <v>0</v>
      </c>
    </row>
    <row r="41" spans="2:30">
      <c r="B41" s="1" t="s">
        <v>21</v>
      </c>
      <c r="C41" s="29">
        <v>0</v>
      </c>
      <c r="D41" s="13">
        <v>0</v>
      </c>
      <c r="E41" s="13">
        <v>0</v>
      </c>
      <c r="F41" s="29">
        <v>0</v>
      </c>
      <c r="G41" s="11">
        <v>0</v>
      </c>
      <c r="H41" s="11">
        <v>0</v>
      </c>
      <c r="I41" s="29">
        <v>0</v>
      </c>
      <c r="J41" s="11">
        <v>0</v>
      </c>
      <c r="K41" s="11">
        <v>0</v>
      </c>
      <c r="L41" s="1">
        <v>0</v>
      </c>
      <c r="M41" s="11">
        <v>0</v>
      </c>
      <c r="N41" s="11">
        <v>0</v>
      </c>
      <c r="O41" s="1">
        <v>0</v>
      </c>
      <c r="P41" s="11">
        <v>0</v>
      </c>
      <c r="Q41" s="11">
        <v>0</v>
      </c>
      <c r="R41" s="29">
        <v>0</v>
      </c>
      <c r="S41" s="11">
        <v>0</v>
      </c>
      <c r="T41" s="11">
        <v>0</v>
      </c>
      <c r="U41" s="29">
        <v>0</v>
      </c>
      <c r="V41" s="11">
        <v>0</v>
      </c>
      <c r="W41" s="11">
        <v>0</v>
      </c>
      <c r="X41" s="26">
        <v>0</v>
      </c>
      <c r="Y41" s="26">
        <v>0</v>
      </c>
      <c r="Z41" s="26">
        <v>0</v>
      </c>
      <c r="AA41" s="26">
        <f t="shared" si="14"/>
        <v>0</v>
      </c>
      <c r="AB41" s="26">
        <f t="shared" si="15"/>
        <v>0</v>
      </c>
      <c r="AC41" s="26">
        <v>0</v>
      </c>
      <c r="AD41" s="26">
        <v>0</v>
      </c>
    </row>
    <row r="42" spans="2:30">
      <c r="B42" s="1" t="s">
        <v>22</v>
      </c>
      <c r="C42" s="29">
        <v>0</v>
      </c>
      <c r="D42" s="13">
        <v>0</v>
      </c>
      <c r="E42" s="13">
        <v>0</v>
      </c>
      <c r="F42" s="29">
        <v>0</v>
      </c>
      <c r="G42" s="11">
        <v>0</v>
      </c>
      <c r="H42" s="11">
        <v>0</v>
      </c>
      <c r="I42" s="29">
        <v>0</v>
      </c>
      <c r="J42" s="11">
        <v>0</v>
      </c>
      <c r="K42" s="11">
        <v>0</v>
      </c>
      <c r="L42" s="1">
        <v>0</v>
      </c>
      <c r="M42" s="11">
        <v>0</v>
      </c>
      <c r="N42" s="11">
        <v>0</v>
      </c>
      <c r="O42" s="1">
        <v>0</v>
      </c>
      <c r="P42" s="11">
        <v>0</v>
      </c>
      <c r="Q42" s="11">
        <v>0</v>
      </c>
      <c r="R42" s="29">
        <v>0</v>
      </c>
      <c r="S42" s="11">
        <v>0</v>
      </c>
      <c r="T42" s="11">
        <v>0</v>
      </c>
      <c r="U42" s="29">
        <v>0</v>
      </c>
      <c r="V42" s="11">
        <v>0</v>
      </c>
      <c r="W42" s="11">
        <v>0</v>
      </c>
      <c r="X42" s="26">
        <v>0</v>
      </c>
      <c r="Y42" s="26">
        <v>0</v>
      </c>
      <c r="Z42" s="26">
        <v>0</v>
      </c>
      <c r="AA42" s="26">
        <f t="shared" si="14"/>
        <v>0</v>
      </c>
      <c r="AB42" s="26">
        <f t="shared" si="15"/>
        <v>0</v>
      </c>
      <c r="AC42" s="26">
        <v>0</v>
      </c>
      <c r="AD42" s="26">
        <v>0</v>
      </c>
    </row>
    <row r="43" spans="2:30">
      <c r="B43" s="1" t="s">
        <v>23</v>
      </c>
      <c r="C43" s="29">
        <v>0</v>
      </c>
      <c r="D43" s="13">
        <v>0</v>
      </c>
      <c r="E43" s="13">
        <v>0</v>
      </c>
      <c r="F43" s="29">
        <v>0</v>
      </c>
      <c r="G43" s="11">
        <v>0</v>
      </c>
      <c r="H43" s="11">
        <v>0</v>
      </c>
      <c r="I43" s="29">
        <v>0</v>
      </c>
      <c r="J43" s="11">
        <v>0</v>
      </c>
      <c r="K43" s="11">
        <v>0</v>
      </c>
      <c r="L43" s="1">
        <v>0</v>
      </c>
      <c r="M43" s="11">
        <v>0</v>
      </c>
      <c r="N43" s="11">
        <v>0</v>
      </c>
      <c r="O43" s="1">
        <v>0</v>
      </c>
      <c r="P43" s="11">
        <v>0</v>
      </c>
      <c r="Q43" s="11">
        <v>0</v>
      </c>
      <c r="R43" s="29">
        <v>0</v>
      </c>
      <c r="S43" s="11">
        <v>0</v>
      </c>
      <c r="T43" s="11">
        <v>0</v>
      </c>
      <c r="U43" s="29">
        <v>0</v>
      </c>
      <c r="V43" s="11">
        <v>0</v>
      </c>
      <c r="W43" s="11">
        <v>0</v>
      </c>
      <c r="X43" s="26">
        <v>0</v>
      </c>
      <c r="Y43" s="26">
        <v>0</v>
      </c>
      <c r="Z43" s="26">
        <v>0</v>
      </c>
      <c r="AA43" s="26">
        <f t="shared" si="14"/>
        <v>0</v>
      </c>
      <c r="AB43" s="26">
        <f t="shared" si="15"/>
        <v>0</v>
      </c>
      <c r="AC43" s="26">
        <v>0</v>
      </c>
      <c r="AD43" s="26">
        <v>0</v>
      </c>
    </row>
    <row r="44" spans="2:30">
      <c r="B44" s="1" t="s">
        <v>24</v>
      </c>
      <c r="C44" s="29">
        <v>0</v>
      </c>
      <c r="D44" s="13">
        <v>0</v>
      </c>
      <c r="E44" s="13">
        <v>0</v>
      </c>
      <c r="F44" s="29">
        <v>0</v>
      </c>
      <c r="G44" s="11">
        <v>0</v>
      </c>
      <c r="H44" s="11">
        <v>0</v>
      </c>
      <c r="I44" s="29">
        <v>0</v>
      </c>
      <c r="J44" s="11">
        <v>0</v>
      </c>
      <c r="K44" s="11">
        <v>0</v>
      </c>
      <c r="L44" s="1">
        <v>0</v>
      </c>
      <c r="M44" s="11">
        <v>0</v>
      </c>
      <c r="N44" s="11">
        <v>0</v>
      </c>
      <c r="O44" s="1">
        <v>0</v>
      </c>
      <c r="P44" s="11">
        <v>0</v>
      </c>
      <c r="Q44" s="11">
        <v>0</v>
      </c>
      <c r="R44" s="29">
        <v>0</v>
      </c>
      <c r="S44" s="11">
        <v>0</v>
      </c>
      <c r="T44" s="11">
        <v>0</v>
      </c>
      <c r="U44" s="29">
        <v>0</v>
      </c>
      <c r="V44" s="11">
        <v>0</v>
      </c>
      <c r="W44" s="11">
        <v>0</v>
      </c>
      <c r="X44" s="26">
        <v>0</v>
      </c>
      <c r="Y44" s="26">
        <v>0</v>
      </c>
      <c r="Z44" s="26">
        <v>0</v>
      </c>
      <c r="AA44" s="26">
        <f t="shared" si="14"/>
        <v>0</v>
      </c>
      <c r="AB44" s="26">
        <f t="shared" si="15"/>
        <v>0</v>
      </c>
      <c r="AC44" s="26">
        <v>0</v>
      </c>
      <c r="AD44" s="26">
        <v>0</v>
      </c>
    </row>
    <row r="45" spans="2:30">
      <c r="B45" s="1" t="s">
        <v>25</v>
      </c>
      <c r="C45" s="29">
        <v>0</v>
      </c>
      <c r="D45" s="13">
        <v>0</v>
      </c>
      <c r="E45" s="13">
        <v>0</v>
      </c>
      <c r="F45" s="29">
        <v>0</v>
      </c>
      <c r="G45" s="11">
        <v>0</v>
      </c>
      <c r="H45" s="11">
        <v>0</v>
      </c>
      <c r="I45" s="29">
        <v>0</v>
      </c>
      <c r="J45" s="11">
        <v>0</v>
      </c>
      <c r="K45" s="11">
        <v>0</v>
      </c>
      <c r="L45" s="1">
        <v>0</v>
      </c>
      <c r="M45" s="11">
        <v>0</v>
      </c>
      <c r="N45" s="11">
        <v>0</v>
      </c>
      <c r="O45" s="1">
        <v>0</v>
      </c>
      <c r="P45" s="11">
        <v>0</v>
      </c>
      <c r="Q45" s="11">
        <v>0</v>
      </c>
      <c r="R45" s="29">
        <v>0</v>
      </c>
      <c r="S45" s="11">
        <v>0</v>
      </c>
      <c r="T45" s="11">
        <v>0</v>
      </c>
      <c r="U45" s="29">
        <v>0</v>
      </c>
      <c r="V45" s="11">
        <v>0</v>
      </c>
      <c r="W45" s="11">
        <v>0</v>
      </c>
      <c r="X45" s="26">
        <v>0</v>
      </c>
      <c r="Y45" s="26">
        <v>0</v>
      </c>
      <c r="Z45" s="26">
        <v>0</v>
      </c>
      <c r="AA45" s="26">
        <f t="shared" si="14"/>
        <v>0</v>
      </c>
      <c r="AB45" s="26">
        <f t="shared" si="15"/>
        <v>0</v>
      </c>
      <c r="AC45" s="26">
        <v>0</v>
      </c>
      <c r="AD45" s="26">
        <v>0</v>
      </c>
    </row>
    <row r="46" spans="2:30">
      <c r="B46" s="1" t="s">
        <v>26</v>
      </c>
      <c r="C46" s="29">
        <f>SUM(C28:C45)</f>
        <v>0</v>
      </c>
      <c r="D46" s="13">
        <v>0</v>
      </c>
      <c r="E46" s="13">
        <f>D46/C48*100</f>
        <v>0</v>
      </c>
      <c r="F46" s="29">
        <f>SUM(F28:F45)</f>
        <v>0</v>
      </c>
      <c r="G46" s="12">
        <v>0</v>
      </c>
      <c r="H46" s="13">
        <f>G46/C48*100</f>
        <v>0</v>
      </c>
      <c r="I46" s="29">
        <f>SUM(I28:I45)</f>
        <v>0</v>
      </c>
      <c r="J46" s="12">
        <v>0</v>
      </c>
      <c r="K46" s="13">
        <f>J46/C48*100</f>
        <v>0</v>
      </c>
      <c r="L46" s="1">
        <f>SUM(L28:L45)</f>
        <v>3</v>
      </c>
      <c r="M46" s="12">
        <f>L46/46</f>
        <v>6.5217391304347824E-2</v>
      </c>
      <c r="N46" s="13">
        <f>M46/C48*100</f>
        <v>1.3043478260869565</v>
      </c>
      <c r="O46" s="1">
        <f>SUM(O28:O45)</f>
        <v>2</v>
      </c>
      <c r="P46" s="12">
        <f>O46/16</f>
        <v>0.125</v>
      </c>
      <c r="Q46" s="12">
        <f>P46/C48*100</f>
        <v>2.5</v>
      </c>
      <c r="R46" s="29">
        <f>SUM(R28:R45)</f>
        <v>0</v>
      </c>
      <c r="S46" s="13">
        <v>0</v>
      </c>
      <c r="T46" s="13">
        <f>S46/C48*100</f>
        <v>0</v>
      </c>
      <c r="U46" s="29">
        <f>SUM(U29:U45)</f>
        <v>0</v>
      </c>
      <c r="V46" s="11">
        <v>0</v>
      </c>
      <c r="W46" s="13">
        <f>V46/C48*100</f>
        <v>0</v>
      </c>
      <c r="X46" s="26">
        <v>0</v>
      </c>
      <c r="Y46" s="26">
        <v>0</v>
      </c>
      <c r="Z46" s="26">
        <v>0</v>
      </c>
      <c r="AA46" s="26">
        <f>SUM(AA28:AA45)</f>
        <v>100</v>
      </c>
      <c r="AB46" s="26">
        <f>SUM(AB28:AB45)</f>
        <v>100</v>
      </c>
      <c r="AC46" s="26">
        <v>0</v>
      </c>
      <c r="AD46" s="26">
        <v>0</v>
      </c>
    </row>
    <row r="48" spans="2:30">
      <c r="B48" s="27" t="s">
        <v>60</v>
      </c>
      <c r="C48" s="27">
        <f>L46+O46</f>
        <v>5</v>
      </c>
    </row>
    <row r="50" spans="2:30" ht="15.75">
      <c r="B50" s="36" t="s">
        <v>55</v>
      </c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7"/>
      <c r="W50" s="37"/>
      <c r="X50" s="37"/>
      <c r="Y50" s="37"/>
      <c r="Z50" s="37"/>
      <c r="AA50" s="37"/>
      <c r="AB50" s="37"/>
      <c r="AC50" s="37"/>
      <c r="AD50" s="37"/>
    </row>
    <row r="51" spans="2:30">
      <c r="B51" s="5" t="s">
        <v>0</v>
      </c>
      <c r="C51" s="5" t="s">
        <v>36</v>
      </c>
      <c r="D51" s="6" t="s">
        <v>34</v>
      </c>
      <c r="E51" s="7" t="s">
        <v>35</v>
      </c>
      <c r="F51" s="5" t="s">
        <v>37</v>
      </c>
      <c r="G51" s="6" t="s">
        <v>34</v>
      </c>
      <c r="H51" s="7" t="s">
        <v>35</v>
      </c>
      <c r="I51" s="5" t="s">
        <v>3</v>
      </c>
      <c r="J51" s="6" t="s">
        <v>34</v>
      </c>
      <c r="K51" s="7" t="s">
        <v>35</v>
      </c>
      <c r="L51" s="5" t="s">
        <v>38</v>
      </c>
      <c r="M51" s="6" t="s">
        <v>34</v>
      </c>
      <c r="N51" s="7" t="s">
        <v>35</v>
      </c>
      <c r="O51" s="5" t="s">
        <v>39</v>
      </c>
      <c r="P51" s="6" t="s">
        <v>34</v>
      </c>
      <c r="Q51" s="7" t="s">
        <v>35</v>
      </c>
      <c r="R51" s="5" t="s">
        <v>40</v>
      </c>
      <c r="S51" s="6" t="s">
        <v>34</v>
      </c>
      <c r="T51" s="7" t="s">
        <v>35</v>
      </c>
      <c r="U51" s="5" t="s">
        <v>31</v>
      </c>
      <c r="V51" s="6" t="s">
        <v>34</v>
      </c>
      <c r="W51" s="7" t="s">
        <v>35</v>
      </c>
      <c r="X51" s="7" t="s">
        <v>46</v>
      </c>
      <c r="Y51" s="7" t="s">
        <v>47</v>
      </c>
      <c r="Z51" s="7" t="s">
        <v>48</v>
      </c>
      <c r="AA51" s="7" t="s">
        <v>49</v>
      </c>
      <c r="AB51" s="7" t="s">
        <v>50</v>
      </c>
      <c r="AC51" s="7" t="s">
        <v>51</v>
      </c>
      <c r="AD51" s="7" t="s">
        <v>52</v>
      </c>
    </row>
    <row r="52" spans="2:30">
      <c r="B52" s="1" t="s">
        <v>8</v>
      </c>
      <c r="C52" s="1">
        <v>0</v>
      </c>
      <c r="D52" s="13">
        <v>0</v>
      </c>
      <c r="E52" s="13">
        <v>0</v>
      </c>
      <c r="F52" s="1">
        <v>0</v>
      </c>
      <c r="G52" s="11">
        <v>0</v>
      </c>
      <c r="H52" s="11">
        <v>0</v>
      </c>
      <c r="I52" s="1">
        <v>0</v>
      </c>
      <c r="J52" s="11">
        <v>0</v>
      </c>
      <c r="K52" s="11">
        <v>0</v>
      </c>
      <c r="L52" s="18">
        <v>0</v>
      </c>
      <c r="M52" s="11">
        <v>0</v>
      </c>
      <c r="N52" s="11">
        <v>0</v>
      </c>
      <c r="O52" s="18">
        <v>0</v>
      </c>
      <c r="P52" s="11">
        <v>0</v>
      </c>
      <c r="Q52" s="11">
        <v>0</v>
      </c>
      <c r="R52" s="18">
        <v>0</v>
      </c>
      <c r="S52" s="11">
        <v>0</v>
      </c>
      <c r="T52" s="11">
        <v>0</v>
      </c>
      <c r="U52" s="18">
        <v>0</v>
      </c>
      <c r="V52" s="11">
        <v>0</v>
      </c>
      <c r="W52" s="11">
        <v>0</v>
      </c>
      <c r="X52" s="26">
        <f>0/0.01</f>
        <v>0</v>
      </c>
      <c r="Y52" s="26">
        <f>0/0.04</f>
        <v>0</v>
      </c>
      <c r="Z52" s="26">
        <f>0/3.15</f>
        <v>0</v>
      </c>
      <c r="AA52" s="26">
        <f>0/0.27</f>
        <v>0</v>
      </c>
      <c r="AB52" s="26">
        <f>0/0.17</f>
        <v>0</v>
      </c>
      <c r="AC52" s="26">
        <f>0/0.23</f>
        <v>0</v>
      </c>
      <c r="AD52" s="26">
        <f>0/0.64</f>
        <v>0</v>
      </c>
    </row>
    <row r="53" spans="2:30">
      <c r="B53" s="1" t="s">
        <v>9</v>
      </c>
      <c r="C53" s="1">
        <v>0</v>
      </c>
      <c r="D53" s="13">
        <v>0</v>
      </c>
      <c r="E53" s="13">
        <v>0</v>
      </c>
      <c r="F53" s="1">
        <v>0</v>
      </c>
      <c r="G53" s="11">
        <v>0</v>
      </c>
      <c r="H53" s="11">
        <v>0</v>
      </c>
      <c r="I53" s="1">
        <v>0</v>
      </c>
      <c r="J53" s="11">
        <v>0</v>
      </c>
      <c r="K53" s="11">
        <v>0</v>
      </c>
      <c r="L53" s="18">
        <v>0</v>
      </c>
      <c r="M53" s="11">
        <v>0</v>
      </c>
      <c r="N53" s="11">
        <v>0</v>
      </c>
      <c r="O53" s="18">
        <v>0</v>
      </c>
      <c r="P53" s="11">
        <v>0</v>
      </c>
      <c r="Q53" s="11">
        <v>0</v>
      </c>
      <c r="R53" s="18">
        <v>0</v>
      </c>
      <c r="S53" s="11">
        <v>0</v>
      </c>
      <c r="T53" s="11">
        <v>0</v>
      </c>
      <c r="U53" s="18">
        <v>0</v>
      </c>
      <c r="V53" s="11">
        <v>0</v>
      </c>
      <c r="W53" s="11">
        <v>0</v>
      </c>
      <c r="X53" s="26">
        <f t="shared" ref="X53:X54" si="16">0/0.01</f>
        <v>0</v>
      </c>
      <c r="Y53" s="26">
        <f>0/0.04</f>
        <v>0</v>
      </c>
      <c r="Z53" s="26">
        <f>0/3.15</f>
        <v>0</v>
      </c>
      <c r="AA53" s="26">
        <f>0/0.27</f>
        <v>0</v>
      </c>
      <c r="AB53" s="26">
        <f>0/0.17</f>
        <v>0</v>
      </c>
      <c r="AC53" s="26">
        <f>0/0.23</f>
        <v>0</v>
      </c>
      <c r="AD53" s="26">
        <f>0/0.64</f>
        <v>0</v>
      </c>
    </row>
    <row r="54" spans="2:30">
      <c r="B54" s="1" t="s">
        <v>10</v>
      </c>
      <c r="C54" s="1">
        <v>0</v>
      </c>
      <c r="D54" s="13">
        <v>0</v>
      </c>
      <c r="E54" s="13">
        <v>0</v>
      </c>
      <c r="F54" s="1">
        <v>0</v>
      </c>
      <c r="G54" s="11">
        <v>0</v>
      </c>
      <c r="H54" s="11">
        <v>0</v>
      </c>
      <c r="I54" s="1">
        <v>0</v>
      </c>
      <c r="J54" s="11">
        <v>0</v>
      </c>
      <c r="K54" s="11">
        <v>0</v>
      </c>
      <c r="L54" s="18">
        <v>1</v>
      </c>
      <c r="M54" s="25">
        <f>L54/46</f>
        <v>2.1739130434782608E-2</v>
      </c>
      <c r="N54" s="25">
        <f>M54/L70*100</f>
        <v>8.0515297906602251E-2</v>
      </c>
      <c r="O54" s="18">
        <v>10</v>
      </c>
      <c r="P54" s="25">
        <f>O54/16</f>
        <v>0.625</v>
      </c>
      <c r="Q54" s="25">
        <f>P54/O70*100</f>
        <v>3.6764705882352944</v>
      </c>
      <c r="R54" s="18">
        <v>23</v>
      </c>
      <c r="S54" s="25">
        <f>R54/18</f>
        <v>1.2777777777777777</v>
      </c>
      <c r="T54" s="25">
        <f>S54/R70*100</f>
        <v>5.5555555555555554</v>
      </c>
      <c r="U54" s="18">
        <v>63</v>
      </c>
      <c r="V54" s="13">
        <f>U54/16</f>
        <v>3.9375</v>
      </c>
      <c r="W54" s="13">
        <f>V54/U70*100</f>
        <v>6.15234375</v>
      </c>
      <c r="X54" s="26">
        <f t="shared" si="16"/>
        <v>0</v>
      </c>
      <c r="Y54" s="26">
        <f>0/0.04</f>
        <v>0</v>
      </c>
      <c r="Z54" s="26">
        <f>0/3.15</f>
        <v>0</v>
      </c>
      <c r="AA54" s="26">
        <f>1/0.27</f>
        <v>3.7037037037037033</v>
      </c>
      <c r="AB54" s="26">
        <f>10/0.17</f>
        <v>58.823529411764703</v>
      </c>
      <c r="AC54" s="26">
        <f>23/0.23</f>
        <v>100</v>
      </c>
      <c r="AD54" s="26">
        <f>63/0.64</f>
        <v>98.4375</v>
      </c>
    </row>
    <row r="55" spans="2:30">
      <c r="B55" s="1" t="s">
        <v>11</v>
      </c>
      <c r="C55" s="1">
        <v>1</v>
      </c>
      <c r="D55" s="22">
        <f>C55/467</f>
        <v>2.1413276231263384E-3</v>
      </c>
      <c r="E55" s="22">
        <f>D55/C70*100</f>
        <v>0.21413276231263384</v>
      </c>
      <c r="F55" s="1">
        <v>2</v>
      </c>
      <c r="G55" s="24">
        <f>F55/99</f>
        <v>2.0202020202020204E-2</v>
      </c>
      <c r="H55" s="24">
        <f>G55/F70*100</f>
        <v>0.50505050505050508</v>
      </c>
      <c r="I55" s="1">
        <v>71</v>
      </c>
      <c r="J55" s="24">
        <f>I55/140</f>
        <v>0.50714285714285712</v>
      </c>
      <c r="K55" s="24">
        <f>J55/I70*100</f>
        <v>0.16099773242630383</v>
      </c>
      <c r="L55" s="18">
        <v>21</v>
      </c>
      <c r="M55" s="25">
        <f>L55/46</f>
        <v>0.45652173913043476</v>
      </c>
      <c r="N55" s="25">
        <f>M55/L70*100</f>
        <v>1.6908212560386473</v>
      </c>
      <c r="O55" s="18">
        <v>0</v>
      </c>
      <c r="P55" s="25">
        <v>0</v>
      </c>
      <c r="Q55" s="25">
        <v>0</v>
      </c>
      <c r="R55" s="18">
        <v>0</v>
      </c>
      <c r="S55" s="25">
        <v>0</v>
      </c>
      <c r="T55" s="25">
        <v>0</v>
      </c>
      <c r="U55" s="18">
        <v>0</v>
      </c>
      <c r="V55" s="13">
        <v>0</v>
      </c>
      <c r="W55" s="13">
        <v>0</v>
      </c>
      <c r="X55" s="26">
        <f>1/0.01</f>
        <v>100</v>
      </c>
      <c r="Y55" s="26">
        <f>2/0.04</f>
        <v>50</v>
      </c>
      <c r="Z55" s="26">
        <f>71/3.15</f>
        <v>22.539682539682541</v>
      </c>
      <c r="AA55" s="26">
        <f>21/0.27</f>
        <v>77.777777777777771</v>
      </c>
      <c r="AB55" s="26">
        <f>0/0.17</f>
        <v>0</v>
      </c>
      <c r="AC55" s="26">
        <f>0/0.23</f>
        <v>0</v>
      </c>
      <c r="AD55" s="26">
        <f>0/0.64</f>
        <v>0</v>
      </c>
    </row>
    <row r="56" spans="2:30">
      <c r="B56" s="1" t="s">
        <v>12</v>
      </c>
      <c r="C56" s="1">
        <v>0</v>
      </c>
      <c r="D56" s="13">
        <v>0</v>
      </c>
      <c r="E56" s="13">
        <v>0</v>
      </c>
      <c r="F56" s="1">
        <v>0</v>
      </c>
      <c r="G56" s="11">
        <v>0</v>
      </c>
      <c r="H56" s="11">
        <v>0</v>
      </c>
      <c r="I56" s="1">
        <v>0</v>
      </c>
      <c r="J56" s="11">
        <v>0</v>
      </c>
      <c r="K56" s="11">
        <v>0</v>
      </c>
      <c r="L56" s="18">
        <v>0</v>
      </c>
      <c r="M56" s="25">
        <v>0</v>
      </c>
      <c r="N56" s="25">
        <v>0</v>
      </c>
      <c r="O56" s="18">
        <v>0</v>
      </c>
      <c r="P56" s="25">
        <v>0</v>
      </c>
      <c r="Q56" s="25">
        <v>0</v>
      </c>
      <c r="R56" s="18">
        <v>0</v>
      </c>
      <c r="S56" s="25">
        <v>0</v>
      </c>
      <c r="T56" s="25">
        <v>0</v>
      </c>
      <c r="U56" s="18">
        <v>0</v>
      </c>
      <c r="V56" s="13">
        <v>0</v>
      </c>
      <c r="W56" s="13">
        <v>0</v>
      </c>
      <c r="X56" s="26">
        <f>0/0.01</f>
        <v>0</v>
      </c>
      <c r="Y56" s="26">
        <f>0/0.04</f>
        <v>0</v>
      </c>
      <c r="Z56" s="26">
        <f>0/3.15</f>
        <v>0</v>
      </c>
      <c r="AA56" s="26">
        <f>0/0.27</f>
        <v>0</v>
      </c>
      <c r="AB56" s="26">
        <f t="shared" ref="AB56:AB57" si="17">0/0.17</f>
        <v>0</v>
      </c>
      <c r="AC56" s="26">
        <f t="shared" ref="AC56:AC69" si="18">0/0.23</f>
        <v>0</v>
      </c>
      <c r="AD56" s="26">
        <f t="shared" ref="AD56:AD67" si="19">0/0.64</f>
        <v>0</v>
      </c>
    </row>
    <row r="57" spans="2:30">
      <c r="B57" s="1" t="s">
        <v>13</v>
      </c>
      <c r="C57" s="1">
        <v>0</v>
      </c>
      <c r="D57" s="13">
        <v>0</v>
      </c>
      <c r="E57" s="13">
        <v>0</v>
      </c>
      <c r="F57" s="1">
        <v>0</v>
      </c>
      <c r="G57" s="11">
        <v>0</v>
      </c>
      <c r="H57" s="11">
        <v>0</v>
      </c>
      <c r="I57" s="1">
        <v>0</v>
      </c>
      <c r="J57" s="11">
        <v>0</v>
      </c>
      <c r="K57" s="11">
        <v>0</v>
      </c>
      <c r="L57" s="18">
        <v>0</v>
      </c>
      <c r="M57" s="25">
        <v>0</v>
      </c>
      <c r="N57" s="25">
        <v>0</v>
      </c>
      <c r="O57" s="18">
        <v>0</v>
      </c>
      <c r="P57" s="25">
        <v>0</v>
      </c>
      <c r="Q57" s="25">
        <v>0</v>
      </c>
      <c r="R57" s="18">
        <v>0</v>
      </c>
      <c r="S57" s="25">
        <v>0</v>
      </c>
      <c r="T57" s="25">
        <v>0</v>
      </c>
      <c r="U57" s="18">
        <v>0</v>
      </c>
      <c r="V57" s="13">
        <v>0</v>
      </c>
      <c r="W57" s="13">
        <v>0</v>
      </c>
      <c r="X57" s="26">
        <f t="shared" ref="X57:X69" si="20">0/0.01</f>
        <v>0</v>
      </c>
      <c r="Y57" s="26">
        <f t="shared" ref="Y57:Y59" si="21">0/0.04</f>
        <v>0</v>
      </c>
      <c r="Z57" s="26">
        <f>0/3.15</f>
        <v>0</v>
      </c>
      <c r="AA57" s="26">
        <f t="shared" ref="AA57:AA59" si="22">0/0.27</f>
        <v>0</v>
      </c>
      <c r="AB57" s="26">
        <f t="shared" si="17"/>
        <v>0</v>
      </c>
      <c r="AC57" s="26">
        <f t="shared" si="18"/>
        <v>0</v>
      </c>
      <c r="AD57" s="26">
        <f t="shared" si="19"/>
        <v>0</v>
      </c>
    </row>
    <row r="58" spans="2:30">
      <c r="B58" s="1" t="s">
        <v>14</v>
      </c>
      <c r="C58" s="1">
        <v>0</v>
      </c>
      <c r="D58" s="13">
        <v>0</v>
      </c>
      <c r="E58" s="13">
        <v>0</v>
      </c>
      <c r="F58" s="1">
        <v>0</v>
      </c>
      <c r="G58" s="11">
        <v>0</v>
      </c>
      <c r="H58" s="11">
        <v>0</v>
      </c>
      <c r="I58" s="1">
        <v>26</v>
      </c>
      <c r="J58" s="11">
        <v>0</v>
      </c>
      <c r="K58" s="11">
        <v>0</v>
      </c>
      <c r="L58" s="18">
        <v>0</v>
      </c>
      <c r="M58" s="25">
        <v>0</v>
      </c>
      <c r="N58" s="25">
        <v>0</v>
      </c>
      <c r="O58" s="18">
        <v>1</v>
      </c>
      <c r="P58" s="25">
        <f>O58/16</f>
        <v>6.25E-2</v>
      </c>
      <c r="Q58" s="25">
        <f>P58/O70*100</f>
        <v>0.36764705882352938</v>
      </c>
      <c r="R58" s="18">
        <v>0</v>
      </c>
      <c r="S58" s="25">
        <v>0</v>
      </c>
      <c r="T58" s="25">
        <v>0</v>
      </c>
      <c r="U58" s="18">
        <v>0</v>
      </c>
      <c r="V58" s="13">
        <v>0</v>
      </c>
      <c r="W58" s="13">
        <v>0</v>
      </c>
      <c r="X58" s="26">
        <f t="shared" si="20"/>
        <v>0</v>
      </c>
      <c r="Y58" s="26">
        <f t="shared" si="21"/>
        <v>0</v>
      </c>
      <c r="Z58" s="26">
        <f>26/3.15</f>
        <v>8.2539682539682548</v>
      </c>
      <c r="AA58" s="26">
        <f t="shared" si="22"/>
        <v>0</v>
      </c>
      <c r="AB58" s="26">
        <f>1/0.17</f>
        <v>5.8823529411764701</v>
      </c>
      <c r="AC58" s="26">
        <f t="shared" si="18"/>
        <v>0</v>
      </c>
      <c r="AD58" s="26">
        <f t="shared" si="19"/>
        <v>0</v>
      </c>
    </row>
    <row r="59" spans="2:30">
      <c r="B59" s="1" t="s">
        <v>15</v>
      </c>
      <c r="C59" s="1">
        <v>0</v>
      </c>
      <c r="D59" s="13">
        <v>0</v>
      </c>
      <c r="E59" s="13">
        <v>0</v>
      </c>
      <c r="F59" s="1">
        <v>0</v>
      </c>
      <c r="G59" s="11">
        <v>0</v>
      </c>
      <c r="H59" s="11">
        <v>0</v>
      </c>
      <c r="I59" s="1">
        <v>31</v>
      </c>
      <c r="J59" s="24">
        <f>I59/140</f>
        <v>0.22142857142857142</v>
      </c>
      <c r="K59" s="24">
        <f>J59/I70*100</f>
        <v>7.029478458049887E-2</v>
      </c>
      <c r="L59" s="18">
        <v>0</v>
      </c>
      <c r="M59" s="25">
        <v>0</v>
      </c>
      <c r="N59" s="25">
        <v>0</v>
      </c>
      <c r="O59" s="18">
        <v>0</v>
      </c>
      <c r="P59" s="25">
        <v>0</v>
      </c>
      <c r="Q59" s="25">
        <v>0</v>
      </c>
      <c r="R59" s="18">
        <v>0</v>
      </c>
      <c r="S59" s="25">
        <v>0</v>
      </c>
      <c r="T59" s="25">
        <v>0</v>
      </c>
      <c r="U59" s="18">
        <v>0</v>
      </c>
      <c r="V59" s="13">
        <v>0</v>
      </c>
      <c r="W59" s="13">
        <v>0</v>
      </c>
      <c r="X59" s="26">
        <f t="shared" si="20"/>
        <v>0</v>
      </c>
      <c r="Y59" s="26">
        <f t="shared" si="21"/>
        <v>0</v>
      </c>
      <c r="Z59" s="26">
        <f>31/3.15</f>
        <v>9.8412698412698418</v>
      </c>
      <c r="AA59" s="26">
        <f t="shared" si="22"/>
        <v>0</v>
      </c>
      <c r="AB59" s="26">
        <f>0/0.17</f>
        <v>0</v>
      </c>
      <c r="AC59" s="26">
        <f t="shared" si="18"/>
        <v>0</v>
      </c>
      <c r="AD59" s="26">
        <f t="shared" si="19"/>
        <v>0</v>
      </c>
    </row>
    <row r="60" spans="2:30">
      <c r="B60" s="1" t="s">
        <v>16</v>
      </c>
      <c r="C60" s="1">
        <v>0</v>
      </c>
      <c r="D60" s="13">
        <v>0</v>
      </c>
      <c r="E60" s="13">
        <v>0</v>
      </c>
      <c r="F60" s="1">
        <v>1</v>
      </c>
      <c r="G60" s="24">
        <f>F60/99</f>
        <v>1.0101010101010102E-2</v>
      </c>
      <c r="H60" s="24">
        <f>G60/F70*100</f>
        <v>0.25252525252525254</v>
      </c>
      <c r="I60" s="1">
        <v>60</v>
      </c>
      <c r="J60" s="24">
        <f>I60/140</f>
        <v>0.42857142857142855</v>
      </c>
      <c r="K60" s="24">
        <f>J60/I70*100</f>
        <v>0.13605442176870747</v>
      </c>
      <c r="L60" s="18">
        <v>1</v>
      </c>
      <c r="M60" s="25">
        <f>L60/46</f>
        <v>2.1739130434782608E-2</v>
      </c>
      <c r="N60" s="25">
        <f>M60/L70*100</f>
        <v>8.0515297906602251E-2</v>
      </c>
      <c r="O60" s="18">
        <v>1</v>
      </c>
      <c r="P60" s="25">
        <f>O60/16</f>
        <v>6.25E-2</v>
      </c>
      <c r="Q60" s="25">
        <f>P60/O70*100</f>
        <v>0.36764705882352938</v>
      </c>
      <c r="R60" s="18">
        <v>0</v>
      </c>
      <c r="S60" s="25">
        <v>0</v>
      </c>
      <c r="T60" s="25">
        <v>0</v>
      </c>
      <c r="U60" s="18">
        <v>0</v>
      </c>
      <c r="V60" s="13">
        <v>0</v>
      </c>
      <c r="W60" s="13">
        <v>0</v>
      </c>
      <c r="X60" s="26">
        <f t="shared" si="20"/>
        <v>0</v>
      </c>
      <c r="Y60" s="26">
        <f>1/0.04</f>
        <v>25</v>
      </c>
      <c r="Z60" s="26">
        <f>60/3.15</f>
        <v>19.047619047619047</v>
      </c>
      <c r="AA60" s="26">
        <f>1/0.27</f>
        <v>3.7037037037037033</v>
      </c>
      <c r="AB60" s="26">
        <f>1/0.17</f>
        <v>5.8823529411764701</v>
      </c>
      <c r="AC60" s="26">
        <f t="shared" si="18"/>
        <v>0</v>
      </c>
      <c r="AD60" s="26">
        <f t="shared" si="19"/>
        <v>0</v>
      </c>
    </row>
    <row r="61" spans="2:30">
      <c r="B61" s="1" t="s">
        <v>17</v>
      </c>
      <c r="C61" s="1">
        <v>0</v>
      </c>
      <c r="D61" s="13">
        <v>0</v>
      </c>
      <c r="E61" s="13">
        <v>0</v>
      </c>
      <c r="F61" s="1">
        <v>0</v>
      </c>
      <c r="G61" s="11">
        <v>0</v>
      </c>
      <c r="H61" s="11">
        <v>0</v>
      </c>
      <c r="I61" s="1">
        <v>0</v>
      </c>
      <c r="J61" s="11">
        <v>0</v>
      </c>
      <c r="K61" s="11">
        <v>0</v>
      </c>
      <c r="L61" s="18">
        <v>0</v>
      </c>
      <c r="M61" s="25">
        <v>0</v>
      </c>
      <c r="N61" s="25">
        <v>0</v>
      </c>
      <c r="O61" s="18">
        <v>0</v>
      </c>
      <c r="P61" s="25">
        <v>0</v>
      </c>
      <c r="Q61" s="25">
        <v>0</v>
      </c>
      <c r="R61" s="18">
        <v>0</v>
      </c>
      <c r="S61" s="25">
        <v>0</v>
      </c>
      <c r="T61" s="25">
        <v>0</v>
      </c>
      <c r="U61" s="18">
        <v>0</v>
      </c>
      <c r="V61" s="13">
        <v>0</v>
      </c>
      <c r="W61" s="13">
        <v>0</v>
      </c>
      <c r="X61" s="26">
        <f t="shared" si="20"/>
        <v>0</v>
      </c>
      <c r="Y61" s="26">
        <f>0/0.04</f>
        <v>0</v>
      </c>
      <c r="Z61" s="26">
        <f>0/3.15</f>
        <v>0</v>
      </c>
      <c r="AA61" s="26">
        <f>0/0.27</f>
        <v>0</v>
      </c>
      <c r="AB61" s="26">
        <f>0/0.17</f>
        <v>0</v>
      </c>
      <c r="AC61" s="26">
        <f t="shared" si="18"/>
        <v>0</v>
      </c>
      <c r="AD61" s="26">
        <f t="shared" si="19"/>
        <v>0</v>
      </c>
    </row>
    <row r="62" spans="2:30">
      <c r="B62" s="1" t="s">
        <v>18</v>
      </c>
      <c r="C62" s="1">
        <v>0</v>
      </c>
      <c r="D62" s="13">
        <v>0</v>
      </c>
      <c r="E62" s="13">
        <v>0</v>
      </c>
      <c r="F62" s="1">
        <v>0</v>
      </c>
      <c r="G62" s="11">
        <v>0</v>
      </c>
      <c r="H62" s="11">
        <v>0</v>
      </c>
      <c r="I62" s="1">
        <v>0</v>
      </c>
      <c r="J62" s="11">
        <v>0</v>
      </c>
      <c r="K62" s="11">
        <v>0</v>
      </c>
      <c r="L62" s="18">
        <v>0</v>
      </c>
      <c r="M62" s="25">
        <v>0</v>
      </c>
      <c r="N62" s="25">
        <v>0</v>
      </c>
      <c r="O62" s="18">
        <v>0</v>
      </c>
      <c r="P62" s="25">
        <v>0</v>
      </c>
      <c r="Q62" s="25">
        <v>0</v>
      </c>
      <c r="R62" s="18">
        <v>0</v>
      </c>
      <c r="S62" s="25">
        <v>0</v>
      </c>
      <c r="T62" s="25">
        <v>0</v>
      </c>
      <c r="U62" s="18">
        <v>0</v>
      </c>
      <c r="V62" s="13">
        <v>0</v>
      </c>
      <c r="W62" s="13">
        <v>0</v>
      </c>
      <c r="X62" s="26">
        <f t="shared" si="20"/>
        <v>0</v>
      </c>
      <c r="Y62" s="26">
        <f t="shared" ref="Y62:Y63" si="23">0/0.04</f>
        <v>0</v>
      </c>
      <c r="Z62" s="26">
        <f t="shared" ref="Z62:Z65" si="24">0/3.15</f>
        <v>0</v>
      </c>
      <c r="AA62" s="26">
        <f t="shared" ref="AA62:AA67" si="25">0/0.27</f>
        <v>0</v>
      </c>
      <c r="AB62" s="26">
        <f t="shared" ref="AB62:AB64" si="26">0/0.17</f>
        <v>0</v>
      </c>
      <c r="AC62" s="26">
        <f t="shared" si="18"/>
        <v>0</v>
      </c>
      <c r="AD62" s="26">
        <f t="shared" si="19"/>
        <v>0</v>
      </c>
    </row>
    <row r="63" spans="2:30">
      <c r="B63" s="1" t="s">
        <v>19</v>
      </c>
      <c r="C63" s="1">
        <v>0</v>
      </c>
      <c r="D63" s="13">
        <v>0</v>
      </c>
      <c r="E63" s="13">
        <v>0</v>
      </c>
      <c r="F63" s="1">
        <v>0</v>
      </c>
      <c r="G63" s="11">
        <v>0</v>
      </c>
      <c r="H63" s="11">
        <v>0</v>
      </c>
      <c r="I63" s="1">
        <v>0</v>
      </c>
      <c r="J63" s="11">
        <v>0</v>
      </c>
      <c r="K63" s="11">
        <v>0</v>
      </c>
      <c r="L63" s="18">
        <v>0</v>
      </c>
      <c r="M63" s="25">
        <v>0</v>
      </c>
      <c r="N63" s="25">
        <v>0</v>
      </c>
      <c r="O63" s="18">
        <v>0</v>
      </c>
      <c r="P63" s="25">
        <v>0</v>
      </c>
      <c r="Q63" s="25">
        <v>0</v>
      </c>
      <c r="R63" s="18">
        <v>0</v>
      </c>
      <c r="S63" s="25">
        <v>0</v>
      </c>
      <c r="T63" s="25">
        <v>0</v>
      </c>
      <c r="U63" s="18">
        <v>0</v>
      </c>
      <c r="V63" s="13">
        <v>0</v>
      </c>
      <c r="W63" s="13">
        <v>0</v>
      </c>
      <c r="X63" s="26">
        <f t="shared" si="20"/>
        <v>0</v>
      </c>
      <c r="Y63" s="26">
        <f t="shared" si="23"/>
        <v>0</v>
      </c>
      <c r="Z63" s="26">
        <f t="shared" si="24"/>
        <v>0</v>
      </c>
      <c r="AA63" s="26">
        <f t="shared" si="25"/>
        <v>0</v>
      </c>
      <c r="AB63" s="26">
        <f t="shared" si="26"/>
        <v>0</v>
      </c>
      <c r="AC63" s="26">
        <f t="shared" si="18"/>
        <v>0</v>
      </c>
      <c r="AD63" s="26">
        <f t="shared" si="19"/>
        <v>0</v>
      </c>
    </row>
    <row r="64" spans="2:30">
      <c r="B64" s="1" t="s">
        <v>20</v>
      </c>
      <c r="C64" s="1">
        <v>0</v>
      </c>
      <c r="D64" s="13">
        <v>0</v>
      </c>
      <c r="E64" s="13">
        <v>0</v>
      </c>
      <c r="F64" s="1">
        <v>1</v>
      </c>
      <c r="G64" s="24">
        <f>F64/99</f>
        <v>1.0101010101010102E-2</v>
      </c>
      <c r="H64" s="24">
        <f>G64/F70*100</f>
        <v>0.25252525252525254</v>
      </c>
      <c r="I64" s="1">
        <v>0</v>
      </c>
      <c r="J64" s="11">
        <v>0</v>
      </c>
      <c r="K64" s="11">
        <v>0</v>
      </c>
      <c r="L64" s="18">
        <v>0</v>
      </c>
      <c r="M64" s="25">
        <v>0</v>
      </c>
      <c r="N64" s="25">
        <v>0</v>
      </c>
      <c r="O64" s="18">
        <v>0</v>
      </c>
      <c r="P64" s="25">
        <v>0</v>
      </c>
      <c r="Q64" s="25">
        <v>0</v>
      </c>
      <c r="R64" s="18">
        <v>0</v>
      </c>
      <c r="S64" s="25">
        <v>0</v>
      </c>
      <c r="T64" s="25">
        <v>0</v>
      </c>
      <c r="U64" s="18">
        <v>0</v>
      </c>
      <c r="V64" s="13">
        <v>0</v>
      </c>
      <c r="W64" s="13">
        <v>0</v>
      </c>
      <c r="X64" s="26">
        <f t="shared" si="20"/>
        <v>0</v>
      </c>
      <c r="Y64" s="26">
        <f>1/0.04</f>
        <v>25</v>
      </c>
      <c r="Z64" s="26">
        <f t="shared" si="24"/>
        <v>0</v>
      </c>
      <c r="AA64" s="26">
        <f t="shared" si="25"/>
        <v>0</v>
      </c>
      <c r="AB64" s="26">
        <f t="shared" si="26"/>
        <v>0</v>
      </c>
      <c r="AC64" s="26">
        <f t="shared" si="18"/>
        <v>0</v>
      </c>
      <c r="AD64" s="26">
        <f t="shared" si="19"/>
        <v>0</v>
      </c>
    </row>
    <row r="65" spans="2:30">
      <c r="B65" s="1" t="s">
        <v>21</v>
      </c>
      <c r="C65" s="1">
        <v>0</v>
      </c>
      <c r="D65" s="13">
        <v>0</v>
      </c>
      <c r="E65" s="13">
        <v>0</v>
      </c>
      <c r="F65" s="1">
        <v>0</v>
      </c>
      <c r="G65" s="11">
        <v>0</v>
      </c>
      <c r="H65" s="11">
        <v>0</v>
      </c>
      <c r="I65" s="1">
        <v>0</v>
      </c>
      <c r="J65" s="11">
        <v>0</v>
      </c>
      <c r="K65" s="11">
        <v>0</v>
      </c>
      <c r="L65" s="18">
        <v>0</v>
      </c>
      <c r="M65" s="25">
        <v>0</v>
      </c>
      <c r="N65" s="25">
        <v>0</v>
      </c>
      <c r="O65" s="18">
        <v>2</v>
      </c>
      <c r="P65" s="25">
        <f>O65/16</f>
        <v>0.125</v>
      </c>
      <c r="Q65" s="25">
        <f>P65/O70*100</f>
        <v>0.73529411764705876</v>
      </c>
      <c r="R65" s="18">
        <v>0</v>
      </c>
      <c r="S65" s="25">
        <v>0</v>
      </c>
      <c r="T65" s="25">
        <v>0</v>
      </c>
      <c r="U65" s="18">
        <v>0</v>
      </c>
      <c r="V65" s="13">
        <v>0</v>
      </c>
      <c r="W65" s="13">
        <v>0</v>
      </c>
      <c r="X65" s="26">
        <f t="shared" si="20"/>
        <v>0</v>
      </c>
      <c r="Y65" s="26">
        <f>0/0.04</f>
        <v>0</v>
      </c>
      <c r="Z65" s="26">
        <f t="shared" si="24"/>
        <v>0</v>
      </c>
      <c r="AA65" s="26">
        <f t="shared" si="25"/>
        <v>0</v>
      </c>
      <c r="AB65" s="26">
        <f>2/0.17</f>
        <v>11.76470588235294</v>
      </c>
      <c r="AC65" s="26">
        <f t="shared" si="18"/>
        <v>0</v>
      </c>
      <c r="AD65" s="26">
        <f t="shared" si="19"/>
        <v>0</v>
      </c>
    </row>
    <row r="66" spans="2:30">
      <c r="B66" s="1" t="s">
        <v>22</v>
      </c>
      <c r="C66" s="1">
        <v>0</v>
      </c>
      <c r="D66" s="13">
        <v>0</v>
      </c>
      <c r="E66" s="13">
        <v>0</v>
      </c>
      <c r="F66" s="1">
        <v>0</v>
      </c>
      <c r="G66" s="11">
        <v>0</v>
      </c>
      <c r="H66" s="11">
        <v>0</v>
      </c>
      <c r="I66" s="1">
        <v>8</v>
      </c>
      <c r="J66" s="24">
        <f>I66/140</f>
        <v>5.7142857142857141E-2</v>
      </c>
      <c r="K66" s="24">
        <f>J66/I70*100</f>
        <v>1.8140589569160998E-2</v>
      </c>
      <c r="L66" s="18">
        <v>0</v>
      </c>
      <c r="M66" s="25">
        <v>0</v>
      </c>
      <c r="N66" s="25">
        <v>0</v>
      </c>
      <c r="O66" s="18">
        <v>1</v>
      </c>
      <c r="P66" s="25">
        <f>O66/16</f>
        <v>6.25E-2</v>
      </c>
      <c r="Q66" s="25">
        <f>P66/O70*100</f>
        <v>0.36764705882352938</v>
      </c>
      <c r="R66" s="18">
        <v>0</v>
      </c>
      <c r="S66" s="25">
        <v>0</v>
      </c>
      <c r="T66" s="25">
        <v>0</v>
      </c>
      <c r="U66" s="18">
        <v>0</v>
      </c>
      <c r="V66" s="13">
        <v>0</v>
      </c>
      <c r="W66" s="13">
        <v>0</v>
      </c>
      <c r="X66" s="26">
        <f t="shared" si="20"/>
        <v>0</v>
      </c>
      <c r="Y66" s="26">
        <f t="shared" ref="Y66:Y69" si="27">0/0.04</f>
        <v>0</v>
      </c>
      <c r="Z66" s="26">
        <f>8/3.15</f>
        <v>2.5396825396825395</v>
      </c>
      <c r="AA66" s="26">
        <f t="shared" si="25"/>
        <v>0</v>
      </c>
      <c r="AB66" s="26">
        <f>1/0.17</f>
        <v>5.8823529411764701</v>
      </c>
      <c r="AC66" s="26">
        <f t="shared" si="18"/>
        <v>0</v>
      </c>
      <c r="AD66" s="26">
        <f t="shared" si="19"/>
        <v>0</v>
      </c>
    </row>
    <row r="67" spans="2:30">
      <c r="B67" s="1" t="s">
        <v>23</v>
      </c>
      <c r="C67" s="1">
        <v>0</v>
      </c>
      <c r="D67" s="13">
        <v>0</v>
      </c>
      <c r="E67" s="13">
        <v>0</v>
      </c>
      <c r="F67" s="1">
        <v>0</v>
      </c>
      <c r="G67" s="11">
        <v>0</v>
      </c>
      <c r="H67" s="11">
        <v>0</v>
      </c>
      <c r="I67" s="1">
        <v>0</v>
      </c>
      <c r="J67" s="11">
        <v>0</v>
      </c>
      <c r="K67" s="11">
        <v>0</v>
      </c>
      <c r="L67" s="18">
        <v>0</v>
      </c>
      <c r="M67" s="25">
        <v>0</v>
      </c>
      <c r="N67" s="25">
        <v>0</v>
      </c>
      <c r="O67" s="18">
        <v>0</v>
      </c>
      <c r="P67" s="25">
        <v>0</v>
      </c>
      <c r="Q67" s="25">
        <v>0</v>
      </c>
      <c r="R67" s="18">
        <v>0</v>
      </c>
      <c r="S67" s="25">
        <v>0</v>
      </c>
      <c r="T67" s="25">
        <v>0</v>
      </c>
      <c r="U67" s="18">
        <v>0</v>
      </c>
      <c r="V67" s="13">
        <v>0</v>
      </c>
      <c r="W67" s="13">
        <v>0</v>
      </c>
      <c r="X67" s="26">
        <f t="shared" si="20"/>
        <v>0</v>
      </c>
      <c r="Y67" s="26">
        <f t="shared" si="27"/>
        <v>0</v>
      </c>
      <c r="Z67" s="26">
        <f>0/3.15</f>
        <v>0</v>
      </c>
      <c r="AA67" s="26">
        <f t="shared" si="25"/>
        <v>0</v>
      </c>
      <c r="AB67" s="26">
        <f>0/0.17</f>
        <v>0</v>
      </c>
      <c r="AC67" s="26">
        <f t="shared" si="18"/>
        <v>0</v>
      </c>
      <c r="AD67" s="26">
        <f t="shared" si="19"/>
        <v>0</v>
      </c>
    </row>
    <row r="68" spans="2:30">
      <c r="B68" s="1" t="s">
        <v>24</v>
      </c>
      <c r="C68" s="1">
        <v>0</v>
      </c>
      <c r="D68" s="13">
        <v>0</v>
      </c>
      <c r="E68" s="13">
        <v>0</v>
      </c>
      <c r="F68" s="1">
        <v>0</v>
      </c>
      <c r="G68" s="11">
        <v>0</v>
      </c>
      <c r="H68" s="11">
        <v>0</v>
      </c>
      <c r="I68" s="1">
        <v>119</v>
      </c>
      <c r="J68" s="24">
        <f>I68/140</f>
        <v>0.85</v>
      </c>
      <c r="K68" s="24">
        <f>J68/I70*100</f>
        <v>0.26984126984126983</v>
      </c>
      <c r="L68" s="18">
        <v>3</v>
      </c>
      <c r="M68" s="25">
        <f>L68/46</f>
        <v>6.5217391304347824E-2</v>
      </c>
      <c r="N68" s="25">
        <f>M68/L70*100</f>
        <v>0.24154589371980675</v>
      </c>
      <c r="O68" s="18">
        <v>2</v>
      </c>
      <c r="P68" s="25">
        <f>O68/16</f>
        <v>0.125</v>
      </c>
      <c r="Q68" s="25">
        <f>P68/O70*100</f>
        <v>0.73529411764705876</v>
      </c>
      <c r="R68" s="18">
        <v>0</v>
      </c>
      <c r="S68" s="25">
        <v>0</v>
      </c>
      <c r="T68" s="25">
        <v>0</v>
      </c>
      <c r="U68" s="18">
        <v>1</v>
      </c>
      <c r="V68" s="13">
        <f>U68/16</f>
        <v>6.25E-2</v>
      </c>
      <c r="W68" s="13">
        <f>V68/U70*100</f>
        <v>9.765625E-2</v>
      </c>
      <c r="X68" s="26">
        <f t="shared" si="20"/>
        <v>0</v>
      </c>
      <c r="Y68" s="26">
        <f t="shared" si="27"/>
        <v>0</v>
      </c>
      <c r="Z68" s="26">
        <f>119/3.15</f>
        <v>37.777777777777779</v>
      </c>
      <c r="AA68" s="26">
        <f>3/0.27</f>
        <v>11.111111111111111</v>
      </c>
      <c r="AB68" s="26">
        <f>2/0.17</f>
        <v>11.76470588235294</v>
      </c>
      <c r="AC68" s="26">
        <f t="shared" si="18"/>
        <v>0</v>
      </c>
      <c r="AD68" s="26">
        <f>1/0.64</f>
        <v>1.5625</v>
      </c>
    </row>
    <row r="69" spans="2:30">
      <c r="B69" s="1" t="s">
        <v>25</v>
      </c>
      <c r="C69" s="1">
        <v>0</v>
      </c>
      <c r="D69" s="13">
        <v>0</v>
      </c>
      <c r="E69" s="13">
        <v>0</v>
      </c>
      <c r="F69" s="1">
        <v>0</v>
      </c>
      <c r="G69" s="11">
        <v>0</v>
      </c>
      <c r="H69" s="11">
        <v>0</v>
      </c>
      <c r="I69" s="1">
        <v>0</v>
      </c>
      <c r="J69" s="11">
        <v>0</v>
      </c>
      <c r="K69" s="11">
        <v>0</v>
      </c>
      <c r="L69" s="18">
        <v>1</v>
      </c>
      <c r="M69" s="25">
        <f>L69/46</f>
        <v>2.1739130434782608E-2</v>
      </c>
      <c r="N69" s="25">
        <f>M69/L70*100</f>
        <v>8.0515297906602251E-2</v>
      </c>
      <c r="O69" s="18">
        <v>0</v>
      </c>
      <c r="P69" s="25">
        <v>0</v>
      </c>
      <c r="Q69" s="25">
        <v>0</v>
      </c>
      <c r="R69" s="18">
        <v>0</v>
      </c>
      <c r="S69" s="25">
        <v>0</v>
      </c>
      <c r="T69" s="25">
        <v>0</v>
      </c>
      <c r="U69" s="18">
        <v>0</v>
      </c>
      <c r="V69" s="13">
        <v>0</v>
      </c>
      <c r="W69" s="13">
        <v>0</v>
      </c>
      <c r="X69" s="26">
        <f t="shared" si="20"/>
        <v>0</v>
      </c>
      <c r="Y69" s="26">
        <f t="shared" si="27"/>
        <v>0</v>
      </c>
      <c r="Z69" s="26">
        <f>0/3.15</f>
        <v>0</v>
      </c>
      <c r="AA69" s="26">
        <f>1/0.27</f>
        <v>3.7037037037037033</v>
      </c>
      <c r="AB69" s="26">
        <f>0/0.17</f>
        <v>0</v>
      </c>
      <c r="AC69" s="26">
        <f t="shared" si="18"/>
        <v>0</v>
      </c>
      <c r="AD69" s="26">
        <f>0/0.64</f>
        <v>0</v>
      </c>
    </row>
    <row r="70" spans="2:30">
      <c r="B70" s="1" t="s">
        <v>26</v>
      </c>
      <c r="C70" s="1">
        <f>SUM(C52:C69)</f>
        <v>1</v>
      </c>
      <c r="D70" s="13">
        <f>C70/467</f>
        <v>2.1413276231263384E-3</v>
      </c>
      <c r="E70" s="13">
        <f>D70/C72*100</f>
        <v>4.7479548184619475E-4</v>
      </c>
      <c r="F70" s="1">
        <f>SUM(F52:F69)</f>
        <v>4</v>
      </c>
      <c r="G70" s="12">
        <f>F70/99</f>
        <v>4.0404040404040407E-2</v>
      </c>
      <c r="H70" s="12">
        <f>G70/C72*100</f>
        <v>8.9587672736231496E-3</v>
      </c>
      <c r="I70" s="1">
        <f>SUM(I52:I69)</f>
        <v>315</v>
      </c>
      <c r="J70" s="12">
        <f>I70/140</f>
        <v>2.25</v>
      </c>
      <c r="K70" s="12">
        <f>J70/C72*100</f>
        <v>0.49889135254988909</v>
      </c>
      <c r="L70" s="1">
        <f>SUM(L52:L69)</f>
        <v>27</v>
      </c>
      <c r="M70" s="12">
        <f>L70/46</f>
        <v>0.58695652173913049</v>
      </c>
      <c r="N70" s="13">
        <f>M70/C72*100</f>
        <v>0.13014557023040585</v>
      </c>
      <c r="O70" s="1">
        <f>SUM(O52:O69)</f>
        <v>17</v>
      </c>
      <c r="P70" s="12">
        <f>O70/16</f>
        <v>1.0625</v>
      </c>
      <c r="Q70" s="12">
        <f>P70/C72*100</f>
        <v>0.23558758314855877</v>
      </c>
      <c r="R70" s="1">
        <f>SUM(R52:R69)</f>
        <v>23</v>
      </c>
      <c r="S70" s="13">
        <f>R70/18</f>
        <v>1.2777777777777777</v>
      </c>
      <c r="T70" s="13">
        <f>S70/C72*100</f>
        <v>0.28332101502833212</v>
      </c>
      <c r="U70" s="1">
        <f>SUM(U52:U69)</f>
        <v>64</v>
      </c>
      <c r="V70" s="13">
        <f>U70/16</f>
        <v>4</v>
      </c>
      <c r="W70" s="13">
        <f>V70/C72*100</f>
        <v>0.88691796008869184</v>
      </c>
      <c r="X70" s="26">
        <f t="shared" ref="X70:AD70" si="28">SUM(X52:X69)</f>
        <v>100</v>
      </c>
      <c r="Y70" s="26">
        <f t="shared" si="28"/>
        <v>100</v>
      </c>
      <c r="Z70" s="26">
        <f t="shared" si="28"/>
        <v>100</v>
      </c>
      <c r="AA70" s="26">
        <f t="shared" si="28"/>
        <v>100.00000000000001</v>
      </c>
      <c r="AB70" s="26">
        <f t="shared" si="28"/>
        <v>99.999999999999986</v>
      </c>
      <c r="AC70" s="26">
        <f t="shared" si="28"/>
        <v>100</v>
      </c>
      <c r="AD70" s="26">
        <f t="shared" si="28"/>
        <v>100</v>
      </c>
    </row>
    <row r="72" spans="2:30">
      <c r="B72" s="27" t="s">
        <v>60</v>
      </c>
      <c r="C72" s="27">
        <f>C70+F70+I70+L70+O70+R70+U70</f>
        <v>451</v>
      </c>
    </row>
    <row r="74" spans="2:30" ht="15.75">
      <c r="B74" s="36" t="s">
        <v>56</v>
      </c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7"/>
      <c r="W74" s="37"/>
      <c r="X74" s="37"/>
      <c r="Y74" s="37"/>
      <c r="Z74" s="37"/>
      <c r="AA74" s="37"/>
      <c r="AB74" s="37"/>
      <c r="AC74" s="37"/>
      <c r="AD74" s="37"/>
    </row>
    <row r="75" spans="2:30">
      <c r="B75" s="19" t="s">
        <v>0</v>
      </c>
      <c r="C75" s="19" t="s">
        <v>36</v>
      </c>
      <c r="D75" s="20" t="s">
        <v>34</v>
      </c>
      <c r="E75" s="20" t="s">
        <v>35</v>
      </c>
      <c r="F75" s="19" t="s">
        <v>37</v>
      </c>
      <c r="G75" s="20" t="s">
        <v>34</v>
      </c>
      <c r="H75" s="20" t="s">
        <v>35</v>
      </c>
      <c r="I75" s="19" t="s">
        <v>3</v>
      </c>
      <c r="J75" s="20" t="s">
        <v>34</v>
      </c>
      <c r="K75" s="20" t="s">
        <v>35</v>
      </c>
      <c r="L75" s="19" t="s">
        <v>38</v>
      </c>
      <c r="M75" s="20" t="s">
        <v>34</v>
      </c>
      <c r="N75" s="20" t="s">
        <v>35</v>
      </c>
      <c r="O75" s="19" t="s">
        <v>39</v>
      </c>
      <c r="P75" s="20" t="s">
        <v>34</v>
      </c>
      <c r="Q75" s="20" t="s">
        <v>35</v>
      </c>
      <c r="R75" s="19" t="s">
        <v>40</v>
      </c>
      <c r="S75" s="20" t="s">
        <v>34</v>
      </c>
      <c r="T75" s="20" t="s">
        <v>35</v>
      </c>
      <c r="U75" s="19" t="s">
        <v>31</v>
      </c>
      <c r="V75" s="20" t="s">
        <v>34</v>
      </c>
      <c r="W75" s="20" t="s">
        <v>35</v>
      </c>
      <c r="X75" s="20" t="s">
        <v>46</v>
      </c>
      <c r="Y75" s="20" t="s">
        <v>47</v>
      </c>
      <c r="Z75" s="20" t="s">
        <v>48</v>
      </c>
      <c r="AA75" s="20" t="s">
        <v>49</v>
      </c>
      <c r="AB75" s="20" t="s">
        <v>50</v>
      </c>
      <c r="AC75" s="20" t="s">
        <v>51</v>
      </c>
      <c r="AD75" s="20" t="s">
        <v>52</v>
      </c>
    </row>
    <row r="76" spans="2:30">
      <c r="B76" s="21" t="s">
        <v>8</v>
      </c>
      <c r="C76" s="21">
        <v>0</v>
      </c>
      <c r="D76" s="22">
        <v>0</v>
      </c>
      <c r="E76" s="22">
        <v>0</v>
      </c>
      <c r="F76" s="21">
        <v>0</v>
      </c>
      <c r="G76" s="24">
        <v>0</v>
      </c>
      <c r="H76" s="24">
        <v>0</v>
      </c>
      <c r="I76" s="21">
        <v>0</v>
      </c>
      <c r="J76" s="24">
        <v>0</v>
      </c>
      <c r="K76" s="24">
        <v>0</v>
      </c>
      <c r="L76" s="21">
        <v>0</v>
      </c>
      <c r="M76" s="24">
        <v>0</v>
      </c>
      <c r="N76" s="24">
        <v>0</v>
      </c>
      <c r="O76" s="21">
        <v>0</v>
      </c>
      <c r="P76" s="24">
        <v>0</v>
      </c>
      <c r="Q76" s="24">
        <v>0</v>
      </c>
      <c r="R76" s="21">
        <v>0</v>
      </c>
      <c r="S76" s="24">
        <v>0</v>
      </c>
      <c r="T76" s="24">
        <v>0</v>
      </c>
      <c r="U76" s="21">
        <v>0</v>
      </c>
      <c r="V76" s="24">
        <v>0</v>
      </c>
      <c r="W76" s="24">
        <v>0</v>
      </c>
      <c r="X76" s="26">
        <f>0/0.03</f>
        <v>0</v>
      </c>
      <c r="Y76" s="26">
        <f t="shared" ref="Y76:Y90" si="29">0/0.01</f>
        <v>0</v>
      </c>
      <c r="Z76" s="26">
        <f>0/0.93</f>
        <v>0</v>
      </c>
      <c r="AA76" s="26">
        <f>0/0.53</f>
        <v>0</v>
      </c>
      <c r="AB76" s="26">
        <f>0/0.26</f>
        <v>0</v>
      </c>
      <c r="AC76" s="26">
        <f>0/0.47</f>
        <v>0</v>
      </c>
      <c r="AD76" s="26">
        <f>0/0.25</f>
        <v>0</v>
      </c>
    </row>
    <row r="77" spans="2:30">
      <c r="B77" s="21" t="s">
        <v>9</v>
      </c>
      <c r="C77" s="21">
        <v>0</v>
      </c>
      <c r="D77" s="22">
        <v>0</v>
      </c>
      <c r="E77" s="22">
        <v>0</v>
      </c>
      <c r="F77" s="21">
        <v>0</v>
      </c>
      <c r="G77" s="24">
        <v>0</v>
      </c>
      <c r="H77" s="24">
        <v>0</v>
      </c>
      <c r="I77" s="21">
        <v>2</v>
      </c>
      <c r="J77" s="24">
        <f>I77/140</f>
        <v>1.4285714285714285E-2</v>
      </c>
      <c r="K77" s="24">
        <f>J77/I94*100</f>
        <v>1.5360983102918587E-2</v>
      </c>
      <c r="L77" s="21">
        <v>0</v>
      </c>
      <c r="M77" s="24">
        <v>0</v>
      </c>
      <c r="N77" s="24">
        <v>0</v>
      </c>
      <c r="O77" s="21">
        <v>0</v>
      </c>
      <c r="P77" s="24">
        <v>0</v>
      </c>
      <c r="Q77" s="24">
        <v>0</v>
      </c>
      <c r="R77" s="21">
        <v>0</v>
      </c>
      <c r="S77" s="24">
        <v>0</v>
      </c>
      <c r="T77" s="24">
        <v>0</v>
      </c>
      <c r="U77" s="21">
        <v>0</v>
      </c>
      <c r="V77" s="24">
        <v>0</v>
      </c>
      <c r="W77" s="24">
        <v>0</v>
      </c>
      <c r="X77" s="26">
        <f t="shared" ref="X77:X78" si="30">0/0.03</f>
        <v>0</v>
      </c>
      <c r="Y77" s="26">
        <f t="shared" si="29"/>
        <v>0</v>
      </c>
      <c r="Z77" s="26">
        <f>2/0.93</f>
        <v>2.150537634408602</v>
      </c>
      <c r="AA77" s="26">
        <f>0/0.53</f>
        <v>0</v>
      </c>
      <c r="AB77" s="26">
        <f>0/0.26</f>
        <v>0</v>
      </c>
      <c r="AC77" s="26">
        <f>0/0.47</f>
        <v>0</v>
      </c>
      <c r="AD77" s="26">
        <f>0/0.25</f>
        <v>0</v>
      </c>
    </row>
    <row r="78" spans="2:30">
      <c r="B78" s="21" t="s">
        <v>10</v>
      </c>
      <c r="C78" s="21">
        <v>0</v>
      </c>
      <c r="D78" s="22">
        <v>0</v>
      </c>
      <c r="E78" s="22">
        <v>0</v>
      </c>
      <c r="F78" s="21">
        <v>0</v>
      </c>
      <c r="G78" s="24">
        <v>0</v>
      </c>
      <c r="H78" s="24">
        <v>0</v>
      </c>
      <c r="I78" s="21">
        <v>0</v>
      </c>
      <c r="J78" s="24">
        <v>0</v>
      </c>
      <c r="K78" s="24">
        <v>0</v>
      </c>
      <c r="L78" s="21">
        <v>0</v>
      </c>
      <c r="M78" s="24">
        <v>0</v>
      </c>
      <c r="N78" s="24">
        <v>0</v>
      </c>
      <c r="O78" s="21">
        <v>9</v>
      </c>
      <c r="P78" s="24">
        <f>O78/16</f>
        <v>0.5625</v>
      </c>
      <c r="Q78" s="24">
        <f>P78/O94*100</f>
        <v>2.1634615384615383</v>
      </c>
      <c r="R78" s="21">
        <v>41</v>
      </c>
      <c r="S78" s="24">
        <f>R78/18</f>
        <v>2.2777777777777777</v>
      </c>
      <c r="T78" s="24">
        <f>S78/R94*100</f>
        <v>4.8463356973995273</v>
      </c>
      <c r="U78" s="21">
        <v>20</v>
      </c>
      <c r="V78" s="22">
        <f>U78/16</f>
        <v>1.25</v>
      </c>
      <c r="W78" s="22">
        <f>V78/U94*100</f>
        <v>5</v>
      </c>
      <c r="X78" s="26">
        <f t="shared" si="30"/>
        <v>0</v>
      </c>
      <c r="Y78" s="26">
        <f t="shared" si="29"/>
        <v>0</v>
      </c>
      <c r="Z78" s="26">
        <f>0/0.93</f>
        <v>0</v>
      </c>
      <c r="AA78" s="26">
        <f>0/0.53</f>
        <v>0</v>
      </c>
      <c r="AB78" s="26">
        <f>9/0.26</f>
        <v>34.615384615384613</v>
      </c>
      <c r="AC78" s="26">
        <f>41/0.47</f>
        <v>87.2340425531915</v>
      </c>
      <c r="AD78" s="26">
        <f>20/0.25</f>
        <v>80</v>
      </c>
    </row>
    <row r="79" spans="2:30">
      <c r="B79" s="21" t="s">
        <v>11</v>
      </c>
      <c r="C79" s="21">
        <v>3</v>
      </c>
      <c r="D79" s="22">
        <f>C79/467</f>
        <v>6.4239828693790149E-3</v>
      </c>
      <c r="E79" s="22">
        <f>D79/C94*100</f>
        <v>0.21413276231263384</v>
      </c>
      <c r="F79" s="21">
        <v>0</v>
      </c>
      <c r="G79" s="24">
        <v>0</v>
      </c>
      <c r="H79" s="24">
        <v>0</v>
      </c>
      <c r="I79" s="21">
        <v>55</v>
      </c>
      <c r="J79" s="24">
        <f>I79/140</f>
        <v>0.39285714285714285</v>
      </c>
      <c r="K79" s="24">
        <f>J79/I94*100</f>
        <v>0.42242703533026116</v>
      </c>
      <c r="L79" s="21">
        <v>49</v>
      </c>
      <c r="M79" s="24">
        <f>L79/46</f>
        <v>1.0652173913043479</v>
      </c>
      <c r="N79" s="24">
        <f>M79/L94*100</f>
        <v>2.0098441345365052</v>
      </c>
      <c r="O79" s="21">
        <v>4</v>
      </c>
      <c r="P79" s="24">
        <f>O79/16</f>
        <v>0.25</v>
      </c>
      <c r="Q79" s="24">
        <f>P79/O94*100</f>
        <v>0.96153846153846156</v>
      </c>
      <c r="R79" s="21">
        <v>1</v>
      </c>
      <c r="S79" s="24">
        <f>R79/18</f>
        <v>5.5555555555555552E-2</v>
      </c>
      <c r="T79" s="24">
        <f>S79/R94*100</f>
        <v>0.1182033096926714</v>
      </c>
      <c r="U79" s="21">
        <v>0</v>
      </c>
      <c r="V79" s="22">
        <v>0</v>
      </c>
      <c r="W79" s="22">
        <v>0</v>
      </c>
      <c r="X79" s="26">
        <f>3/0.03</f>
        <v>100</v>
      </c>
      <c r="Y79" s="26">
        <f t="shared" si="29"/>
        <v>0</v>
      </c>
      <c r="Z79" s="26">
        <f>55/0.93</f>
        <v>59.139784946236553</v>
      </c>
      <c r="AA79" s="26">
        <f>49/0.53</f>
        <v>92.452830188679243</v>
      </c>
      <c r="AB79" s="26">
        <f>4/0.26</f>
        <v>15.384615384615383</v>
      </c>
      <c r="AC79" s="26">
        <f>1/0.47</f>
        <v>2.1276595744680851</v>
      </c>
      <c r="AD79" s="26">
        <f>0/0.25</f>
        <v>0</v>
      </c>
    </row>
    <row r="80" spans="2:30">
      <c r="B80" s="21" t="s">
        <v>12</v>
      </c>
      <c r="C80" s="21">
        <v>0</v>
      </c>
      <c r="D80" s="22">
        <v>0</v>
      </c>
      <c r="E80" s="22">
        <v>0</v>
      </c>
      <c r="F80" s="21">
        <v>0</v>
      </c>
      <c r="G80" s="24">
        <v>0</v>
      </c>
      <c r="H80" s="24">
        <v>0</v>
      </c>
      <c r="I80" s="21">
        <v>0</v>
      </c>
      <c r="J80" s="24">
        <v>0</v>
      </c>
      <c r="K80" s="24">
        <v>0</v>
      </c>
      <c r="L80" s="21">
        <v>0</v>
      </c>
      <c r="M80" s="24">
        <v>0</v>
      </c>
      <c r="N80" s="24">
        <v>0</v>
      </c>
      <c r="O80" s="21">
        <v>0</v>
      </c>
      <c r="P80" s="24">
        <v>0</v>
      </c>
      <c r="Q80" s="24">
        <v>0</v>
      </c>
      <c r="R80" s="21">
        <v>0</v>
      </c>
      <c r="S80" s="24">
        <v>0</v>
      </c>
      <c r="T80" s="24">
        <v>0</v>
      </c>
      <c r="U80" s="21">
        <v>0</v>
      </c>
      <c r="V80" s="22">
        <v>0</v>
      </c>
      <c r="W80" s="22">
        <v>0</v>
      </c>
      <c r="X80" s="26">
        <f>0/0.03</f>
        <v>0</v>
      </c>
      <c r="Y80" s="26">
        <f t="shared" si="29"/>
        <v>0</v>
      </c>
      <c r="Z80" s="26">
        <f>0/0.93</f>
        <v>0</v>
      </c>
      <c r="AA80" s="26">
        <f>0/0.53</f>
        <v>0</v>
      </c>
      <c r="AB80" s="26">
        <f>0/0.26</f>
        <v>0</v>
      </c>
      <c r="AC80" s="26">
        <f>0/0.47</f>
        <v>0</v>
      </c>
      <c r="AD80" s="26">
        <f t="shared" ref="AD80:AD90" si="31">0/0.25</f>
        <v>0</v>
      </c>
    </row>
    <row r="81" spans="2:30">
      <c r="B81" s="21" t="s">
        <v>13</v>
      </c>
      <c r="C81" s="21">
        <v>0</v>
      </c>
      <c r="D81" s="22">
        <v>0</v>
      </c>
      <c r="E81" s="22">
        <v>0</v>
      </c>
      <c r="F81" s="21">
        <v>0</v>
      </c>
      <c r="G81" s="24">
        <v>0</v>
      </c>
      <c r="H81" s="24">
        <v>0</v>
      </c>
      <c r="I81" s="21">
        <v>0</v>
      </c>
      <c r="J81" s="24">
        <v>0</v>
      </c>
      <c r="K81" s="24">
        <v>0</v>
      </c>
      <c r="L81" s="21">
        <v>0</v>
      </c>
      <c r="M81" s="24">
        <v>0</v>
      </c>
      <c r="N81" s="24">
        <v>0</v>
      </c>
      <c r="O81" s="21">
        <v>0</v>
      </c>
      <c r="P81" s="24">
        <v>0</v>
      </c>
      <c r="Q81" s="24">
        <v>0</v>
      </c>
      <c r="R81" s="21">
        <v>0</v>
      </c>
      <c r="S81" s="24">
        <v>0</v>
      </c>
      <c r="T81" s="24">
        <v>0</v>
      </c>
      <c r="U81" s="21">
        <v>0</v>
      </c>
      <c r="V81" s="22">
        <v>0</v>
      </c>
      <c r="W81" s="22">
        <v>0</v>
      </c>
      <c r="X81" s="26">
        <f t="shared" ref="X81:X93" si="32">0/0.03</f>
        <v>0</v>
      </c>
      <c r="Y81" s="26">
        <f t="shared" si="29"/>
        <v>0</v>
      </c>
      <c r="Z81" s="26">
        <f>0/0.93</f>
        <v>0</v>
      </c>
      <c r="AA81" s="26">
        <f>0/0.53</f>
        <v>0</v>
      </c>
      <c r="AB81" s="26">
        <f>0/0.26</f>
        <v>0</v>
      </c>
      <c r="AC81" s="26">
        <f t="shared" ref="AC81:AC90" si="33">0/0.47</f>
        <v>0</v>
      </c>
      <c r="AD81" s="26">
        <f t="shared" si="31"/>
        <v>0</v>
      </c>
    </row>
    <row r="82" spans="2:30">
      <c r="B82" s="21" t="s">
        <v>14</v>
      </c>
      <c r="C82" s="21">
        <v>0</v>
      </c>
      <c r="D82" s="22">
        <v>0</v>
      </c>
      <c r="E82" s="22">
        <v>0</v>
      </c>
      <c r="F82" s="21">
        <v>0</v>
      </c>
      <c r="G82" s="24">
        <v>0</v>
      </c>
      <c r="H82" s="24">
        <v>0</v>
      </c>
      <c r="I82" s="21">
        <v>15</v>
      </c>
      <c r="J82" s="24">
        <f>I82/140</f>
        <v>0.10714285714285714</v>
      </c>
      <c r="K82" s="24">
        <f>J82/I94*100</f>
        <v>0.1152073732718894</v>
      </c>
      <c r="L82" s="21">
        <v>1</v>
      </c>
      <c r="M82" s="24">
        <f>L82/46</f>
        <v>2.1739130434782608E-2</v>
      </c>
      <c r="N82" s="24">
        <f>M82/L94*100</f>
        <v>4.101722723543888E-2</v>
      </c>
      <c r="O82" s="21">
        <v>6</v>
      </c>
      <c r="P82" s="24">
        <f>O82/16</f>
        <v>0.375</v>
      </c>
      <c r="Q82" s="24">
        <f>P82/O94*100</f>
        <v>1.4423076923076923</v>
      </c>
      <c r="R82" s="21">
        <v>0</v>
      </c>
      <c r="S82" s="24">
        <v>0</v>
      </c>
      <c r="T82" s="24">
        <v>0</v>
      </c>
      <c r="U82" s="21">
        <v>0</v>
      </c>
      <c r="V82" s="22">
        <v>0</v>
      </c>
      <c r="W82" s="22">
        <v>0</v>
      </c>
      <c r="X82" s="26">
        <f t="shared" si="32"/>
        <v>0</v>
      </c>
      <c r="Y82" s="26">
        <f t="shared" si="29"/>
        <v>0</v>
      </c>
      <c r="Z82" s="26">
        <f>15/0.93</f>
        <v>16.129032258064516</v>
      </c>
      <c r="AA82" s="26">
        <f>1/0.53</f>
        <v>1.8867924528301885</v>
      </c>
      <c r="AB82" s="26">
        <f>6/0.26</f>
        <v>23.076923076923077</v>
      </c>
      <c r="AC82" s="26">
        <f t="shared" si="33"/>
        <v>0</v>
      </c>
      <c r="AD82" s="26">
        <f t="shared" si="31"/>
        <v>0</v>
      </c>
    </row>
    <row r="83" spans="2:30">
      <c r="B83" s="21" t="s">
        <v>15</v>
      </c>
      <c r="C83" s="21">
        <v>0</v>
      </c>
      <c r="D83" s="22">
        <v>0</v>
      </c>
      <c r="E83" s="22">
        <v>0</v>
      </c>
      <c r="F83" s="21">
        <v>0</v>
      </c>
      <c r="G83" s="24">
        <v>0</v>
      </c>
      <c r="H83" s="24">
        <v>0</v>
      </c>
      <c r="I83" s="21">
        <v>3</v>
      </c>
      <c r="J83" s="24">
        <f>I83/140</f>
        <v>2.1428571428571429E-2</v>
      </c>
      <c r="K83" s="24">
        <f>J83/I94*100</f>
        <v>2.3041474654377881E-2</v>
      </c>
      <c r="L83" s="21">
        <v>1</v>
      </c>
      <c r="M83" s="24">
        <f>L83/46</f>
        <v>2.1739130434782608E-2</v>
      </c>
      <c r="N83" s="24">
        <f>M83/L94*100</f>
        <v>4.101722723543888E-2</v>
      </c>
      <c r="O83" s="21">
        <v>0</v>
      </c>
      <c r="P83" s="24">
        <v>0</v>
      </c>
      <c r="Q83" s="24">
        <v>0</v>
      </c>
      <c r="R83" s="21">
        <v>0</v>
      </c>
      <c r="S83" s="24">
        <v>0</v>
      </c>
      <c r="T83" s="24">
        <v>0</v>
      </c>
      <c r="U83" s="21">
        <v>0</v>
      </c>
      <c r="V83" s="22">
        <v>0</v>
      </c>
      <c r="W83" s="22">
        <v>0</v>
      </c>
      <c r="X83" s="26">
        <f t="shared" si="32"/>
        <v>0</v>
      </c>
      <c r="Y83" s="26">
        <f t="shared" si="29"/>
        <v>0</v>
      </c>
      <c r="Z83" s="26">
        <f>3/0.93</f>
        <v>3.225806451612903</v>
      </c>
      <c r="AA83" s="26">
        <f>1/0.53</f>
        <v>1.8867924528301885</v>
      </c>
      <c r="AB83" s="26">
        <f>0/0.26</f>
        <v>0</v>
      </c>
      <c r="AC83" s="26">
        <f t="shared" si="33"/>
        <v>0</v>
      </c>
      <c r="AD83" s="26">
        <f t="shared" si="31"/>
        <v>0</v>
      </c>
    </row>
    <row r="84" spans="2:30">
      <c r="B84" s="21" t="s">
        <v>16</v>
      </c>
      <c r="C84" s="21">
        <v>0</v>
      </c>
      <c r="D84" s="22">
        <v>0</v>
      </c>
      <c r="E84" s="22">
        <v>0</v>
      </c>
      <c r="F84" s="21">
        <v>0</v>
      </c>
      <c r="G84" s="24">
        <v>0</v>
      </c>
      <c r="H84" s="24">
        <v>0</v>
      </c>
      <c r="I84" s="21">
        <v>8</v>
      </c>
      <c r="J84" s="24">
        <f>I84/140</f>
        <v>5.7142857142857141E-2</v>
      </c>
      <c r="K84" s="24">
        <f>J84/I94*100</f>
        <v>6.1443932411674347E-2</v>
      </c>
      <c r="L84" s="21">
        <v>1</v>
      </c>
      <c r="M84" s="24">
        <f>L84/46</f>
        <v>2.1739130434782608E-2</v>
      </c>
      <c r="N84" s="24">
        <f>M84/L94*100</f>
        <v>4.101722723543888E-2</v>
      </c>
      <c r="O84" s="21">
        <v>0</v>
      </c>
      <c r="P84" s="24">
        <v>0</v>
      </c>
      <c r="Q84" s="24">
        <v>0</v>
      </c>
      <c r="R84" s="21">
        <v>0</v>
      </c>
      <c r="S84" s="24">
        <v>0</v>
      </c>
      <c r="T84" s="24">
        <v>0</v>
      </c>
      <c r="U84" s="21">
        <v>0</v>
      </c>
      <c r="V84" s="22">
        <v>0</v>
      </c>
      <c r="W84" s="22">
        <v>0</v>
      </c>
      <c r="X84" s="26">
        <f t="shared" si="32"/>
        <v>0</v>
      </c>
      <c r="Y84" s="26">
        <f t="shared" si="29"/>
        <v>0</v>
      </c>
      <c r="Z84" s="26">
        <f>8/0.93</f>
        <v>8.6021505376344081</v>
      </c>
      <c r="AA84" s="26">
        <f>1/0.53</f>
        <v>1.8867924528301885</v>
      </c>
      <c r="AB84" s="26">
        <f t="shared" ref="AB84:AB87" si="34">0/0.26</f>
        <v>0</v>
      </c>
      <c r="AC84" s="26">
        <f t="shared" si="33"/>
        <v>0</v>
      </c>
      <c r="AD84" s="26">
        <f t="shared" si="31"/>
        <v>0</v>
      </c>
    </row>
    <row r="85" spans="2:30">
      <c r="B85" s="21" t="s">
        <v>17</v>
      </c>
      <c r="C85" s="21">
        <v>0</v>
      </c>
      <c r="D85" s="22">
        <v>0</v>
      </c>
      <c r="E85" s="22">
        <v>0</v>
      </c>
      <c r="F85" s="21">
        <v>0</v>
      </c>
      <c r="G85" s="24">
        <v>0</v>
      </c>
      <c r="H85" s="24">
        <v>0</v>
      </c>
      <c r="I85" s="21">
        <v>0</v>
      </c>
      <c r="J85" s="24">
        <v>0</v>
      </c>
      <c r="K85" s="24">
        <v>0</v>
      </c>
      <c r="L85" s="21">
        <v>0</v>
      </c>
      <c r="M85" s="24">
        <v>0</v>
      </c>
      <c r="N85" s="24">
        <v>0</v>
      </c>
      <c r="O85" s="21">
        <v>0</v>
      </c>
      <c r="P85" s="24">
        <v>0</v>
      </c>
      <c r="Q85" s="24">
        <v>0</v>
      </c>
      <c r="R85" s="21">
        <v>0</v>
      </c>
      <c r="S85" s="24">
        <v>0</v>
      </c>
      <c r="T85" s="24">
        <v>0</v>
      </c>
      <c r="U85" s="21">
        <v>0</v>
      </c>
      <c r="V85" s="22">
        <v>0</v>
      </c>
      <c r="W85" s="22">
        <v>0</v>
      </c>
      <c r="X85" s="26">
        <f t="shared" si="32"/>
        <v>0</v>
      </c>
      <c r="Y85" s="26">
        <f t="shared" si="29"/>
        <v>0</v>
      </c>
      <c r="Z85" s="26">
        <f>0/0.93</f>
        <v>0</v>
      </c>
      <c r="AA85" s="26">
        <f>0/0.53</f>
        <v>0</v>
      </c>
      <c r="AB85" s="26">
        <f t="shared" si="34"/>
        <v>0</v>
      </c>
      <c r="AC85" s="26">
        <f t="shared" si="33"/>
        <v>0</v>
      </c>
      <c r="AD85" s="26">
        <f t="shared" si="31"/>
        <v>0</v>
      </c>
    </row>
    <row r="86" spans="2:30">
      <c r="B86" s="21" t="s">
        <v>18</v>
      </c>
      <c r="C86" s="21">
        <v>0</v>
      </c>
      <c r="D86" s="22">
        <v>0</v>
      </c>
      <c r="E86" s="22">
        <v>0</v>
      </c>
      <c r="F86" s="21">
        <v>0</v>
      </c>
      <c r="G86" s="24">
        <v>0</v>
      </c>
      <c r="H86" s="24">
        <v>0</v>
      </c>
      <c r="I86" s="21">
        <v>0</v>
      </c>
      <c r="J86" s="24">
        <v>0</v>
      </c>
      <c r="K86" s="24">
        <v>0</v>
      </c>
      <c r="L86" s="21">
        <v>0</v>
      </c>
      <c r="M86" s="24">
        <v>0</v>
      </c>
      <c r="N86" s="24">
        <v>0</v>
      </c>
      <c r="O86" s="21">
        <v>0</v>
      </c>
      <c r="P86" s="24">
        <v>0</v>
      </c>
      <c r="Q86" s="24">
        <v>0</v>
      </c>
      <c r="R86" s="21">
        <v>0</v>
      </c>
      <c r="S86" s="24">
        <v>0</v>
      </c>
      <c r="T86" s="24">
        <v>0</v>
      </c>
      <c r="U86" s="21">
        <v>0</v>
      </c>
      <c r="V86" s="22">
        <v>0</v>
      </c>
      <c r="W86" s="22">
        <v>0</v>
      </c>
      <c r="X86" s="26">
        <f t="shared" si="32"/>
        <v>0</v>
      </c>
      <c r="Y86" s="26">
        <f t="shared" si="29"/>
        <v>0</v>
      </c>
      <c r="Z86" s="26">
        <f t="shared" ref="Z86:Z89" si="35">0/0.93</f>
        <v>0</v>
      </c>
      <c r="AA86" s="26">
        <f t="shared" ref="AA86:AA90" si="36">0/0.53</f>
        <v>0</v>
      </c>
      <c r="AB86" s="26">
        <f t="shared" si="34"/>
        <v>0</v>
      </c>
      <c r="AC86" s="26">
        <f t="shared" si="33"/>
        <v>0</v>
      </c>
      <c r="AD86" s="26">
        <f t="shared" si="31"/>
        <v>0</v>
      </c>
    </row>
    <row r="87" spans="2:30">
      <c r="B87" s="21" t="s">
        <v>19</v>
      </c>
      <c r="C87" s="21">
        <v>0</v>
      </c>
      <c r="D87" s="22">
        <v>0</v>
      </c>
      <c r="E87" s="22">
        <v>0</v>
      </c>
      <c r="F87" s="21">
        <v>0</v>
      </c>
      <c r="G87" s="24">
        <v>0</v>
      </c>
      <c r="H87" s="24">
        <v>0</v>
      </c>
      <c r="I87" s="21">
        <v>0</v>
      </c>
      <c r="J87" s="24">
        <v>0</v>
      </c>
      <c r="K87" s="24">
        <v>0</v>
      </c>
      <c r="L87" s="21">
        <v>0</v>
      </c>
      <c r="M87" s="24">
        <v>0</v>
      </c>
      <c r="N87" s="24">
        <v>0</v>
      </c>
      <c r="O87" s="21">
        <v>0</v>
      </c>
      <c r="P87" s="24">
        <v>0</v>
      </c>
      <c r="Q87" s="24">
        <v>0</v>
      </c>
      <c r="R87" s="21">
        <v>0</v>
      </c>
      <c r="S87" s="24">
        <v>0</v>
      </c>
      <c r="T87" s="24">
        <v>0</v>
      </c>
      <c r="U87" s="21">
        <v>0</v>
      </c>
      <c r="V87" s="22">
        <v>0</v>
      </c>
      <c r="W87" s="22">
        <v>0</v>
      </c>
      <c r="X87" s="26">
        <f t="shared" si="32"/>
        <v>0</v>
      </c>
      <c r="Y87" s="26">
        <f t="shared" si="29"/>
        <v>0</v>
      </c>
      <c r="Z87" s="26">
        <f t="shared" si="35"/>
        <v>0</v>
      </c>
      <c r="AA87" s="26">
        <f t="shared" si="36"/>
        <v>0</v>
      </c>
      <c r="AB87" s="26">
        <f t="shared" si="34"/>
        <v>0</v>
      </c>
      <c r="AC87" s="26">
        <f t="shared" si="33"/>
        <v>0</v>
      </c>
      <c r="AD87" s="26">
        <f t="shared" si="31"/>
        <v>0</v>
      </c>
    </row>
    <row r="88" spans="2:30">
      <c r="B88" s="21" t="s">
        <v>20</v>
      </c>
      <c r="C88" s="21">
        <v>0</v>
      </c>
      <c r="D88" s="22">
        <v>0</v>
      </c>
      <c r="E88" s="22">
        <v>0</v>
      </c>
      <c r="F88" s="21">
        <v>0</v>
      </c>
      <c r="G88" s="24">
        <v>0</v>
      </c>
      <c r="H88" s="24">
        <v>0</v>
      </c>
      <c r="I88" s="21">
        <v>0</v>
      </c>
      <c r="J88" s="24">
        <v>0</v>
      </c>
      <c r="K88" s="24">
        <v>0</v>
      </c>
      <c r="L88" s="21">
        <v>0</v>
      </c>
      <c r="M88" s="24">
        <v>0</v>
      </c>
      <c r="N88" s="24">
        <v>0</v>
      </c>
      <c r="O88" s="21">
        <v>1</v>
      </c>
      <c r="P88" s="24">
        <f>O88/16</f>
        <v>6.25E-2</v>
      </c>
      <c r="Q88" s="24">
        <f>P88/O94*100</f>
        <v>0.24038461538461539</v>
      </c>
      <c r="R88" s="21">
        <v>0</v>
      </c>
      <c r="S88" s="24">
        <v>0</v>
      </c>
      <c r="T88" s="24">
        <v>0</v>
      </c>
      <c r="U88" s="21">
        <v>0</v>
      </c>
      <c r="V88" s="22">
        <v>0</v>
      </c>
      <c r="W88" s="22">
        <v>0</v>
      </c>
      <c r="X88" s="26">
        <f t="shared" si="32"/>
        <v>0</v>
      </c>
      <c r="Y88" s="26">
        <f t="shared" si="29"/>
        <v>0</v>
      </c>
      <c r="Z88" s="26">
        <f>0/0.93</f>
        <v>0</v>
      </c>
      <c r="AA88" s="26">
        <f t="shared" si="36"/>
        <v>0</v>
      </c>
      <c r="AB88" s="26">
        <f>1/0.26</f>
        <v>3.8461538461538458</v>
      </c>
      <c r="AC88" s="26">
        <f t="shared" si="33"/>
        <v>0</v>
      </c>
      <c r="AD88" s="26">
        <f t="shared" si="31"/>
        <v>0</v>
      </c>
    </row>
    <row r="89" spans="2:30">
      <c r="B89" s="21" t="s">
        <v>21</v>
      </c>
      <c r="C89" s="21">
        <v>0</v>
      </c>
      <c r="D89" s="22">
        <v>0</v>
      </c>
      <c r="E89" s="22">
        <v>0</v>
      </c>
      <c r="F89" s="21">
        <v>0</v>
      </c>
      <c r="G89" s="24">
        <v>0</v>
      </c>
      <c r="H89" s="24">
        <v>0</v>
      </c>
      <c r="I89" s="21">
        <v>0</v>
      </c>
      <c r="J89" s="24">
        <v>0</v>
      </c>
      <c r="K89" s="24">
        <v>0</v>
      </c>
      <c r="L89" s="21">
        <v>0</v>
      </c>
      <c r="M89" s="24">
        <v>0</v>
      </c>
      <c r="N89" s="24">
        <v>0</v>
      </c>
      <c r="O89" s="21">
        <v>0</v>
      </c>
      <c r="P89" s="24">
        <v>0</v>
      </c>
      <c r="Q89" s="24">
        <v>0</v>
      </c>
      <c r="R89" s="21">
        <v>0</v>
      </c>
      <c r="S89" s="24">
        <v>0</v>
      </c>
      <c r="T89" s="24">
        <v>0</v>
      </c>
      <c r="U89" s="21">
        <v>0</v>
      </c>
      <c r="V89" s="22">
        <v>0</v>
      </c>
      <c r="W89" s="22">
        <v>0</v>
      </c>
      <c r="X89" s="26">
        <f t="shared" si="32"/>
        <v>0</v>
      </c>
      <c r="Y89" s="26">
        <f t="shared" si="29"/>
        <v>0</v>
      </c>
      <c r="Z89" s="26">
        <f t="shared" si="35"/>
        <v>0</v>
      </c>
      <c r="AA89" s="26">
        <f t="shared" si="36"/>
        <v>0</v>
      </c>
      <c r="AB89" s="26">
        <f>0/0.26</f>
        <v>0</v>
      </c>
      <c r="AC89" s="26">
        <f t="shared" si="33"/>
        <v>0</v>
      </c>
      <c r="AD89" s="26">
        <f t="shared" si="31"/>
        <v>0</v>
      </c>
    </row>
    <row r="90" spans="2:30">
      <c r="B90" s="21" t="s">
        <v>22</v>
      </c>
      <c r="C90" s="21">
        <v>0</v>
      </c>
      <c r="D90" s="22">
        <v>0</v>
      </c>
      <c r="E90" s="22">
        <v>0</v>
      </c>
      <c r="F90" s="21">
        <v>0</v>
      </c>
      <c r="G90" s="24">
        <v>0</v>
      </c>
      <c r="H90" s="24">
        <v>0</v>
      </c>
      <c r="I90" s="21">
        <v>7</v>
      </c>
      <c r="J90" s="24">
        <f>I90/140</f>
        <v>0.05</v>
      </c>
      <c r="K90" s="24">
        <f>J90/I94*100</f>
        <v>5.3763440860215055E-2</v>
      </c>
      <c r="L90" s="21">
        <v>0</v>
      </c>
      <c r="M90" s="24">
        <v>0</v>
      </c>
      <c r="N90" s="24">
        <v>0</v>
      </c>
      <c r="O90" s="21">
        <v>4</v>
      </c>
      <c r="P90" s="24">
        <f>O90/16</f>
        <v>0.25</v>
      </c>
      <c r="Q90" s="24">
        <f>P90/O94*100</f>
        <v>0.96153846153846156</v>
      </c>
      <c r="R90" s="21">
        <v>0</v>
      </c>
      <c r="S90" s="24">
        <v>0</v>
      </c>
      <c r="T90" s="24">
        <v>0</v>
      </c>
      <c r="U90" s="21">
        <v>0</v>
      </c>
      <c r="V90" s="22">
        <v>0</v>
      </c>
      <c r="W90" s="22">
        <v>0</v>
      </c>
      <c r="X90" s="26">
        <f t="shared" si="32"/>
        <v>0</v>
      </c>
      <c r="Y90" s="26">
        <f t="shared" si="29"/>
        <v>0</v>
      </c>
      <c r="Z90" s="26">
        <f>7/0.93</f>
        <v>7.5268817204301071</v>
      </c>
      <c r="AA90" s="26">
        <f t="shared" si="36"/>
        <v>0</v>
      </c>
      <c r="AB90" s="26">
        <f>4/0.26</f>
        <v>15.384615384615383</v>
      </c>
      <c r="AC90" s="26">
        <f t="shared" si="33"/>
        <v>0</v>
      </c>
      <c r="AD90" s="26">
        <f t="shared" si="31"/>
        <v>0</v>
      </c>
    </row>
    <row r="91" spans="2:30">
      <c r="B91" s="21" t="s">
        <v>23</v>
      </c>
      <c r="C91" s="21">
        <v>0</v>
      </c>
      <c r="D91" s="22">
        <v>0</v>
      </c>
      <c r="E91" s="22">
        <v>0</v>
      </c>
      <c r="F91" s="21">
        <v>0</v>
      </c>
      <c r="G91" s="24">
        <v>0</v>
      </c>
      <c r="H91" s="24">
        <v>0</v>
      </c>
      <c r="I91" s="21">
        <v>1</v>
      </c>
      <c r="J91" s="24">
        <f>I91/140</f>
        <v>7.1428571428571426E-3</v>
      </c>
      <c r="K91" s="24">
        <f>J91/I94*100</f>
        <v>7.6804915514592934E-3</v>
      </c>
      <c r="L91" s="21">
        <v>1</v>
      </c>
      <c r="M91" s="24">
        <f>L91/46</f>
        <v>2.1739130434782608E-2</v>
      </c>
      <c r="N91" s="24">
        <f>M91/L94*100</f>
        <v>4.101722723543888E-2</v>
      </c>
      <c r="O91" s="21">
        <v>0</v>
      </c>
      <c r="P91" s="24">
        <v>0</v>
      </c>
      <c r="Q91" s="24">
        <v>0</v>
      </c>
      <c r="R91" s="21">
        <v>2</v>
      </c>
      <c r="S91" s="24">
        <f>R91/18</f>
        <v>0.1111111111111111</v>
      </c>
      <c r="T91" s="24">
        <f>S91/R94*100</f>
        <v>0.2364066193853428</v>
      </c>
      <c r="U91" s="21">
        <v>1</v>
      </c>
      <c r="V91" s="22">
        <f>U91/16</f>
        <v>6.25E-2</v>
      </c>
      <c r="W91" s="22">
        <f>V91/U94*100</f>
        <v>0.25</v>
      </c>
      <c r="X91" s="26">
        <f t="shared" si="32"/>
        <v>0</v>
      </c>
      <c r="Y91" s="26">
        <f>0/0.01</f>
        <v>0</v>
      </c>
      <c r="Z91" s="26">
        <f>1/0.93</f>
        <v>1.075268817204301</v>
      </c>
      <c r="AA91" s="26">
        <f>1/0.53</f>
        <v>1.8867924528301885</v>
      </c>
      <c r="AB91" s="26">
        <f>0/0.26</f>
        <v>0</v>
      </c>
      <c r="AC91" s="26">
        <f>2/0.47</f>
        <v>4.2553191489361701</v>
      </c>
      <c r="AD91" s="26">
        <f>1/0.25</f>
        <v>4</v>
      </c>
    </row>
    <row r="92" spans="2:30">
      <c r="B92" s="21" t="s">
        <v>24</v>
      </c>
      <c r="C92" s="21">
        <v>0</v>
      </c>
      <c r="D92" s="22">
        <v>0</v>
      </c>
      <c r="E92" s="22">
        <v>0</v>
      </c>
      <c r="F92" s="21">
        <v>1</v>
      </c>
      <c r="G92" s="24">
        <f>F92/99</f>
        <v>1.0101010101010102E-2</v>
      </c>
      <c r="H92" s="24">
        <f>G92/F94*100</f>
        <v>1.0101010101010102</v>
      </c>
      <c r="I92" s="21">
        <v>2</v>
      </c>
      <c r="J92" s="24">
        <f>I92/140</f>
        <v>1.4285714285714285E-2</v>
      </c>
      <c r="K92" s="24">
        <f>J92/I94*100</f>
        <v>1.5360983102918587E-2</v>
      </c>
      <c r="L92" s="21">
        <v>0</v>
      </c>
      <c r="M92" s="24">
        <v>0</v>
      </c>
      <c r="N92" s="24">
        <v>0</v>
      </c>
      <c r="O92" s="21">
        <v>2</v>
      </c>
      <c r="P92" s="24">
        <f>O92/16</f>
        <v>0.125</v>
      </c>
      <c r="Q92" s="24">
        <f>P92/O94*100</f>
        <v>0.48076923076923078</v>
      </c>
      <c r="R92" s="21">
        <v>3</v>
      </c>
      <c r="S92" s="24">
        <f>R92/18</f>
        <v>0.16666666666666666</v>
      </c>
      <c r="T92" s="24">
        <f>S92/R94*100</f>
        <v>0.3546099290780142</v>
      </c>
      <c r="U92" s="21">
        <v>4</v>
      </c>
      <c r="V92" s="22">
        <f>U92/16</f>
        <v>0.25</v>
      </c>
      <c r="W92" s="22">
        <f>V92/U94*100</f>
        <v>1</v>
      </c>
      <c r="X92" s="26">
        <f t="shared" si="32"/>
        <v>0</v>
      </c>
      <c r="Y92" s="26">
        <f>1/0.01</f>
        <v>100</v>
      </c>
      <c r="Z92" s="26">
        <f>2/0.93</f>
        <v>2.150537634408602</v>
      </c>
      <c r="AA92" s="26">
        <f>0/0.53</f>
        <v>0</v>
      </c>
      <c r="AB92" s="26">
        <f>2/0.26</f>
        <v>7.6923076923076916</v>
      </c>
      <c r="AC92" s="26">
        <f>3/0.47</f>
        <v>6.3829787234042561</v>
      </c>
      <c r="AD92" s="26">
        <f>4/0.25</f>
        <v>16</v>
      </c>
    </row>
    <row r="93" spans="2:30">
      <c r="B93" s="21" t="s">
        <v>25</v>
      </c>
      <c r="C93" s="21">
        <v>0</v>
      </c>
      <c r="D93" s="22">
        <v>0</v>
      </c>
      <c r="E93" s="22">
        <v>0</v>
      </c>
      <c r="F93" s="21">
        <v>0</v>
      </c>
      <c r="G93" s="24">
        <v>0</v>
      </c>
      <c r="H93" s="24">
        <v>0</v>
      </c>
      <c r="I93" s="21">
        <v>0</v>
      </c>
      <c r="J93" s="24">
        <v>0</v>
      </c>
      <c r="K93" s="24">
        <v>0</v>
      </c>
      <c r="L93" s="21">
        <v>0</v>
      </c>
      <c r="M93" s="24">
        <v>0</v>
      </c>
      <c r="N93" s="24">
        <v>0</v>
      </c>
      <c r="O93" s="21">
        <v>0</v>
      </c>
      <c r="P93" s="24">
        <v>0</v>
      </c>
      <c r="Q93" s="24">
        <v>0</v>
      </c>
      <c r="R93" s="21">
        <v>0</v>
      </c>
      <c r="S93" s="24">
        <v>0</v>
      </c>
      <c r="T93" s="24">
        <v>0</v>
      </c>
      <c r="U93" s="21">
        <v>0</v>
      </c>
      <c r="V93" s="22">
        <v>0</v>
      </c>
      <c r="W93" s="22">
        <v>0</v>
      </c>
      <c r="X93" s="26">
        <f t="shared" si="32"/>
        <v>0</v>
      </c>
      <c r="Y93" s="26">
        <f>0/0.01</f>
        <v>0</v>
      </c>
      <c r="Z93" s="26">
        <f>0/0.93</f>
        <v>0</v>
      </c>
      <c r="AA93" s="26">
        <f>0/0.53</f>
        <v>0</v>
      </c>
      <c r="AB93" s="26">
        <f>0/0.26</f>
        <v>0</v>
      </c>
      <c r="AC93" s="26">
        <f>0/0.47</f>
        <v>0</v>
      </c>
      <c r="AD93" s="26">
        <f>0/0.25</f>
        <v>0</v>
      </c>
    </row>
    <row r="94" spans="2:30">
      <c r="B94" s="21" t="s">
        <v>26</v>
      </c>
      <c r="C94" s="21">
        <f>SUM(C76:C93)</f>
        <v>3</v>
      </c>
      <c r="D94" s="22">
        <f>C94/467</f>
        <v>6.4239828693790149E-3</v>
      </c>
      <c r="E94" s="22">
        <f>D94/C96*100</f>
        <v>2.5903156731366997E-3</v>
      </c>
      <c r="F94" s="21">
        <f>SUM(F76:F93)</f>
        <v>1</v>
      </c>
      <c r="G94" s="23">
        <f>F94/99</f>
        <v>1.0101010101010102E-2</v>
      </c>
      <c r="H94" s="23">
        <f>G94/C96*100</f>
        <v>4.0729879439556863E-3</v>
      </c>
      <c r="I94" s="21">
        <f>SUM(I76:I93)</f>
        <v>93</v>
      </c>
      <c r="J94" s="23">
        <f>I94/140</f>
        <v>0.66428571428571426</v>
      </c>
      <c r="K94" s="23">
        <f>J94/C96*100</f>
        <v>0.26785714285714285</v>
      </c>
      <c r="L94" s="21">
        <f>SUM(L76:L93)</f>
        <v>53</v>
      </c>
      <c r="M94" s="23">
        <f>L94/46</f>
        <v>1.1521739130434783</v>
      </c>
      <c r="N94" s="22">
        <f>M94/C96*100</f>
        <v>0.46458625525946701</v>
      </c>
      <c r="O94" s="21">
        <f>SUM(O76:O93)</f>
        <v>26</v>
      </c>
      <c r="P94" s="23">
        <f>O94/16</f>
        <v>1.625</v>
      </c>
      <c r="Q94" s="23">
        <f>P94/C96*100</f>
        <v>0.655241935483871</v>
      </c>
      <c r="R94" s="21">
        <f>SUM(R76:R93)</f>
        <v>47</v>
      </c>
      <c r="S94" s="22">
        <f>R94/18</f>
        <v>2.6111111111111112</v>
      </c>
      <c r="T94" s="22">
        <f>S94/C96*100</f>
        <v>1.0528673835125448</v>
      </c>
      <c r="U94" s="21">
        <f>SUM(U76:U93)</f>
        <v>25</v>
      </c>
      <c r="V94" s="22">
        <f>U94/16</f>
        <v>1.5625</v>
      </c>
      <c r="W94" s="22">
        <f>V94/C96*100</f>
        <v>0.63004032258064513</v>
      </c>
      <c r="X94" s="26">
        <f t="shared" ref="X94:AD94" si="37">SUM(X76:X93)</f>
        <v>100</v>
      </c>
      <c r="Y94" s="26">
        <f t="shared" si="37"/>
        <v>100</v>
      </c>
      <c r="Z94" s="26">
        <f t="shared" si="37"/>
        <v>99.999999999999986</v>
      </c>
      <c r="AA94" s="26">
        <f t="shared" si="37"/>
        <v>100.00000000000001</v>
      </c>
      <c r="AB94" s="26">
        <f t="shared" si="37"/>
        <v>100</v>
      </c>
      <c r="AC94" s="26">
        <f t="shared" si="37"/>
        <v>100</v>
      </c>
      <c r="AD94" s="26">
        <f t="shared" si="37"/>
        <v>100</v>
      </c>
    </row>
    <row r="96" spans="2:30">
      <c r="B96" s="27" t="s">
        <v>60</v>
      </c>
      <c r="C96" s="27">
        <f>C94+F94+I94+L94+O94+R94+U94</f>
        <v>248</v>
      </c>
    </row>
    <row r="98" spans="2:30" ht="15.75">
      <c r="B98" s="36" t="s">
        <v>57</v>
      </c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7"/>
      <c r="W98" s="37"/>
      <c r="X98" s="37"/>
      <c r="Y98" s="37"/>
      <c r="Z98" s="37"/>
      <c r="AA98" s="37"/>
      <c r="AB98" s="37"/>
      <c r="AC98" s="37"/>
      <c r="AD98" s="37"/>
    </row>
    <row r="99" spans="2:30">
      <c r="B99" s="19" t="s">
        <v>0</v>
      </c>
      <c r="C99" s="19" t="s">
        <v>36</v>
      </c>
      <c r="D99" s="20" t="s">
        <v>34</v>
      </c>
      <c r="E99" s="20" t="s">
        <v>35</v>
      </c>
      <c r="F99" s="19" t="s">
        <v>37</v>
      </c>
      <c r="G99" s="20" t="s">
        <v>34</v>
      </c>
      <c r="H99" s="20" t="s">
        <v>35</v>
      </c>
      <c r="I99" s="19" t="s">
        <v>3</v>
      </c>
      <c r="J99" s="20" t="s">
        <v>34</v>
      </c>
      <c r="K99" s="20" t="s">
        <v>35</v>
      </c>
      <c r="L99" s="19" t="s">
        <v>38</v>
      </c>
      <c r="M99" s="20" t="s">
        <v>34</v>
      </c>
      <c r="N99" s="20" t="s">
        <v>35</v>
      </c>
      <c r="O99" s="19" t="s">
        <v>39</v>
      </c>
      <c r="P99" s="20" t="s">
        <v>34</v>
      </c>
      <c r="Q99" s="20" t="s">
        <v>35</v>
      </c>
      <c r="R99" s="19" t="s">
        <v>40</v>
      </c>
      <c r="S99" s="20" t="s">
        <v>34</v>
      </c>
      <c r="T99" s="20" t="s">
        <v>35</v>
      </c>
      <c r="U99" s="19" t="s">
        <v>31</v>
      </c>
      <c r="V99" s="20" t="s">
        <v>34</v>
      </c>
      <c r="W99" s="20" t="s">
        <v>35</v>
      </c>
      <c r="X99" s="20" t="s">
        <v>46</v>
      </c>
      <c r="Y99" s="20" t="s">
        <v>47</v>
      </c>
      <c r="Z99" s="20" t="s">
        <v>48</v>
      </c>
      <c r="AA99" s="20" t="s">
        <v>49</v>
      </c>
      <c r="AB99" s="20" t="s">
        <v>50</v>
      </c>
      <c r="AC99" s="20" t="s">
        <v>51</v>
      </c>
      <c r="AD99" s="20" t="s">
        <v>52</v>
      </c>
    </row>
    <row r="100" spans="2:30">
      <c r="B100" s="21" t="s">
        <v>8</v>
      </c>
      <c r="C100" s="21">
        <v>0</v>
      </c>
      <c r="D100" s="22">
        <v>0</v>
      </c>
      <c r="E100" s="22">
        <v>0</v>
      </c>
      <c r="F100" s="21">
        <v>0</v>
      </c>
      <c r="G100" s="24">
        <v>0</v>
      </c>
      <c r="H100" s="24">
        <v>0</v>
      </c>
      <c r="I100" s="21">
        <v>0</v>
      </c>
      <c r="J100" s="24">
        <v>0</v>
      </c>
      <c r="K100" s="24">
        <v>0</v>
      </c>
      <c r="L100" s="21">
        <v>0</v>
      </c>
      <c r="M100" s="24">
        <v>0</v>
      </c>
      <c r="N100" s="24">
        <v>0</v>
      </c>
      <c r="O100" s="21">
        <v>0</v>
      </c>
      <c r="P100" s="24">
        <v>0</v>
      </c>
      <c r="Q100" s="24">
        <v>0</v>
      </c>
      <c r="R100" s="21">
        <v>0</v>
      </c>
      <c r="S100" s="24">
        <v>0</v>
      </c>
      <c r="T100" s="24">
        <v>0</v>
      </c>
      <c r="U100" s="21">
        <v>0</v>
      </c>
      <c r="V100" s="24">
        <v>0</v>
      </c>
      <c r="W100" s="24">
        <v>0</v>
      </c>
      <c r="X100" s="26">
        <f>0/0.02</f>
        <v>0</v>
      </c>
      <c r="Y100" s="26">
        <f>0/0.09</f>
        <v>0</v>
      </c>
      <c r="Z100" s="26">
        <f>0/1.57</f>
        <v>0</v>
      </c>
      <c r="AA100" s="26">
        <v>0</v>
      </c>
      <c r="AB100" s="26">
        <v>0</v>
      </c>
      <c r="AC100" s="26">
        <v>0</v>
      </c>
      <c r="AD100" s="26">
        <v>0</v>
      </c>
    </row>
    <row r="101" spans="2:30">
      <c r="B101" s="21" t="s">
        <v>9</v>
      </c>
      <c r="C101" s="21">
        <v>0</v>
      </c>
      <c r="D101" s="22">
        <v>0</v>
      </c>
      <c r="E101" s="22">
        <v>0</v>
      </c>
      <c r="F101" s="21">
        <v>0</v>
      </c>
      <c r="G101" s="24">
        <v>0</v>
      </c>
      <c r="H101" s="24">
        <v>0</v>
      </c>
      <c r="I101" s="21">
        <v>4</v>
      </c>
      <c r="J101" s="24">
        <f>I101/140</f>
        <v>2.8571428571428571E-2</v>
      </c>
      <c r="K101" s="24">
        <f>J101/I118*100</f>
        <v>1.8198362147406735E-2</v>
      </c>
      <c r="L101" s="21">
        <v>0</v>
      </c>
      <c r="M101" s="24">
        <v>0</v>
      </c>
      <c r="N101" s="24">
        <v>0</v>
      </c>
      <c r="O101" s="21">
        <v>0</v>
      </c>
      <c r="P101" s="24">
        <v>0</v>
      </c>
      <c r="Q101" s="24">
        <v>0</v>
      </c>
      <c r="R101" s="21">
        <v>0</v>
      </c>
      <c r="S101" s="24">
        <v>0</v>
      </c>
      <c r="T101" s="24">
        <v>0</v>
      </c>
      <c r="U101" s="21">
        <v>0</v>
      </c>
      <c r="V101" s="24">
        <v>0</v>
      </c>
      <c r="W101" s="24">
        <v>0</v>
      </c>
      <c r="X101" s="26">
        <f t="shared" ref="X101:X102" si="38">0/0.02</f>
        <v>0</v>
      </c>
      <c r="Y101" s="26">
        <f t="shared" ref="Y101:Y102" si="39">0/0.09</f>
        <v>0</v>
      </c>
      <c r="Z101" s="26">
        <f>4/1.57</f>
        <v>2.5477707006369426</v>
      </c>
      <c r="AA101" s="26">
        <v>0</v>
      </c>
      <c r="AB101" s="26">
        <v>0</v>
      </c>
      <c r="AC101" s="26">
        <v>0</v>
      </c>
      <c r="AD101" s="26">
        <v>0</v>
      </c>
    </row>
    <row r="102" spans="2:30">
      <c r="B102" s="21" t="s">
        <v>10</v>
      </c>
      <c r="C102" s="21">
        <v>0</v>
      </c>
      <c r="D102" s="22">
        <v>0</v>
      </c>
      <c r="E102" s="22">
        <v>0</v>
      </c>
      <c r="F102" s="21">
        <v>0</v>
      </c>
      <c r="G102" s="24">
        <v>0</v>
      </c>
      <c r="H102" s="24">
        <v>0</v>
      </c>
      <c r="I102" s="21">
        <v>0</v>
      </c>
      <c r="J102" s="24">
        <v>0</v>
      </c>
      <c r="K102" s="24">
        <v>0</v>
      </c>
      <c r="L102" s="21">
        <v>0</v>
      </c>
      <c r="M102" s="24">
        <v>0</v>
      </c>
      <c r="N102" s="24">
        <v>0</v>
      </c>
      <c r="O102" s="21">
        <v>0</v>
      </c>
      <c r="P102" s="24">
        <v>0</v>
      </c>
      <c r="Q102" s="24">
        <v>0</v>
      </c>
      <c r="R102" s="21">
        <v>0</v>
      </c>
      <c r="S102" s="24">
        <v>0</v>
      </c>
      <c r="T102" s="24">
        <v>0</v>
      </c>
      <c r="U102" s="21">
        <v>0</v>
      </c>
      <c r="V102" s="24">
        <v>0</v>
      </c>
      <c r="W102" s="24">
        <v>0</v>
      </c>
      <c r="X102" s="26">
        <f t="shared" si="38"/>
        <v>0</v>
      </c>
      <c r="Y102" s="26">
        <f t="shared" si="39"/>
        <v>0</v>
      </c>
      <c r="Z102" s="26">
        <f>0/1.57</f>
        <v>0</v>
      </c>
      <c r="AA102" s="26">
        <v>0</v>
      </c>
      <c r="AB102" s="26">
        <v>0</v>
      </c>
      <c r="AC102" s="26">
        <v>0</v>
      </c>
      <c r="AD102" s="26">
        <v>0</v>
      </c>
    </row>
    <row r="103" spans="2:30">
      <c r="B103" s="21" t="s">
        <v>11</v>
      </c>
      <c r="C103" s="21">
        <v>2</v>
      </c>
      <c r="D103" s="22">
        <f>C103/467</f>
        <v>4.2826552462526769E-3</v>
      </c>
      <c r="E103" s="22">
        <f>D103/C118*100</f>
        <v>0.21413276231263384</v>
      </c>
      <c r="F103" s="21">
        <v>5</v>
      </c>
      <c r="G103" s="24">
        <f>F103/99</f>
        <v>5.0505050505050504E-2</v>
      </c>
      <c r="H103" s="24">
        <f>G103/F118*100</f>
        <v>0.5611672278338945</v>
      </c>
      <c r="I103" s="21">
        <v>78</v>
      </c>
      <c r="J103" s="24">
        <f>I103/140</f>
        <v>0.55714285714285716</v>
      </c>
      <c r="K103" s="24">
        <f>J103/I118*100</f>
        <v>0.35486806187443132</v>
      </c>
      <c r="L103" s="21">
        <v>0</v>
      </c>
      <c r="M103" s="24">
        <v>0</v>
      </c>
      <c r="N103" s="24">
        <v>0</v>
      </c>
      <c r="O103" s="21">
        <v>0</v>
      </c>
      <c r="P103" s="24">
        <v>0</v>
      </c>
      <c r="Q103" s="24">
        <v>0</v>
      </c>
      <c r="R103" s="21">
        <v>0</v>
      </c>
      <c r="S103" s="24">
        <v>0</v>
      </c>
      <c r="T103" s="24">
        <v>0</v>
      </c>
      <c r="U103" s="21">
        <v>0</v>
      </c>
      <c r="V103" s="24">
        <v>0</v>
      </c>
      <c r="W103" s="24">
        <v>0</v>
      </c>
      <c r="X103" s="26">
        <f>2/0.02</f>
        <v>100</v>
      </c>
      <c r="Y103" s="26">
        <f>5/0.09</f>
        <v>55.555555555555557</v>
      </c>
      <c r="Z103" s="26">
        <f>78/1.57</f>
        <v>49.681528662420384</v>
      </c>
      <c r="AA103" s="26">
        <v>0</v>
      </c>
      <c r="AB103" s="26">
        <v>0</v>
      </c>
      <c r="AC103" s="26">
        <v>0</v>
      </c>
      <c r="AD103" s="26">
        <v>0</v>
      </c>
    </row>
    <row r="104" spans="2:30">
      <c r="B104" s="21" t="s">
        <v>12</v>
      </c>
      <c r="C104" s="21">
        <v>0</v>
      </c>
      <c r="D104" s="22">
        <v>0</v>
      </c>
      <c r="E104" s="22">
        <v>0</v>
      </c>
      <c r="F104" s="21">
        <v>0</v>
      </c>
      <c r="G104" s="24">
        <v>0</v>
      </c>
      <c r="H104" s="24">
        <v>0</v>
      </c>
      <c r="I104" s="21">
        <v>0</v>
      </c>
      <c r="J104" s="24">
        <v>0</v>
      </c>
      <c r="K104" s="24">
        <v>0</v>
      </c>
      <c r="L104" s="21">
        <v>0</v>
      </c>
      <c r="M104" s="24">
        <v>0</v>
      </c>
      <c r="N104" s="24">
        <v>0</v>
      </c>
      <c r="O104" s="21">
        <v>0</v>
      </c>
      <c r="P104" s="24">
        <v>0</v>
      </c>
      <c r="Q104" s="24">
        <v>0</v>
      </c>
      <c r="R104" s="21">
        <v>0</v>
      </c>
      <c r="S104" s="24">
        <v>0</v>
      </c>
      <c r="T104" s="24">
        <v>0</v>
      </c>
      <c r="U104" s="21">
        <v>0</v>
      </c>
      <c r="V104" s="24">
        <v>0</v>
      </c>
      <c r="W104" s="24">
        <v>0</v>
      </c>
      <c r="X104" s="26">
        <f>0/0.02</f>
        <v>0</v>
      </c>
      <c r="Y104" s="26">
        <f>0/0.09</f>
        <v>0</v>
      </c>
      <c r="Z104" s="26">
        <f>0/1.57</f>
        <v>0</v>
      </c>
      <c r="AA104" s="26">
        <v>0</v>
      </c>
      <c r="AB104" s="26">
        <v>0</v>
      </c>
      <c r="AC104" s="26">
        <v>0</v>
      </c>
      <c r="AD104" s="26">
        <v>0</v>
      </c>
    </row>
    <row r="105" spans="2:30">
      <c r="B105" s="21" t="s">
        <v>13</v>
      </c>
      <c r="C105" s="21">
        <v>0</v>
      </c>
      <c r="D105" s="22">
        <v>0</v>
      </c>
      <c r="E105" s="22">
        <v>0</v>
      </c>
      <c r="F105" s="21">
        <v>0</v>
      </c>
      <c r="G105" s="24">
        <v>0</v>
      </c>
      <c r="H105" s="24">
        <v>0</v>
      </c>
      <c r="I105" s="21">
        <v>0</v>
      </c>
      <c r="J105" s="24">
        <v>0</v>
      </c>
      <c r="K105" s="24">
        <v>0</v>
      </c>
      <c r="L105" s="21">
        <v>0</v>
      </c>
      <c r="M105" s="24">
        <v>0</v>
      </c>
      <c r="N105" s="24">
        <v>0</v>
      </c>
      <c r="O105" s="21">
        <v>0</v>
      </c>
      <c r="P105" s="24">
        <v>0</v>
      </c>
      <c r="Q105" s="24">
        <v>0</v>
      </c>
      <c r="R105" s="21">
        <v>0</v>
      </c>
      <c r="S105" s="24">
        <v>0</v>
      </c>
      <c r="T105" s="24">
        <v>0</v>
      </c>
      <c r="U105" s="21">
        <v>0</v>
      </c>
      <c r="V105" s="24">
        <v>0</v>
      </c>
      <c r="W105" s="24">
        <v>0</v>
      </c>
      <c r="X105" s="26">
        <f t="shared" ref="X105:X117" si="40">0/0.02</f>
        <v>0</v>
      </c>
      <c r="Y105" s="26">
        <f>0/0.09</f>
        <v>0</v>
      </c>
      <c r="Z105" s="26">
        <f>0/1.57</f>
        <v>0</v>
      </c>
      <c r="AA105" s="26">
        <v>0</v>
      </c>
      <c r="AB105" s="26">
        <v>0</v>
      </c>
      <c r="AC105" s="26">
        <v>0</v>
      </c>
      <c r="AD105" s="26">
        <v>0</v>
      </c>
    </row>
    <row r="106" spans="2:30">
      <c r="B106" s="21" t="s">
        <v>14</v>
      </c>
      <c r="C106" s="21">
        <v>0</v>
      </c>
      <c r="D106" s="22">
        <v>0</v>
      </c>
      <c r="E106" s="22">
        <v>0</v>
      </c>
      <c r="F106" s="21">
        <v>1</v>
      </c>
      <c r="G106" s="24">
        <f>F106/99</f>
        <v>1.0101010101010102E-2</v>
      </c>
      <c r="H106" s="24">
        <f>G106/F118*100</f>
        <v>0.11223344556677892</v>
      </c>
      <c r="I106" s="21">
        <v>12</v>
      </c>
      <c r="J106" s="24">
        <f>I106/140</f>
        <v>8.5714285714285715E-2</v>
      </c>
      <c r="K106" s="24">
        <f>J106/I118*100</f>
        <v>5.4595086442220199E-2</v>
      </c>
      <c r="L106" s="21">
        <v>0</v>
      </c>
      <c r="M106" s="24">
        <v>0</v>
      </c>
      <c r="N106" s="24">
        <v>0</v>
      </c>
      <c r="O106" s="21">
        <v>0</v>
      </c>
      <c r="P106" s="24">
        <v>0</v>
      </c>
      <c r="Q106" s="24">
        <v>0</v>
      </c>
      <c r="R106" s="21">
        <v>0</v>
      </c>
      <c r="S106" s="24">
        <v>0</v>
      </c>
      <c r="T106" s="24">
        <v>0</v>
      </c>
      <c r="U106" s="21">
        <v>0</v>
      </c>
      <c r="V106" s="24">
        <v>0</v>
      </c>
      <c r="W106" s="24">
        <v>0</v>
      </c>
      <c r="X106" s="26">
        <f t="shared" si="40"/>
        <v>0</v>
      </c>
      <c r="Y106" s="26">
        <f>1/0.09</f>
        <v>11.111111111111111</v>
      </c>
      <c r="Z106" s="26">
        <f>12/1.57</f>
        <v>7.6433121019108281</v>
      </c>
      <c r="AA106" s="26">
        <v>0</v>
      </c>
      <c r="AB106" s="26">
        <v>0</v>
      </c>
      <c r="AC106" s="26">
        <v>0</v>
      </c>
      <c r="AD106" s="26">
        <v>0</v>
      </c>
    </row>
    <row r="107" spans="2:30">
      <c r="B107" s="21" t="s">
        <v>15</v>
      </c>
      <c r="C107" s="21">
        <v>0</v>
      </c>
      <c r="D107" s="22">
        <v>0</v>
      </c>
      <c r="E107" s="22">
        <v>0</v>
      </c>
      <c r="F107" s="21">
        <v>0</v>
      </c>
      <c r="G107" s="24">
        <v>0</v>
      </c>
      <c r="H107" s="24">
        <v>0</v>
      </c>
      <c r="I107" s="21">
        <v>15</v>
      </c>
      <c r="J107" s="24">
        <f>I107/140</f>
        <v>0.10714285714285714</v>
      </c>
      <c r="K107" s="24">
        <f>J107/I118*100</f>
        <v>6.8243858052775247E-2</v>
      </c>
      <c r="L107" s="21">
        <v>0</v>
      </c>
      <c r="M107" s="24">
        <v>0</v>
      </c>
      <c r="N107" s="24">
        <v>0</v>
      </c>
      <c r="O107" s="21">
        <v>0</v>
      </c>
      <c r="P107" s="24">
        <v>0</v>
      </c>
      <c r="Q107" s="24">
        <v>0</v>
      </c>
      <c r="R107" s="21">
        <v>0</v>
      </c>
      <c r="S107" s="24">
        <v>0</v>
      </c>
      <c r="T107" s="24">
        <v>0</v>
      </c>
      <c r="U107" s="21">
        <v>0</v>
      </c>
      <c r="V107" s="24">
        <v>0</v>
      </c>
      <c r="W107" s="24">
        <v>0</v>
      </c>
      <c r="X107" s="26">
        <f t="shared" si="40"/>
        <v>0</v>
      </c>
      <c r="Y107" s="26">
        <f>0/0.09</f>
        <v>0</v>
      </c>
      <c r="Z107" s="26">
        <f>15/1.57</f>
        <v>9.5541401273885338</v>
      </c>
      <c r="AA107" s="26">
        <v>0</v>
      </c>
      <c r="AB107" s="26">
        <v>0</v>
      </c>
      <c r="AC107" s="26">
        <v>0</v>
      </c>
      <c r="AD107" s="26">
        <v>0</v>
      </c>
    </row>
    <row r="108" spans="2:30">
      <c r="B108" s="21" t="s">
        <v>16</v>
      </c>
      <c r="C108" s="21">
        <v>0</v>
      </c>
      <c r="D108" s="22">
        <v>0</v>
      </c>
      <c r="E108" s="22">
        <v>0</v>
      </c>
      <c r="F108" s="21">
        <v>3</v>
      </c>
      <c r="G108" s="24">
        <f>F108/99</f>
        <v>3.0303030303030304E-2</v>
      </c>
      <c r="H108" s="24">
        <f>G108/F118*100</f>
        <v>0.33670033670033672</v>
      </c>
      <c r="I108" s="21">
        <v>20</v>
      </c>
      <c r="J108" s="24">
        <f>I108/140</f>
        <v>0.14285714285714285</v>
      </c>
      <c r="K108" s="24">
        <f>J108/I118*100</f>
        <v>9.0991810737033663E-2</v>
      </c>
      <c r="L108" s="21">
        <v>0</v>
      </c>
      <c r="M108" s="24">
        <v>0</v>
      </c>
      <c r="N108" s="24">
        <v>0</v>
      </c>
      <c r="O108" s="21">
        <v>0</v>
      </c>
      <c r="P108" s="24">
        <v>0</v>
      </c>
      <c r="Q108" s="24">
        <v>0</v>
      </c>
      <c r="R108" s="21">
        <v>0</v>
      </c>
      <c r="S108" s="24">
        <v>0</v>
      </c>
      <c r="T108" s="24">
        <v>0</v>
      </c>
      <c r="U108" s="21">
        <v>0</v>
      </c>
      <c r="V108" s="24">
        <v>0</v>
      </c>
      <c r="W108" s="24">
        <v>0</v>
      </c>
      <c r="X108" s="26">
        <f t="shared" si="40"/>
        <v>0</v>
      </c>
      <c r="Y108" s="26">
        <f>3/0.09</f>
        <v>33.333333333333336</v>
      </c>
      <c r="Z108" s="26">
        <f>20/1.57</f>
        <v>12.738853503184712</v>
      </c>
      <c r="AA108" s="26">
        <v>0</v>
      </c>
      <c r="AB108" s="26">
        <v>0</v>
      </c>
      <c r="AC108" s="26">
        <v>0</v>
      </c>
      <c r="AD108" s="26">
        <v>0</v>
      </c>
    </row>
    <row r="109" spans="2:30">
      <c r="B109" s="21" t="s">
        <v>17</v>
      </c>
      <c r="C109" s="21">
        <v>0</v>
      </c>
      <c r="D109" s="22">
        <v>0</v>
      </c>
      <c r="E109" s="22">
        <v>0</v>
      </c>
      <c r="F109" s="21">
        <v>0</v>
      </c>
      <c r="G109" s="24">
        <v>0</v>
      </c>
      <c r="H109" s="24">
        <v>0</v>
      </c>
      <c r="I109" s="21">
        <v>0</v>
      </c>
      <c r="J109" s="24">
        <v>0</v>
      </c>
      <c r="K109" s="24">
        <v>0</v>
      </c>
      <c r="L109" s="21">
        <v>0</v>
      </c>
      <c r="M109" s="24">
        <v>0</v>
      </c>
      <c r="N109" s="24">
        <v>0</v>
      </c>
      <c r="O109" s="21">
        <v>0</v>
      </c>
      <c r="P109" s="24">
        <v>0</v>
      </c>
      <c r="Q109" s="24">
        <v>0</v>
      </c>
      <c r="R109" s="21">
        <v>0</v>
      </c>
      <c r="S109" s="24">
        <v>0</v>
      </c>
      <c r="T109" s="24">
        <v>0</v>
      </c>
      <c r="U109" s="21">
        <v>0</v>
      </c>
      <c r="V109" s="24">
        <v>0</v>
      </c>
      <c r="W109" s="24">
        <v>0</v>
      </c>
      <c r="X109" s="26">
        <f t="shared" si="40"/>
        <v>0</v>
      </c>
      <c r="Y109" s="26">
        <f>0/0.09</f>
        <v>0</v>
      </c>
      <c r="Z109" s="26">
        <f>0/1.57</f>
        <v>0</v>
      </c>
      <c r="AA109" s="26">
        <v>0</v>
      </c>
      <c r="AB109" s="26">
        <v>0</v>
      </c>
      <c r="AC109" s="26">
        <v>0</v>
      </c>
      <c r="AD109" s="26">
        <v>0</v>
      </c>
    </row>
    <row r="110" spans="2:30">
      <c r="B110" s="21" t="s">
        <v>18</v>
      </c>
      <c r="C110" s="21">
        <v>0</v>
      </c>
      <c r="D110" s="22">
        <v>0</v>
      </c>
      <c r="E110" s="22">
        <v>0</v>
      </c>
      <c r="F110" s="21">
        <v>0</v>
      </c>
      <c r="G110" s="24">
        <v>0</v>
      </c>
      <c r="H110" s="24">
        <v>0</v>
      </c>
      <c r="I110" s="21">
        <v>0</v>
      </c>
      <c r="J110" s="24">
        <v>0</v>
      </c>
      <c r="K110" s="24">
        <v>0</v>
      </c>
      <c r="L110" s="21">
        <v>0</v>
      </c>
      <c r="M110" s="24">
        <v>0</v>
      </c>
      <c r="N110" s="24">
        <v>0</v>
      </c>
      <c r="O110" s="21">
        <v>0</v>
      </c>
      <c r="P110" s="24">
        <v>0</v>
      </c>
      <c r="Q110" s="24">
        <v>0</v>
      </c>
      <c r="R110" s="21">
        <v>0</v>
      </c>
      <c r="S110" s="24">
        <v>0</v>
      </c>
      <c r="T110" s="24">
        <v>0</v>
      </c>
      <c r="U110" s="21">
        <v>0</v>
      </c>
      <c r="V110" s="24">
        <v>0</v>
      </c>
      <c r="W110" s="24">
        <v>0</v>
      </c>
      <c r="X110" s="26">
        <f t="shared" si="40"/>
        <v>0</v>
      </c>
      <c r="Y110" s="26">
        <f t="shared" ref="Y110:Y117" si="41">0/0.09</f>
        <v>0</v>
      </c>
      <c r="Z110" s="26">
        <f>0/1.57</f>
        <v>0</v>
      </c>
      <c r="AA110" s="26">
        <v>0</v>
      </c>
      <c r="AB110" s="26">
        <v>0</v>
      </c>
      <c r="AC110" s="26">
        <v>0</v>
      </c>
      <c r="AD110" s="26">
        <v>0</v>
      </c>
    </row>
    <row r="111" spans="2:30">
      <c r="B111" s="21" t="s">
        <v>19</v>
      </c>
      <c r="C111" s="21">
        <v>0</v>
      </c>
      <c r="D111" s="22">
        <v>0</v>
      </c>
      <c r="E111" s="22">
        <v>0</v>
      </c>
      <c r="F111" s="21">
        <v>0</v>
      </c>
      <c r="G111" s="24">
        <v>0</v>
      </c>
      <c r="H111" s="24">
        <v>0</v>
      </c>
      <c r="I111" s="21">
        <v>0</v>
      </c>
      <c r="J111" s="24">
        <v>0</v>
      </c>
      <c r="K111" s="24">
        <v>0</v>
      </c>
      <c r="L111" s="21">
        <v>0</v>
      </c>
      <c r="M111" s="24">
        <v>0</v>
      </c>
      <c r="N111" s="24">
        <v>0</v>
      </c>
      <c r="O111" s="21">
        <v>0</v>
      </c>
      <c r="P111" s="24">
        <v>0</v>
      </c>
      <c r="Q111" s="24">
        <v>0</v>
      </c>
      <c r="R111" s="21">
        <v>0</v>
      </c>
      <c r="S111" s="24">
        <v>0</v>
      </c>
      <c r="T111" s="24">
        <v>0</v>
      </c>
      <c r="U111" s="21">
        <v>0</v>
      </c>
      <c r="V111" s="24">
        <v>0</v>
      </c>
      <c r="W111" s="24">
        <v>0</v>
      </c>
      <c r="X111" s="26">
        <f t="shared" si="40"/>
        <v>0</v>
      </c>
      <c r="Y111" s="26">
        <f t="shared" si="41"/>
        <v>0</v>
      </c>
      <c r="Z111" s="26">
        <f>0/1.57</f>
        <v>0</v>
      </c>
      <c r="AA111" s="26">
        <v>0</v>
      </c>
      <c r="AB111" s="26">
        <v>0</v>
      </c>
      <c r="AC111" s="26">
        <v>0</v>
      </c>
      <c r="AD111" s="26">
        <v>0</v>
      </c>
    </row>
    <row r="112" spans="2:30">
      <c r="B112" s="21" t="s">
        <v>20</v>
      </c>
      <c r="C112" s="21">
        <v>0</v>
      </c>
      <c r="D112" s="22">
        <v>0</v>
      </c>
      <c r="E112" s="22">
        <v>0</v>
      </c>
      <c r="F112" s="21">
        <v>0</v>
      </c>
      <c r="G112" s="24">
        <v>0</v>
      </c>
      <c r="H112" s="24">
        <v>0</v>
      </c>
      <c r="I112" s="21">
        <v>1</v>
      </c>
      <c r="J112" s="24">
        <f>I112/140</f>
        <v>7.1428571428571426E-3</v>
      </c>
      <c r="K112" s="24">
        <f>J112/I118*100</f>
        <v>4.5495905368516838E-3</v>
      </c>
      <c r="L112" s="21">
        <v>0</v>
      </c>
      <c r="M112" s="24">
        <v>0</v>
      </c>
      <c r="N112" s="24">
        <v>0</v>
      </c>
      <c r="O112" s="21">
        <v>0</v>
      </c>
      <c r="P112" s="24">
        <v>0</v>
      </c>
      <c r="Q112" s="24">
        <v>0</v>
      </c>
      <c r="R112" s="21">
        <v>0</v>
      </c>
      <c r="S112" s="24">
        <v>0</v>
      </c>
      <c r="T112" s="24">
        <v>0</v>
      </c>
      <c r="U112" s="21">
        <v>0</v>
      </c>
      <c r="V112" s="24">
        <v>0</v>
      </c>
      <c r="W112" s="24">
        <v>0</v>
      </c>
      <c r="X112" s="26">
        <f t="shared" si="40"/>
        <v>0</v>
      </c>
      <c r="Y112" s="26">
        <f t="shared" si="41"/>
        <v>0</v>
      </c>
      <c r="Z112" s="26">
        <f>1/1.57</f>
        <v>0.63694267515923564</v>
      </c>
      <c r="AA112" s="26">
        <v>0</v>
      </c>
      <c r="AB112" s="26">
        <v>0</v>
      </c>
      <c r="AC112" s="26">
        <v>0</v>
      </c>
      <c r="AD112" s="26">
        <v>0</v>
      </c>
    </row>
    <row r="113" spans="2:30">
      <c r="B113" s="21" t="s">
        <v>21</v>
      </c>
      <c r="C113" s="21">
        <v>0</v>
      </c>
      <c r="D113" s="22">
        <v>0</v>
      </c>
      <c r="E113" s="22">
        <v>0</v>
      </c>
      <c r="F113" s="21">
        <v>0</v>
      </c>
      <c r="G113" s="24">
        <v>0</v>
      </c>
      <c r="H113" s="24">
        <v>0</v>
      </c>
      <c r="I113" s="21">
        <v>0</v>
      </c>
      <c r="J113" s="24">
        <v>0</v>
      </c>
      <c r="K113" s="24">
        <v>0</v>
      </c>
      <c r="L113" s="21">
        <v>0</v>
      </c>
      <c r="M113" s="24">
        <v>0</v>
      </c>
      <c r="N113" s="24">
        <v>0</v>
      </c>
      <c r="O113" s="21">
        <v>0</v>
      </c>
      <c r="P113" s="24">
        <v>0</v>
      </c>
      <c r="Q113" s="24">
        <v>0</v>
      </c>
      <c r="R113" s="21">
        <v>0</v>
      </c>
      <c r="S113" s="24">
        <v>0</v>
      </c>
      <c r="T113" s="24">
        <v>0</v>
      </c>
      <c r="U113" s="21">
        <v>0</v>
      </c>
      <c r="V113" s="24">
        <v>0</v>
      </c>
      <c r="W113" s="24">
        <v>0</v>
      </c>
      <c r="X113" s="26">
        <f t="shared" si="40"/>
        <v>0</v>
      </c>
      <c r="Y113" s="26">
        <f t="shared" si="41"/>
        <v>0</v>
      </c>
      <c r="Z113" s="26">
        <f>0/1.57</f>
        <v>0</v>
      </c>
      <c r="AA113" s="26">
        <v>0</v>
      </c>
      <c r="AB113" s="26">
        <v>0</v>
      </c>
      <c r="AC113" s="26">
        <v>0</v>
      </c>
      <c r="AD113" s="26">
        <v>0</v>
      </c>
    </row>
    <row r="114" spans="2:30">
      <c r="B114" s="21" t="s">
        <v>22</v>
      </c>
      <c r="C114" s="21">
        <v>0</v>
      </c>
      <c r="D114" s="22">
        <v>0</v>
      </c>
      <c r="E114" s="22">
        <v>0</v>
      </c>
      <c r="F114" s="21">
        <v>0</v>
      </c>
      <c r="G114" s="24">
        <v>0</v>
      </c>
      <c r="H114" s="24">
        <v>0</v>
      </c>
      <c r="I114" s="21">
        <v>0</v>
      </c>
      <c r="J114" s="24">
        <v>0</v>
      </c>
      <c r="K114" s="24">
        <v>0</v>
      </c>
      <c r="L114" s="21">
        <v>0</v>
      </c>
      <c r="M114" s="24">
        <v>0</v>
      </c>
      <c r="N114" s="24">
        <v>0</v>
      </c>
      <c r="O114" s="21">
        <v>0</v>
      </c>
      <c r="P114" s="24">
        <v>0</v>
      </c>
      <c r="Q114" s="24">
        <v>0</v>
      </c>
      <c r="R114" s="21">
        <v>0</v>
      </c>
      <c r="S114" s="24">
        <v>0</v>
      </c>
      <c r="T114" s="24">
        <v>0</v>
      </c>
      <c r="U114" s="21">
        <v>0</v>
      </c>
      <c r="V114" s="24">
        <v>0</v>
      </c>
      <c r="W114" s="24">
        <v>0</v>
      </c>
      <c r="X114" s="26">
        <f t="shared" si="40"/>
        <v>0</v>
      </c>
      <c r="Y114" s="26">
        <f t="shared" si="41"/>
        <v>0</v>
      </c>
      <c r="Z114" s="26">
        <f>0/1.57</f>
        <v>0</v>
      </c>
      <c r="AA114" s="26">
        <v>0</v>
      </c>
      <c r="AB114" s="26">
        <v>0</v>
      </c>
      <c r="AC114" s="26">
        <v>0</v>
      </c>
      <c r="AD114" s="26">
        <v>0</v>
      </c>
    </row>
    <row r="115" spans="2:30">
      <c r="B115" s="21" t="s">
        <v>23</v>
      </c>
      <c r="C115" s="21">
        <v>0</v>
      </c>
      <c r="D115" s="22">
        <v>0</v>
      </c>
      <c r="E115" s="22">
        <v>0</v>
      </c>
      <c r="F115" s="21">
        <v>0</v>
      </c>
      <c r="G115" s="24">
        <v>0</v>
      </c>
      <c r="H115" s="24">
        <v>0</v>
      </c>
      <c r="I115" s="21">
        <v>0</v>
      </c>
      <c r="J115" s="24">
        <v>0</v>
      </c>
      <c r="K115" s="24">
        <v>0</v>
      </c>
      <c r="L115" s="21">
        <v>0</v>
      </c>
      <c r="M115" s="24">
        <v>0</v>
      </c>
      <c r="N115" s="24">
        <v>0</v>
      </c>
      <c r="O115" s="21">
        <v>0</v>
      </c>
      <c r="P115" s="24">
        <v>0</v>
      </c>
      <c r="Q115" s="24">
        <v>0</v>
      </c>
      <c r="R115" s="21">
        <v>0</v>
      </c>
      <c r="S115" s="24">
        <v>0</v>
      </c>
      <c r="T115" s="24">
        <v>0</v>
      </c>
      <c r="U115" s="21">
        <v>0</v>
      </c>
      <c r="V115" s="24">
        <v>0</v>
      </c>
      <c r="W115" s="24">
        <v>0</v>
      </c>
      <c r="X115" s="26">
        <f t="shared" si="40"/>
        <v>0</v>
      </c>
      <c r="Y115" s="26">
        <f t="shared" si="41"/>
        <v>0</v>
      </c>
      <c r="Z115" s="26">
        <f>0/1.57</f>
        <v>0</v>
      </c>
      <c r="AA115" s="26">
        <v>0</v>
      </c>
      <c r="AB115" s="26">
        <v>0</v>
      </c>
      <c r="AC115" s="26">
        <v>0</v>
      </c>
      <c r="AD115" s="26">
        <v>0</v>
      </c>
    </row>
    <row r="116" spans="2:30">
      <c r="B116" s="21" t="s">
        <v>24</v>
      </c>
      <c r="C116" s="21">
        <v>0</v>
      </c>
      <c r="D116" s="22">
        <v>0</v>
      </c>
      <c r="E116" s="22">
        <v>0</v>
      </c>
      <c r="F116" s="21">
        <v>0</v>
      </c>
      <c r="G116" s="24">
        <v>0</v>
      </c>
      <c r="H116" s="24">
        <v>0</v>
      </c>
      <c r="I116" s="21">
        <v>27</v>
      </c>
      <c r="J116" s="24">
        <f>I116/140</f>
        <v>0.19285714285714287</v>
      </c>
      <c r="K116" s="24">
        <f>J116/I118*100</f>
        <v>0.12283894449499545</v>
      </c>
      <c r="L116" s="21">
        <v>0</v>
      </c>
      <c r="M116" s="24">
        <v>0</v>
      </c>
      <c r="N116" s="24">
        <v>0</v>
      </c>
      <c r="O116" s="21">
        <v>0</v>
      </c>
      <c r="P116" s="24">
        <v>0</v>
      </c>
      <c r="Q116" s="24">
        <v>0</v>
      </c>
      <c r="R116" s="21">
        <v>0</v>
      </c>
      <c r="S116" s="24">
        <v>0</v>
      </c>
      <c r="T116" s="24">
        <v>0</v>
      </c>
      <c r="U116" s="21">
        <v>0</v>
      </c>
      <c r="V116" s="24">
        <v>0</v>
      </c>
      <c r="W116" s="24">
        <v>0</v>
      </c>
      <c r="X116" s="26">
        <f t="shared" si="40"/>
        <v>0</v>
      </c>
      <c r="Y116" s="26">
        <f t="shared" si="41"/>
        <v>0</v>
      </c>
      <c r="Z116" s="26">
        <f>27/1.57</f>
        <v>17.197452229299362</v>
      </c>
      <c r="AA116" s="26">
        <v>0</v>
      </c>
      <c r="AB116" s="26">
        <v>0</v>
      </c>
      <c r="AC116" s="26">
        <v>0</v>
      </c>
      <c r="AD116" s="26">
        <v>0</v>
      </c>
    </row>
    <row r="117" spans="2:30">
      <c r="B117" s="21" t="s">
        <v>25</v>
      </c>
      <c r="C117" s="21">
        <v>0</v>
      </c>
      <c r="D117" s="22">
        <v>0</v>
      </c>
      <c r="E117" s="22">
        <v>0</v>
      </c>
      <c r="F117" s="21">
        <v>0</v>
      </c>
      <c r="G117" s="24">
        <v>0</v>
      </c>
      <c r="H117" s="24">
        <v>0</v>
      </c>
      <c r="I117" s="21">
        <v>0</v>
      </c>
      <c r="J117" s="24">
        <v>0</v>
      </c>
      <c r="K117" s="24">
        <v>0</v>
      </c>
      <c r="L117" s="21">
        <v>0</v>
      </c>
      <c r="M117" s="24">
        <v>0</v>
      </c>
      <c r="N117" s="24">
        <v>0</v>
      </c>
      <c r="O117" s="21">
        <v>0</v>
      </c>
      <c r="P117" s="24">
        <v>0</v>
      </c>
      <c r="Q117" s="24">
        <v>0</v>
      </c>
      <c r="R117" s="21">
        <v>0</v>
      </c>
      <c r="S117" s="24">
        <v>0</v>
      </c>
      <c r="T117" s="24">
        <v>0</v>
      </c>
      <c r="U117" s="21">
        <v>0</v>
      </c>
      <c r="V117" s="24">
        <v>0</v>
      </c>
      <c r="W117" s="24">
        <v>0</v>
      </c>
      <c r="X117" s="26">
        <f t="shared" si="40"/>
        <v>0</v>
      </c>
      <c r="Y117" s="26">
        <f t="shared" si="41"/>
        <v>0</v>
      </c>
      <c r="Z117" s="26">
        <f>0/1.57</f>
        <v>0</v>
      </c>
      <c r="AA117" s="26">
        <v>0</v>
      </c>
      <c r="AB117" s="26">
        <v>0</v>
      </c>
      <c r="AC117" s="26">
        <v>0</v>
      </c>
      <c r="AD117" s="26">
        <v>0</v>
      </c>
    </row>
    <row r="118" spans="2:30">
      <c r="B118" s="21" t="s">
        <v>26</v>
      </c>
      <c r="C118" s="21">
        <f>SUM(C100:C117)</f>
        <v>2</v>
      </c>
      <c r="D118" s="22">
        <f>C118/467</f>
        <v>4.2826552462526769E-3</v>
      </c>
      <c r="E118" s="22">
        <f>D118/C120*100</f>
        <v>2.5491995513408795E-3</v>
      </c>
      <c r="F118" s="21">
        <f>SUM(F100:F117)</f>
        <v>9</v>
      </c>
      <c r="G118" s="23">
        <f>F118/99</f>
        <v>9.0909090909090912E-2</v>
      </c>
      <c r="H118" s="23">
        <f>G118/C120*100</f>
        <v>5.4112554112554112E-2</v>
      </c>
      <c r="I118" s="21">
        <f>SUM(I100:I117)</f>
        <v>157</v>
      </c>
      <c r="J118" s="23">
        <f>I118/140</f>
        <v>1.1214285714285714</v>
      </c>
      <c r="K118" s="23">
        <f>J118/C120*100</f>
        <v>0.66751700680272108</v>
      </c>
      <c r="L118" s="21">
        <f>SUM(L100:L117)</f>
        <v>0</v>
      </c>
      <c r="M118" s="24">
        <v>0</v>
      </c>
      <c r="N118" s="22">
        <f>M118/C120*100</f>
        <v>0</v>
      </c>
      <c r="O118" s="21">
        <f>SUM(O100:O117)</f>
        <v>0</v>
      </c>
      <c r="P118" s="24">
        <v>0</v>
      </c>
      <c r="Q118" s="23">
        <f>P118/C120*100</f>
        <v>0</v>
      </c>
      <c r="R118" s="21">
        <f>SUM(R100:R117)</f>
        <v>0</v>
      </c>
      <c r="S118" s="24">
        <v>0</v>
      </c>
      <c r="T118" s="22">
        <f>S118/C120*100</f>
        <v>0</v>
      </c>
      <c r="U118" s="21">
        <f>SUM(U100:U117)</f>
        <v>0</v>
      </c>
      <c r="V118" s="24">
        <v>0</v>
      </c>
      <c r="W118" s="22">
        <f>V118/C120*100</f>
        <v>0</v>
      </c>
      <c r="X118" s="26">
        <f>SUM(X100:X117)</f>
        <v>100</v>
      </c>
      <c r="Y118" s="26">
        <f>SUM(Y100:Y117)</f>
        <v>100</v>
      </c>
      <c r="Z118" s="26">
        <f>SUM(Z100:Z117)</f>
        <v>100</v>
      </c>
      <c r="AA118" s="26">
        <v>0</v>
      </c>
      <c r="AB118" s="26">
        <v>0</v>
      </c>
      <c r="AC118" s="26">
        <v>0</v>
      </c>
      <c r="AD118" s="26">
        <v>0</v>
      </c>
    </row>
    <row r="119" spans="2:30">
      <c r="D119" s="15"/>
      <c r="E119" s="15"/>
    </row>
    <row r="120" spans="2:30">
      <c r="B120" s="27" t="s">
        <v>60</v>
      </c>
      <c r="C120" s="27">
        <f>C118+F118+I118+L118</f>
        <v>168</v>
      </c>
      <c r="D120" s="15"/>
      <c r="E120" s="15"/>
    </row>
    <row r="122" spans="2:30" ht="15.75">
      <c r="B122" s="36" t="s">
        <v>58</v>
      </c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7"/>
      <c r="W122" s="37"/>
      <c r="X122" s="37"/>
      <c r="Y122" s="37"/>
      <c r="Z122" s="37"/>
      <c r="AA122" s="37"/>
      <c r="AB122" s="37"/>
      <c r="AC122" s="37"/>
      <c r="AD122" s="37"/>
    </row>
    <row r="123" spans="2:30">
      <c r="B123" s="19" t="s">
        <v>0</v>
      </c>
      <c r="C123" s="19" t="s">
        <v>36</v>
      </c>
      <c r="D123" s="20" t="s">
        <v>34</v>
      </c>
      <c r="E123" s="20" t="s">
        <v>35</v>
      </c>
      <c r="F123" s="19" t="s">
        <v>37</v>
      </c>
      <c r="G123" s="20" t="s">
        <v>34</v>
      </c>
      <c r="H123" s="20" t="s">
        <v>35</v>
      </c>
      <c r="I123" s="19" t="s">
        <v>3</v>
      </c>
      <c r="J123" s="20" t="s">
        <v>34</v>
      </c>
      <c r="K123" s="20" t="s">
        <v>35</v>
      </c>
      <c r="L123" s="19" t="s">
        <v>38</v>
      </c>
      <c r="M123" s="20" t="s">
        <v>34</v>
      </c>
      <c r="N123" s="20" t="s">
        <v>35</v>
      </c>
      <c r="O123" s="19" t="s">
        <v>39</v>
      </c>
      <c r="P123" s="20" t="s">
        <v>34</v>
      </c>
      <c r="Q123" s="20" t="s">
        <v>35</v>
      </c>
      <c r="R123" s="19" t="s">
        <v>40</v>
      </c>
      <c r="S123" s="20" t="s">
        <v>34</v>
      </c>
      <c r="T123" s="20" t="s">
        <v>35</v>
      </c>
      <c r="U123" s="19" t="s">
        <v>31</v>
      </c>
      <c r="V123" s="20" t="s">
        <v>34</v>
      </c>
      <c r="W123" s="20" t="s">
        <v>35</v>
      </c>
      <c r="X123" s="20" t="s">
        <v>46</v>
      </c>
      <c r="Y123" s="20" t="s">
        <v>47</v>
      </c>
      <c r="Z123" s="20" t="s">
        <v>48</v>
      </c>
      <c r="AA123" s="20" t="s">
        <v>49</v>
      </c>
      <c r="AB123" s="20" t="s">
        <v>50</v>
      </c>
      <c r="AC123" s="20" t="s">
        <v>51</v>
      </c>
      <c r="AD123" s="20" t="s">
        <v>52</v>
      </c>
    </row>
    <row r="124" spans="2:30">
      <c r="B124" s="21" t="s">
        <v>8</v>
      </c>
      <c r="C124" s="21">
        <v>0</v>
      </c>
      <c r="D124" s="23">
        <v>0</v>
      </c>
      <c r="E124" s="23">
        <v>0</v>
      </c>
      <c r="F124" s="21">
        <v>0</v>
      </c>
      <c r="G124" s="22">
        <v>0</v>
      </c>
      <c r="H124" s="22">
        <v>0</v>
      </c>
      <c r="I124" s="21">
        <v>0</v>
      </c>
      <c r="J124" s="22">
        <v>0</v>
      </c>
      <c r="K124" s="22">
        <v>0</v>
      </c>
      <c r="L124" s="21">
        <v>0</v>
      </c>
      <c r="M124" s="22">
        <v>0</v>
      </c>
      <c r="N124" s="22">
        <v>0</v>
      </c>
      <c r="O124" s="21">
        <v>0</v>
      </c>
      <c r="P124" s="22">
        <v>0</v>
      </c>
      <c r="Q124" s="22">
        <v>0</v>
      </c>
      <c r="R124" s="21">
        <v>0</v>
      </c>
      <c r="S124" s="22">
        <v>0</v>
      </c>
      <c r="T124" s="22">
        <v>0</v>
      </c>
      <c r="U124" s="21">
        <v>0</v>
      </c>
      <c r="V124" s="22">
        <v>0</v>
      </c>
      <c r="W124" s="22">
        <v>0</v>
      </c>
      <c r="X124" s="26">
        <v>0</v>
      </c>
      <c r="Y124" s="26">
        <f>0/0.01</f>
        <v>0</v>
      </c>
      <c r="Z124" s="26">
        <f>0/0.09</f>
        <v>0</v>
      </c>
      <c r="AA124" s="26">
        <v>0</v>
      </c>
      <c r="AB124" s="26">
        <v>0</v>
      </c>
      <c r="AC124" s="26">
        <v>0</v>
      </c>
      <c r="AD124" s="26">
        <v>0</v>
      </c>
    </row>
    <row r="125" spans="2:30">
      <c r="B125" s="21" t="s">
        <v>9</v>
      </c>
      <c r="C125" s="21">
        <v>0</v>
      </c>
      <c r="D125" s="23">
        <v>0</v>
      </c>
      <c r="E125" s="23">
        <v>0</v>
      </c>
      <c r="F125" s="21">
        <v>0</v>
      </c>
      <c r="G125" s="22">
        <v>0</v>
      </c>
      <c r="H125" s="22">
        <v>0</v>
      </c>
      <c r="I125" s="21">
        <v>0</v>
      </c>
      <c r="J125" s="22">
        <v>0</v>
      </c>
      <c r="K125" s="22">
        <v>0</v>
      </c>
      <c r="L125" s="21">
        <v>0</v>
      </c>
      <c r="M125" s="22">
        <v>0</v>
      </c>
      <c r="N125" s="22">
        <v>0</v>
      </c>
      <c r="O125" s="21">
        <v>0</v>
      </c>
      <c r="P125" s="22">
        <v>0</v>
      </c>
      <c r="Q125" s="22">
        <v>0</v>
      </c>
      <c r="R125" s="21">
        <v>0</v>
      </c>
      <c r="S125" s="22">
        <v>0</v>
      </c>
      <c r="T125" s="22">
        <v>0</v>
      </c>
      <c r="U125" s="21">
        <v>0</v>
      </c>
      <c r="V125" s="22">
        <v>0</v>
      </c>
      <c r="W125" s="22">
        <v>0</v>
      </c>
      <c r="X125" s="26">
        <v>0</v>
      </c>
      <c r="Y125" s="26">
        <f t="shared" ref="Y125:Y126" si="42">0/0.01</f>
        <v>0</v>
      </c>
      <c r="Z125" s="26">
        <f>0/0.09</f>
        <v>0</v>
      </c>
      <c r="AA125" s="26">
        <v>0</v>
      </c>
      <c r="AB125" s="26">
        <v>0</v>
      </c>
      <c r="AC125" s="26">
        <v>0</v>
      </c>
      <c r="AD125" s="26">
        <v>0</v>
      </c>
    </row>
    <row r="126" spans="2:30">
      <c r="B126" s="21" t="s">
        <v>10</v>
      </c>
      <c r="C126" s="21">
        <v>0</v>
      </c>
      <c r="D126" s="23">
        <v>0</v>
      </c>
      <c r="E126" s="23">
        <v>0</v>
      </c>
      <c r="F126" s="21">
        <v>0</v>
      </c>
      <c r="G126" s="22">
        <v>0</v>
      </c>
      <c r="H126" s="22">
        <v>0</v>
      </c>
      <c r="I126" s="21">
        <v>0</v>
      </c>
      <c r="J126" s="22">
        <v>0</v>
      </c>
      <c r="K126" s="22">
        <v>0</v>
      </c>
      <c r="L126" s="21">
        <v>0</v>
      </c>
      <c r="M126" s="22">
        <v>0</v>
      </c>
      <c r="N126" s="22">
        <v>0</v>
      </c>
      <c r="O126" s="21">
        <v>0</v>
      </c>
      <c r="P126" s="22">
        <v>0</v>
      </c>
      <c r="Q126" s="22">
        <v>0</v>
      </c>
      <c r="R126" s="21">
        <v>0</v>
      </c>
      <c r="S126" s="22">
        <v>0</v>
      </c>
      <c r="T126" s="22">
        <v>0</v>
      </c>
      <c r="U126" s="21">
        <v>0</v>
      </c>
      <c r="V126" s="22">
        <v>0</v>
      </c>
      <c r="W126" s="22">
        <v>0</v>
      </c>
      <c r="X126" s="26">
        <v>0</v>
      </c>
      <c r="Y126" s="26">
        <f t="shared" si="42"/>
        <v>0</v>
      </c>
      <c r="Z126" s="26">
        <f>0/0.09</f>
        <v>0</v>
      </c>
      <c r="AA126" s="26">
        <v>0</v>
      </c>
      <c r="AB126" s="26">
        <v>0</v>
      </c>
      <c r="AC126" s="26">
        <v>0</v>
      </c>
      <c r="AD126" s="26">
        <v>0</v>
      </c>
    </row>
    <row r="127" spans="2:30">
      <c r="B127" s="21" t="s">
        <v>11</v>
      </c>
      <c r="C127" s="21">
        <v>0</v>
      </c>
      <c r="D127" s="23">
        <v>0</v>
      </c>
      <c r="E127" s="23">
        <v>0</v>
      </c>
      <c r="F127" s="21">
        <v>1</v>
      </c>
      <c r="G127" s="24">
        <f>F127/99</f>
        <v>1.0101010101010102E-2</v>
      </c>
      <c r="H127" s="24">
        <f>G127/F142*100</f>
        <v>1.0101010101010102</v>
      </c>
      <c r="I127" s="21">
        <v>3</v>
      </c>
      <c r="J127" s="24">
        <f>I127/140</f>
        <v>2.1428571428571429E-2</v>
      </c>
      <c r="K127" s="24">
        <f>J127/I142*100</f>
        <v>0.23809523809523811</v>
      </c>
      <c r="L127" s="21">
        <v>0</v>
      </c>
      <c r="M127" s="22">
        <v>0</v>
      </c>
      <c r="N127" s="22">
        <v>0</v>
      </c>
      <c r="O127" s="21">
        <v>0</v>
      </c>
      <c r="P127" s="22">
        <v>0</v>
      </c>
      <c r="Q127" s="22">
        <v>0</v>
      </c>
      <c r="R127" s="21">
        <v>0</v>
      </c>
      <c r="S127" s="22">
        <v>0</v>
      </c>
      <c r="T127" s="22">
        <v>0</v>
      </c>
      <c r="U127" s="21">
        <v>0</v>
      </c>
      <c r="V127" s="22">
        <v>0</v>
      </c>
      <c r="W127" s="22">
        <v>0</v>
      </c>
      <c r="X127" s="26">
        <v>0</v>
      </c>
      <c r="Y127" s="26">
        <f>1/0.01</f>
        <v>100</v>
      </c>
      <c r="Z127" s="26">
        <f>3/0.09</f>
        <v>33.333333333333336</v>
      </c>
      <c r="AA127" s="26">
        <v>0</v>
      </c>
      <c r="AB127" s="26">
        <v>0</v>
      </c>
      <c r="AC127" s="26">
        <v>0</v>
      </c>
      <c r="AD127" s="26">
        <v>0</v>
      </c>
    </row>
    <row r="128" spans="2:30">
      <c r="B128" s="21" t="s">
        <v>12</v>
      </c>
      <c r="C128" s="21">
        <v>0</v>
      </c>
      <c r="D128" s="23">
        <v>0</v>
      </c>
      <c r="E128" s="23">
        <v>0</v>
      </c>
      <c r="F128" s="21">
        <v>0</v>
      </c>
      <c r="G128" s="24">
        <v>0</v>
      </c>
      <c r="H128" s="24">
        <v>0</v>
      </c>
      <c r="I128" s="21">
        <v>0</v>
      </c>
      <c r="J128" s="24">
        <v>0</v>
      </c>
      <c r="K128" s="24">
        <v>0</v>
      </c>
      <c r="L128" s="21">
        <v>0</v>
      </c>
      <c r="M128" s="22">
        <v>0</v>
      </c>
      <c r="N128" s="22">
        <v>0</v>
      </c>
      <c r="O128" s="21">
        <v>0</v>
      </c>
      <c r="P128" s="22">
        <v>0</v>
      </c>
      <c r="Q128" s="22">
        <v>0</v>
      </c>
      <c r="R128" s="21">
        <v>0</v>
      </c>
      <c r="S128" s="22">
        <v>0</v>
      </c>
      <c r="T128" s="22">
        <v>0</v>
      </c>
      <c r="U128" s="21">
        <v>0</v>
      </c>
      <c r="V128" s="22">
        <v>0</v>
      </c>
      <c r="W128" s="22">
        <v>0</v>
      </c>
      <c r="X128" s="26">
        <v>0</v>
      </c>
      <c r="Y128" s="26">
        <f>0/0.01</f>
        <v>0</v>
      </c>
      <c r="Z128" s="26">
        <f>0/0.09</f>
        <v>0</v>
      </c>
      <c r="AA128" s="26">
        <v>0</v>
      </c>
      <c r="AB128" s="26">
        <v>0</v>
      </c>
      <c r="AC128" s="26">
        <v>0</v>
      </c>
      <c r="AD128" s="26">
        <v>0</v>
      </c>
    </row>
    <row r="129" spans="2:30">
      <c r="B129" s="21" t="s">
        <v>13</v>
      </c>
      <c r="C129" s="21">
        <v>0</v>
      </c>
      <c r="D129" s="23">
        <v>0</v>
      </c>
      <c r="E129" s="23">
        <v>0</v>
      </c>
      <c r="F129" s="21">
        <v>0</v>
      </c>
      <c r="G129" s="24">
        <v>0</v>
      </c>
      <c r="H129" s="24">
        <v>0</v>
      </c>
      <c r="I129" s="21">
        <v>0</v>
      </c>
      <c r="J129" s="24">
        <v>0</v>
      </c>
      <c r="K129" s="24">
        <v>0</v>
      </c>
      <c r="L129" s="21">
        <v>0</v>
      </c>
      <c r="M129" s="22">
        <v>0</v>
      </c>
      <c r="N129" s="22">
        <v>0</v>
      </c>
      <c r="O129" s="21">
        <v>0</v>
      </c>
      <c r="P129" s="22">
        <v>0</v>
      </c>
      <c r="Q129" s="22">
        <v>0</v>
      </c>
      <c r="R129" s="21">
        <v>0</v>
      </c>
      <c r="S129" s="22">
        <v>0</v>
      </c>
      <c r="T129" s="22">
        <v>0</v>
      </c>
      <c r="U129" s="21">
        <v>0</v>
      </c>
      <c r="V129" s="22">
        <v>0</v>
      </c>
      <c r="W129" s="22">
        <v>0</v>
      </c>
      <c r="X129" s="26">
        <v>0</v>
      </c>
      <c r="Y129" s="26">
        <f t="shared" ref="Y129:Y141" si="43">0/0.01</f>
        <v>0</v>
      </c>
      <c r="Z129" s="26">
        <f>0/0.09</f>
        <v>0</v>
      </c>
      <c r="AA129" s="26">
        <v>0</v>
      </c>
      <c r="AB129" s="26">
        <v>0</v>
      </c>
      <c r="AC129" s="26">
        <v>0</v>
      </c>
      <c r="AD129" s="26">
        <v>0</v>
      </c>
    </row>
    <row r="130" spans="2:30">
      <c r="B130" s="21" t="s">
        <v>14</v>
      </c>
      <c r="C130" s="21">
        <v>0</v>
      </c>
      <c r="D130" s="23">
        <v>0</v>
      </c>
      <c r="E130" s="23">
        <v>0</v>
      </c>
      <c r="F130" s="21">
        <v>0</v>
      </c>
      <c r="G130" s="24">
        <v>0</v>
      </c>
      <c r="H130" s="24">
        <v>0</v>
      </c>
      <c r="I130" s="21">
        <v>1</v>
      </c>
      <c r="J130" s="24">
        <f>I130/140</f>
        <v>7.1428571428571426E-3</v>
      </c>
      <c r="K130" s="24">
        <f>J130/I142*100</f>
        <v>7.9365079365079361E-2</v>
      </c>
      <c r="L130" s="21">
        <v>0</v>
      </c>
      <c r="M130" s="22">
        <v>0</v>
      </c>
      <c r="N130" s="22">
        <v>0</v>
      </c>
      <c r="O130" s="21">
        <v>0</v>
      </c>
      <c r="P130" s="22">
        <v>0</v>
      </c>
      <c r="Q130" s="22">
        <v>0</v>
      </c>
      <c r="R130" s="21">
        <v>0</v>
      </c>
      <c r="S130" s="22">
        <v>0</v>
      </c>
      <c r="T130" s="22">
        <v>0</v>
      </c>
      <c r="U130" s="21">
        <v>0</v>
      </c>
      <c r="V130" s="22">
        <v>0</v>
      </c>
      <c r="W130" s="22">
        <v>0</v>
      </c>
      <c r="X130" s="26">
        <v>0</v>
      </c>
      <c r="Y130" s="26">
        <f t="shared" si="43"/>
        <v>0</v>
      </c>
      <c r="Z130" s="26">
        <f>1/0.09</f>
        <v>11.111111111111111</v>
      </c>
      <c r="AA130" s="26">
        <v>0</v>
      </c>
      <c r="AB130" s="26">
        <v>0</v>
      </c>
      <c r="AC130" s="26">
        <v>0</v>
      </c>
      <c r="AD130" s="26">
        <v>0</v>
      </c>
    </row>
    <row r="131" spans="2:30">
      <c r="B131" s="21" t="s">
        <v>15</v>
      </c>
      <c r="C131" s="21">
        <v>0</v>
      </c>
      <c r="D131" s="23">
        <v>0</v>
      </c>
      <c r="E131" s="23">
        <v>0</v>
      </c>
      <c r="F131" s="21">
        <v>0</v>
      </c>
      <c r="G131" s="24">
        <v>0</v>
      </c>
      <c r="H131" s="24">
        <v>0</v>
      </c>
      <c r="I131" s="21">
        <v>1</v>
      </c>
      <c r="J131" s="24">
        <f>I131/140</f>
        <v>7.1428571428571426E-3</v>
      </c>
      <c r="K131" s="24">
        <f>J131/I142*100</f>
        <v>7.9365079365079361E-2</v>
      </c>
      <c r="L131" s="21">
        <v>0</v>
      </c>
      <c r="M131" s="22">
        <v>0</v>
      </c>
      <c r="N131" s="22">
        <v>0</v>
      </c>
      <c r="O131" s="21">
        <v>0</v>
      </c>
      <c r="P131" s="22">
        <v>0</v>
      </c>
      <c r="Q131" s="22">
        <v>0</v>
      </c>
      <c r="R131" s="21">
        <v>0</v>
      </c>
      <c r="S131" s="22">
        <v>0</v>
      </c>
      <c r="T131" s="22">
        <v>0</v>
      </c>
      <c r="U131" s="21">
        <v>0</v>
      </c>
      <c r="V131" s="22">
        <v>0</v>
      </c>
      <c r="W131" s="22">
        <v>0</v>
      </c>
      <c r="X131" s="26">
        <v>0</v>
      </c>
      <c r="Y131" s="26">
        <f t="shared" si="43"/>
        <v>0</v>
      </c>
      <c r="Z131" s="26">
        <f>1/0.09</f>
        <v>11.111111111111111</v>
      </c>
      <c r="AA131" s="26">
        <v>0</v>
      </c>
      <c r="AB131" s="26">
        <v>0</v>
      </c>
      <c r="AC131" s="26">
        <v>0</v>
      </c>
      <c r="AD131" s="26">
        <v>0</v>
      </c>
    </row>
    <row r="132" spans="2:30">
      <c r="B132" s="21" t="s">
        <v>16</v>
      </c>
      <c r="C132" s="21">
        <v>0</v>
      </c>
      <c r="D132" s="23">
        <v>0</v>
      </c>
      <c r="E132" s="23">
        <v>0</v>
      </c>
      <c r="F132" s="21">
        <v>0</v>
      </c>
      <c r="G132" s="24">
        <v>0</v>
      </c>
      <c r="H132" s="24">
        <v>0</v>
      </c>
      <c r="I132" s="21">
        <v>3</v>
      </c>
      <c r="J132" s="24">
        <f>I132/140</f>
        <v>2.1428571428571429E-2</v>
      </c>
      <c r="K132" s="24">
        <f>J132/I142*100</f>
        <v>0.23809523809523811</v>
      </c>
      <c r="L132" s="21">
        <v>0</v>
      </c>
      <c r="M132" s="22">
        <v>0</v>
      </c>
      <c r="N132" s="22">
        <v>0</v>
      </c>
      <c r="O132" s="21">
        <v>0</v>
      </c>
      <c r="P132" s="22">
        <v>0</v>
      </c>
      <c r="Q132" s="22">
        <v>0</v>
      </c>
      <c r="R132" s="21">
        <v>0</v>
      </c>
      <c r="S132" s="22">
        <v>0</v>
      </c>
      <c r="T132" s="22">
        <v>0</v>
      </c>
      <c r="U132" s="21">
        <v>0</v>
      </c>
      <c r="V132" s="22">
        <v>0</v>
      </c>
      <c r="W132" s="22">
        <v>0</v>
      </c>
      <c r="X132" s="26">
        <v>0</v>
      </c>
      <c r="Y132" s="26">
        <f t="shared" si="43"/>
        <v>0</v>
      </c>
      <c r="Z132" s="26">
        <f>3/0.09</f>
        <v>33.333333333333336</v>
      </c>
      <c r="AA132" s="26">
        <v>0</v>
      </c>
      <c r="AB132" s="26">
        <v>0</v>
      </c>
      <c r="AC132" s="26">
        <v>0</v>
      </c>
      <c r="AD132" s="26">
        <v>0</v>
      </c>
    </row>
    <row r="133" spans="2:30">
      <c r="B133" s="21" t="s">
        <v>17</v>
      </c>
      <c r="C133" s="21">
        <v>0</v>
      </c>
      <c r="D133" s="23">
        <v>0</v>
      </c>
      <c r="E133" s="23">
        <v>0</v>
      </c>
      <c r="F133" s="21">
        <v>0</v>
      </c>
      <c r="G133" s="24">
        <v>0</v>
      </c>
      <c r="H133" s="24">
        <v>0</v>
      </c>
      <c r="I133" s="21">
        <v>0</v>
      </c>
      <c r="J133" s="24">
        <v>0</v>
      </c>
      <c r="K133" s="24">
        <v>0</v>
      </c>
      <c r="L133" s="21">
        <v>0</v>
      </c>
      <c r="M133" s="22">
        <v>0</v>
      </c>
      <c r="N133" s="22">
        <v>0</v>
      </c>
      <c r="O133" s="21">
        <v>0</v>
      </c>
      <c r="P133" s="22">
        <v>0</v>
      </c>
      <c r="Q133" s="22">
        <v>0</v>
      </c>
      <c r="R133" s="21">
        <v>0</v>
      </c>
      <c r="S133" s="22">
        <v>0</v>
      </c>
      <c r="T133" s="22">
        <v>0</v>
      </c>
      <c r="U133" s="21">
        <v>0</v>
      </c>
      <c r="V133" s="22">
        <v>0</v>
      </c>
      <c r="W133" s="22">
        <v>0</v>
      </c>
      <c r="X133" s="26">
        <v>0</v>
      </c>
      <c r="Y133" s="26">
        <f t="shared" si="43"/>
        <v>0</v>
      </c>
      <c r="Z133" s="26">
        <f>0/0.09</f>
        <v>0</v>
      </c>
      <c r="AA133" s="26">
        <v>0</v>
      </c>
      <c r="AB133" s="26">
        <v>0</v>
      </c>
      <c r="AC133" s="26">
        <v>0</v>
      </c>
      <c r="AD133" s="26">
        <v>0</v>
      </c>
    </row>
    <row r="134" spans="2:30">
      <c r="B134" s="21" t="s">
        <v>18</v>
      </c>
      <c r="C134" s="21">
        <v>0</v>
      </c>
      <c r="D134" s="23">
        <v>0</v>
      </c>
      <c r="E134" s="23">
        <v>0</v>
      </c>
      <c r="F134" s="21">
        <v>0</v>
      </c>
      <c r="G134" s="24">
        <v>0</v>
      </c>
      <c r="H134" s="24">
        <v>0</v>
      </c>
      <c r="I134" s="21">
        <v>0</v>
      </c>
      <c r="J134" s="24">
        <v>0</v>
      </c>
      <c r="K134" s="24">
        <v>0</v>
      </c>
      <c r="L134" s="21">
        <v>0</v>
      </c>
      <c r="M134" s="22">
        <v>0</v>
      </c>
      <c r="N134" s="22">
        <v>0</v>
      </c>
      <c r="O134" s="21">
        <v>0</v>
      </c>
      <c r="P134" s="22">
        <v>0</v>
      </c>
      <c r="Q134" s="22">
        <v>0</v>
      </c>
      <c r="R134" s="21">
        <v>0</v>
      </c>
      <c r="S134" s="22">
        <v>0</v>
      </c>
      <c r="T134" s="22">
        <v>0</v>
      </c>
      <c r="U134" s="21">
        <v>0</v>
      </c>
      <c r="V134" s="22">
        <v>0</v>
      </c>
      <c r="W134" s="22">
        <v>0</v>
      </c>
      <c r="X134" s="26">
        <v>0</v>
      </c>
      <c r="Y134" s="26">
        <f t="shared" si="43"/>
        <v>0</v>
      </c>
      <c r="Z134" s="26">
        <f t="shared" ref="Z134:Z139" si="44">0/0.09</f>
        <v>0</v>
      </c>
      <c r="AA134" s="26">
        <v>0</v>
      </c>
      <c r="AB134" s="26">
        <v>0</v>
      </c>
      <c r="AC134" s="26">
        <v>0</v>
      </c>
      <c r="AD134" s="26">
        <v>0</v>
      </c>
    </row>
    <row r="135" spans="2:30">
      <c r="B135" s="21" t="s">
        <v>19</v>
      </c>
      <c r="C135" s="21">
        <v>0</v>
      </c>
      <c r="D135" s="23">
        <v>0</v>
      </c>
      <c r="E135" s="23">
        <v>0</v>
      </c>
      <c r="F135" s="21">
        <v>0</v>
      </c>
      <c r="G135" s="24">
        <v>0</v>
      </c>
      <c r="H135" s="24">
        <v>0</v>
      </c>
      <c r="I135" s="21">
        <v>0</v>
      </c>
      <c r="J135" s="24">
        <v>0</v>
      </c>
      <c r="K135" s="24">
        <v>0</v>
      </c>
      <c r="L135" s="21">
        <v>0</v>
      </c>
      <c r="M135" s="22">
        <v>0</v>
      </c>
      <c r="N135" s="22">
        <v>0</v>
      </c>
      <c r="O135" s="21">
        <v>0</v>
      </c>
      <c r="P135" s="22">
        <v>0</v>
      </c>
      <c r="Q135" s="22">
        <v>0</v>
      </c>
      <c r="R135" s="21">
        <v>0</v>
      </c>
      <c r="S135" s="22">
        <v>0</v>
      </c>
      <c r="T135" s="22">
        <v>0</v>
      </c>
      <c r="U135" s="21">
        <v>0</v>
      </c>
      <c r="V135" s="22">
        <v>0</v>
      </c>
      <c r="W135" s="22">
        <v>0</v>
      </c>
      <c r="X135" s="26">
        <v>0</v>
      </c>
      <c r="Y135" s="26">
        <f t="shared" si="43"/>
        <v>0</v>
      </c>
      <c r="Z135" s="26">
        <f t="shared" si="44"/>
        <v>0</v>
      </c>
      <c r="AA135" s="26">
        <v>0</v>
      </c>
      <c r="AB135" s="26">
        <v>0</v>
      </c>
      <c r="AC135" s="26">
        <v>0</v>
      </c>
      <c r="AD135" s="26">
        <v>0</v>
      </c>
    </row>
    <row r="136" spans="2:30">
      <c r="B136" s="21" t="s">
        <v>20</v>
      </c>
      <c r="C136" s="21">
        <v>0</v>
      </c>
      <c r="D136" s="23">
        <v>0</v>
      </c>
      <c r="E136" s="23">
        <v>0</v>
      </c>
      <c r="F136" s="21">
        <v>0</v>
      </c>
      <c r="G136" s="24">
        <v>0</v>
      </c>
      <c r="H136" s="24">
        <v>0</v>
      </c>
      <c r="I136" s="21">
        <v>0</v>
      </c>
      <c r="J136" s="24">
        <v>0</v>
      </c>
      <c r="K136" s="24">
        <v>0</v>
      </c>
      <c r="L136" s="21">
        <v>0</v>
      </c>
      <c r="M136" s="22">
        <v>0</v>
      </c>
      <c r="N136" s="22">
        <v>0</v>
      </c>
      <c r="O136" s="21">
        <v>0</v>
      </c>
      <c r="P136" s="22">
        <v>0</v>
      </c>
      <c r="Q136" s="22">
        <v>0</v>
      </c>
      <c r="R136" s="21">
        <v>0</v>
      </c>
      <c r="S136" s="22">
        <v>0</v>
      </c>
      <c r="T136" s="22">
        <v>0</v>
      </c>
      <c r="U136" s="21">
        <v>0</v>
      </c>
      <c r="V136" s="22">
        <v>0</v>
      </c>
      <c r="W136" s="22">
        <v>0</v>
      </c>
      <c r="X136" s="26">
        <v>0</v>
      </c>
      <c r="Y136" s="26">
        <f t="shared" si="43"/>
        <v>0</v>
      </c>
      <c r="Z136" s="26">
        <f t="shared" si="44"/>
        <v>0</v>
      </c>
      <c r="AA136" s="26">
        <v>0</v>
      </c>
      <c r="AB136" s="26">
        <v>0</v>
      </c>
      <c r="AC136" s="26">
        <v>0</v>
      </c>
      <c r="AD136" s="26">
        <v>0</v>
      </c>
    </row>
    <row r="137" spans="2:30">
      <c r="B137" s="21" t="s">
        <v>21</v>
      </c>
      <c r="C137" s="21">
        <v>0</v>
      </c>
      <c r="D137" s="23">
        <v>0</v>
      </c>
      <c r="E137" s="23">
        <v>0</v>
      </c>
      <c r="F137" s="21">
        <v>0</v>
      </c>
      <c r="G137" s="24">
        <v>0</v>
      </c>
      <c r="H137" s="24">
        <v>0</v>
      </c>
      <c r="I137" s="21">
        <v>0</v>
      </c>
      <c r="J137" s="24">
        <v>0</v>
      </c>
      <c r="K137" s="24">
        <v>0</v>
      </c>
      <c r="L137" s="21">
        <v>0</v>
      </c>
      <c r="M137" s="22">
        <v>0</v>
      </c>
      <c r="N137" s="22">
        <v>0</v>
      </c>
      <c r="O137" s="21">
        <v>0</v>
      </c>
      <c r="P137" s="22">
        <v>0</v>
      </c>
      <c r="Q137" s="22">
        <v>0</v>
      </c>
      <c r="R137" s="21">
        <v>0</v>
      </c>
      <c r="S137" s="22">
        <v>0</v>
      </c>
      <c r="T137" s="22">
        <v>0</v>
      </c>
      <c r="U137" s="21">
        <v>0</v>
      </c>
      <c r="V137" s="22">
        <v>0</v>
      </c>
      <c r="W137" s="22">
        <v>0</v>
      </c>
      <c r="X137" s="26">
        <v>0</v>
      </c>
      <c r="Y137" s="26">
        <f t="shared" si="43"/>
        <v>0</v>
      </c>
      <c r="Z137" s="26">
        <f t="shared" si="44"/>
        <v>0</v>
      </c>
      <c r="AA137" s="26">
        <v>0</v>
      </c>
      <c r="AB137" s="26">
        <v>0</v>
      </c>
      <c r="AC137" s="26">
        <v>0</v>
      </c>
      <c r="AD137" s="26">
        <v>0</v>
      </c>
    </row>
    <row r="138" spans="2:30">
      <c r="B138" s="21" t="s">
        <v>22</v>
      </c>
      <c r="C138" s="21">
        <v>0</v>
      </c>
      <c r="D138" s="23">
        <v>0</v>
      </c>
      <c r="E138" s="23">
        <v>0</v>
      </c>
      <c r="F138" s="21">
        <v>0</v>
      </c>
      <c r="G138" s="24">
        <v>0</v>
      </c>
      <c r="H138" s="24">
        <v>0</v>
      </c>
      <c r="I138" s="21">
        <v>0</v>
      </c>
      <c r="J138" s="24">
        <v>0</v>
      </c>
      <c r="K138" s="24">
        <v>0</v>
      </c>
      <c r="L138" s="21">
        <v>0</v>
      </c>
      <c r="M138" s="22">
        <v>0</v>
      </c>
      <c r="N138" s="22">
        <v>0</v>
      </c>
      <c r="O138" s="21">
        <v>0</v>
      </c>
      <c r="P138" s="22">
        <v>0</v>
      </c>
      <c r="Q138" s="22">
        <v>0</v>
      </c>
      <c r="R138" s="21">
        <v>0</v>
      </c>
      <c r="S138" s="22">
        <v>0</v>
      </c>
      <c r="T138" s="22">
        <v>0</v>
      </c>
      <c r="U138" s="21">
        <v>0</v>
      </c>
      <c r="V138" s="22">
        <v>0</v>
      </c>
      <c r="W138" s="22">
        <v>0</v>
      </c>
      <c r="X138" s="26">
        <v>0</v>
      </c>
      <c r="Y138" s="26">
        <f t="shared" si="43"/>
        <v>0</v>
      </c>
      <c r="Z138" s="26">
        <f t="shared" si="44"/>
        <v>0</v>
      </c>
      <c r="AA138" s="26">
        <v>0</v>
      </c>
      <c r="AB138" s="26">
        <v>0</v>
      </c>
      <c r="AC138" s="26">
        <v>0</v>
      </c>
      <c r="AD138" s="26">
        <v>0</v>
      </c>
    </row>
    <row r="139" spans="2:30">
      <c r="B139" s="21" t="s">
        <v>23</v>
      </c>
      <c r="C139" s="21">
        <v>0</v>
      </c>
      <c r="D139" s="23">
        <v>0</v>
      </c>
      <c r="E139" s="23">
        <v>0</v>
      </c>
      <c r="F139" s="21">
        <v>0</v>
      </c>
      <c r="G139" s="24">
        <v>0</v>
      </c>
      <c r="H139" s="24">
        <v>0</v>
      </c>
      <c r="I139" s="21">
        <v>0</v>
      </c>
      <c r="J139" s="24">
        <v>0</v>
      </c>
      <c r="K139" s="24">
        <v>0</v>
      </c>
      <c r="L139" s="21">
        <v>0</v>
      </c>
      <c r="M139" s="22">
        <v>0</v>
      </c>
      <c r="N139" s="22">
        <v>0</v>
      </c>
      <c r="O139" s="21">
        <v>0</v>
      </c>
      <c r="P139" s="22">
        <v>0</v>
      </c>
      <c r="Q139" s="22">
        <v>0</v>
      </c>
      <c r="R139" s="21">
        <v>0</v>
      </c>
      <c r="S139" s="22">
        <v>0</v>
      </c>
      <c r="T139" s="22">
        <v>0</v>
      </c>
      <c r="U139" s="21">
        <v>0</v>
      </c>
      <c r="V139" s="22">
        <v>0</v>
      </c>
      <c r="W139" s="22">
        <v>0</v>
      </c>
      <c r="X139" s="26">
        <v>0</v>
      </c>
      <c r="Y139" s="26">
        <f t="shared" si="43"/>
        <v>0</v>
      </c>
      <c r="Z139" s="26">
        <f t="shared" si="44"/>
        <v>0</v>
      </c>
      <c r="AA139" s="26">
        <v>0</v>
      </c>
      <c r="AB139" s="26">
        <v>0</v>
      </c>
      <c r="AC139" s="26">
        <v>0</v>
      </c>
      <c r="AD139" s="26">
        <v>0</v>
      </c>
    </row>
    <row r="140" spans="2:30">
      <c r="B140" s="21" t="s">
        <v>24</v>
      </c>
      <c r="C140" s="21">
        <v>0</v>
      </c>
      <c r="D140" s="23">
        <v>0</v>
      </c>
      <c r="E140" s="23">
        <v>0</v>
      </c>
      <c r="F140" s="21">
        <v>0</v>
      </c>
      <c r="G140" s="24">
        <v>0</v>
      </c>
      <c r="H140" s="24">
        <v>0</v>
      </c>
      <c r="I140" s="21">
        <v>1</v>
      </c>
      <c r="J140" s="24">
        <f>I140/140</f>
        <v>7.1428571428571426E-3</v>
      </c>
      <c r="K140" s="24">
        <f>J140/I142*100</f>
        <v>7.9365079365079361E-2</v>
      </c>
      <c r="L140" s="21">
        <v>0</v>
      </c>
      <c r="M140" s="22">
        <v>0</v>
      </c>
      <c r="N140" s="22">
        <v>0</v>
      </c>
      <c r="O140" s="21">
        <v>0</v>
      </c>
      <c r="P140" s="22">
        <v>0</v>
      </c>
      <c r="Q140" s="22">
        <v>0</v>
      </c>
      <c r="R140" s="21">
        <v>0</v>
      </c>
      <c r="S140" s="22">
        <v>0</v>
      </c>
      <c r="T140" s="22">
        <v>0</v>
      </c>
      <c r="U140" s="21">
        <v>0</v>
      </c>
      <c r="V140" s="22">
        <v>0</v>
      </c>
      <c r="W140" s="22">
        <v>0</v>
      </c>
      <c r="X140" s="26">
        <v>0</v>
      </c>
      <c r="Y140" s="26">
        <f t="shared" si="43"/>
        <v>0</v>
      </c>
      <c r="Z140" s="26">
        <f>1/0.09</f>
        <v>11.111111111111111</v>
      </c>
      <c r="AA140" s="26">
        <v>0</v>
      </c>
      <c r="AB140" s="26">
        <v>0</v>
      </c>
      <c r="AC140" s="26">
        <v>0</v>
      </c>
      <c r="AD140" s="26">
        <v>0</v>
      </c>
    </row>
    <row r="141" spans="2:30">
      <c r="B141" s="21" t="s">
        <v>25</v>
      </c>
      <c r="C141" s="21">
        <v>0</v>
      </c>
      <c r="D141" s="23">
        <v>0</v>
      </c>
      <c r="E141" s="23">
        <v>0</v>
      </c>
      <c r="F141" s="21">
        <v>0</v>
      </c>
      <c r="G141" s="24">
        <v>0</v>
      </c>
      <c r="H141" s="24">
        <v>0</v>
      </c>
      <c r="I141" s="21">
        <v>0</v>
      </c>
      <c r="J141" s="24">
        <v>0</v>
      </c>
      <c r="K141" s="24">
        <v>0</v>
      </c>
      <c r="L141" s="21">
        <v>0</v>
      </c>
      <c r="M141" s="22">
        <v>0</v>
      </c>
      <c r="N141" s="22">
        <v>0</v>
      </c>
      <c r="O141" s="21">
        <v>0</v>
      </c>
      <c r="P141" s="22">
        <v>0</v>
      </c>
      <c r="Q141" s="22">
        <v>0</v>
      </c>
      <c r="R141" s="21">
        <v>0</v>
      </c>
      <c r="S141" s="22">
        <v>0</v>
      </c>
      <c r="T141" s="22">
        <v>0</v>
      </c>
      <c r="U141" s="21">
        <v>0</v>
      </c>
      <c r="V141" s="22">
        <v>0</v>
      </c>
      <c r="W141" s="22">
        <v>0</v>
      </c>
      <c r="X141" s="26">
        <v>0</v>
      </c>
      <c r="Y141" s="26">
        <f t="shared" si="43"/>
        <v>0</v>
      </c>
      <c r="Z141" s="26">
        <f>0/0.09</f>
        <v>0</v>
      </c>
      <c r="AA141" s="26">
        <v>0</v>
      </c>
      <c r="AB141" s="26">
        <v>0</v>
      </c>
      <c r="AC141" s="26">
        <v>0</v>
      </c>
      <c r="AD141" s="26">
        <v>0</v>
      </c>
    </row>
    <row r="142" spans="2:30">
      <c r="B142" s="21" t="s">
        <v>26</v>
      </c>
      <c r="C142" s="21">
        <f>SUM(C124:C141)</f>
        <v>0</v>
      </c>
      <c r="D142" s="23">
        <v>0</v>
      </c>
      <c r="E142" s="23">
        <f>D142/C144*100</f>
        <v>0</v>
      </c>
      <c r="F142" s="21">
        <f>SUM(F124:F141)</f>
        <v>1</v>
      </c>
      <c r="G142" s="23">
        <f>F142/99</f>
        <v>1.0101010101010102E-2</v>
      </c>
      <c r="H142" s="23">
        <f>G142/C144*100</f>
        <v>0.10101010101010101</v>
      </c>
      <c r="I142" s="21">
        <f>SUM(I124:I141)</f>
        <v>9</v>
      </c>
      <c r="J142" s="23">
        <f>I142/140</f>
        <v>6.4285714285714279E-2</v>
      </c>
      <c r="K142" s="23">
        <f>J142/C144*100</f>
        <v>0.64285714285714279</v>
      </c>
      <c r="L142" s="21">
        <f>SUM(L124:L141)</f>
        <v>0</v>
      </c>
      <c r="M142" s="22">
        <v>0</v>
      </c>
      <c r="N142" s="22">
        <f>M142/C144*100</f>
        <v>0</v>
      </c>
      <c r="O142" s="21">
        <f>SUM(O124:O141)</f>
        <v>0</v>
      </c>
      <c r="P142" s="22">
        <v>0</v>
      </c>
      <c r="Q142" s="23">
        <f>P142/C144*100</f>
        <v>0</v>
      </c>
      <c r="R142" s="21">
        <f>SUM(R124:R141)</f>
        <v>0</v>
      </c>
      <c r="S142" s="22">
        <v>0</v>
      </c>
      <c r="T142" s="22">
        <f>S142/C144*100</f>
        <v>0</v>
      </c>
      <c r="U142" s="21">
        <f>SUM(U124:U141)</f>
        <v>0</v>
      </c>
      <c r="V142" s="22">
        <v>0</v>
      </c>
      <c r="W142" s="22">
        <f>V142/C144*100</f>
        <v>0</v>
      </c>
      <c r="X142" s="26">
        <f>SUM(X124:X141)</f>
        <v>0</v>
      </c>
      <c r="Y142" s="26">
        <f>SUM(Y124:Y141)</f>
        <v>100</v>
      </c>
      <c r="Z142" s="26">
        <f>SUM(Z124:Z141)</f>
        <v>100</v>
      </c>
      <c r="AA142" s="26">
        <v>0</v>
      </c>
      <c r="AB142" s="26">
        <v>0</v>
      </c>
      <c r="AC142" s="26">
        <v>0</v>
      </c>
      <c r="AD142" s="26">
        <v>0</v>
      </c>
    </row>
    <row r="144" spans="2:30">
      <c r="B144" s="27" t="s">
        <v>60</v>
      </c>
      <c r="C144" s="27">
        <f>F142+I142</f>
        <v>10</v>
      </c>
    </row>
    <row r="146" spans="2:30" ht="15.75">
      <c r="B146" s="36" t="s">
        <v>59</v>
      </c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7"/>
      <c r="W146" s="37"/>
      <c r="X146" s="37"/>
      <c r="Y146" s="37"/>
      <c r="Z146" s="37"/>
      <c r="AA146" s="37"/>
      <c r="AB146" s="37"/>
      <c r="AC146" s="37"/>
      <c r="AD146" s="37"/>
    </row>
    <row r="147" spans="2:30">
      <c r="B147" s="19" t="s">
        <v>0</v>
      </c>
      <c r="C147" s="19" t="s">
        <v>36</v>
      </c>
      <c r="D147" s="20" t="s">
        <v>34</v>
      </c>
      <c r="E147" s="20" t="s">
        <v>35</v>
      </c>
      <c r="F147" s="19" t="s">
        <v>37</v>
      </c>
      <c r="G147" s="20" t="s">
        <v>34</v>
      </c>
      <c r="H147" s="20" t="s">
        <v>35</v>
      </c>
      <c r="I147" s="19" t="s">
        <v>3</v>
      </c>
      <c r="J147" s="20" t="s">
        <v>34</v>
      </c>
      <c r="K147" s="20" t="s">
        <v>35</v>
      </c>
      <c r="L147" s="19" t="s">
        <v>38</v>
      </c>
      <c r="M147" s="20" t="s">
        <v>34</v>
      </c>
      <c r="N147" s="20" t="s">
        <v>35</v>
      </c>
      <c r="O147" s="19" t="s">
        <v>39</v>
      </c>
      <c r="P147" s="20" t="s">
        <v>34</v>
      </c>
      <c r="Q147" s="20" t="s">
        <v>35</v>
      </c>
      <c r="R147" s="19" t="s">
        <v>40</v>
      </c>
      <c r="S147" s="20" t="s">
        <v>34</v>
      </c>
      <c r="T147" s="20" t="s">
        <v>35</v>
      </c>
      <c r="U147" s="19" t="s">
        <v>31</v>
      </c>
      <c r="V147" s="20" t="s">
        <v>34</v>
      </c>
      <c r="W147" s="20" t="s">
        <v>35</v>
      </c>
      <c r="X147" s="20" t="s">
        <v>46</v>
      </c>
      <c r="Y147" s="20" t="s">
        <v>47</v>
      </c>
      <c r="Z147" s="20" t="s">
        <v>48</v>
      </c>
      <c r="AA147" s="20" t="s">
        <v>49</v>
      </c>
      <c r="AB147" s="20" t="s">
        <v>50</v>
      </c>
      <c r="AC147" s="20" t="s">
        <v>51</v>
      </c>
      <c r="AD147" s="20" t="s">
        <v>52</v>
      </c>
    </row>
    <row r="148" spans="2:30">
      <c r="B148" s="21" t="s">
        <v>8</v>
      </c>
      <c r="C148" s="21">
        <v>0</v>
      </c>
      <c r="D148" s="22">
        <v>0</v>
      </c>
      <c r="E148" s="22">
        <v>0</v>
      </c>
      <c r="F148" s="21">
        <v>0</v>
      </c>
      <c r="G148" s="22">
        <v>0</v>
      </c>
      <c r="H148" s="22">
        <v>0</v>
      </c>
      <c r="I148" s="21">
        <v>0</v>
      </c>
      <c r="J148" s="24">
        <v>0</v>
      </c>
      <c r="K148" s="24">
        <v>0</v>
      </c>
      <c r="L148" s="21">
        <v>0</v>
      </c>
      <c r="M148" s="24">
        <v>0</v>
      </c>
      <c r="N148" s="24">
        <v>0</v>
      </c>
      <c r="O148" s="21">
        <v>0</v>
      </c>
      <c r="P148" s="24">
        <v>0</v>
      </c>
      <c r="Q148" s="24">
        <v>0</v>
      </c>
      <c r="R148" s="21">
        <v>0</v>
      </c>
      <c r="S148" s="24">
        <v>0</v>
      </c>
      <c r="T148" s="24">
        <v>0</v>
      </c>
      <c r="U148" s="21">
        <v>0</v>
      </c>
      <c r="V148" s="24">
        <v>0</v>
      </c>
      <c r="W148" s="24">
        <v>0</v>
      </c>
      <c r="X148" s="26">
        <v>0</v>
      </c>
      <c r="Y148" s="26">
        <v>0</v>
      </c>
      <c r="Z148" s="26">
        <f>0/0.1</f>
        <v>0</v>
      </c>
      <c r="AA148" s="26">
        <f>0/0.04</f>
        <v>0</v>
      </c>
      <c r="AB148" s="26">
        <f>0/0.02</f>
        <v>0</v>
      </c>
      <c r="AC148" s="26">
        <f>0/0.01</f>
        <v>0</v>
      </c>
      <c r="AD148" s="26">
        <f>0/0.01</f>
        <v>0</v>
      </c>
    </row>
    <row r="149" spans="2:30">
      <c r="B149" s="21" t="s">
        <v>9</v>
      </c>
      <c r="C149" s="21">
        <v>0</v>
      </c>
      <c r="D149" s="22">
        <v>0</v>
      </c>
      <c r="E149" s="22">
        <v>0</v>
      </c>
      <c r="F149" s="21">
        <v>0</v>
      </c>
      <c r="G149" s="22">
        <v>0</v>
      </c>
      <c r="H149" s="22">
        <v>0</v>
      </c>
      <c r="I149" s="21">
        <v>1</v>
      </c>
      <c r="J149" s="24">
        <f>I149/140</f>
        <v>7.1428571428571426E-3</v>
      </c>
      <c r="K149" s="24">
        <f>J149/I166*100</f>
        <v>7.1428571428571425E-2</v>
      </c>
      <c r="L149" s="21">
        <v>0</v>
      </c>
      <c r="M149" s="24">
        <v>0</v>
      </c>
      <c r="N149" s="24">
        <v>0</v>
      </c>
      <c r="O149" s="21">
        <v>0</v>
      </c>
      <c r="P149" s="24">
        <v>0</v>
      </c>
      <c r="Q149" s="24">
        <v>0</v>
      </c>
      <c r="R149" s="21">
        <v>0</v>
      </c>
      <c r="S149" s="24">
        <v>0</v>
      </c>
      <c r="T149" s="24">
        <v>0</v>
      </c>
      <c r="U149" s="21">
        <v>0</v>
      </c>
      <c r="V149" s="24">
        <v>0</v>
      </c>
      <c r="W149" s="24">
        <v>0</v>
      </c>
      <c r="X149" s="26">
        <v>0</v>
      </c>
      <c r="Y149" s="26">
        <v>0</v>
      </c>
      <c r="Z149" s="26">
        <f>1/0.1</f>
        <v>10</v>
      </c>
      <c r="AA149" s="26">
        <f>0/0.04</f>
        <v>0</v>
      </c>
      <c r="AB149" s="26">
        <f t="shared" ref="AB149:AB159" si="45">0/0.02</f>
        <v>0</v>
      </c>
      <c r="AC149" s="26">
        <f>0/0.01</f>
        <v>0</v>
      </c>
      <c r="AD149" s="26">
        <f>0/0.01</f>
        <v>0</v>
      </c>
    </row>
    <row r="150" spans="2:30">
      <c r="B150" s="21" t="s">
        <v>10</v>
      </c>
      <c r="C150" s="21">
        <v>0</v>
      </c>
      <c r="D150" s="22">
        <v>0</v>
      </c>
      <c r="E150" s="22">
        <v>0</v>
      </c>
      <c r="F150" s="21">
        <v>0</v>
      </c>
      <c r="G150" s="22">
        <v>0</v>
      </c>
      <c r="H150" s="22">
        <v>0</v>
      </c>
      <c r="I150" s="21">
        <v>0</v>
      </c>
      <c r="J150" s="24">
        <v>0</v>
      </c>
      <c r="K150" s="24">
        <v>0</v>
      </c>
      <c r="L150" s="21">
        <v>0</v>
      </c>
      <c r="M150" s="24">
        <v>0</v>
      </c>
      <c r="N150" s="24">
        <v>0</v>
      </c>
      <c r="O150" s="21">
        <v>0</v>
      </c>
      <c r="P150" s="24">
        <v>0</v>
      </c>
      <c r="Q150" s="24">
        <v>0</v>
      </c>
      <c r="R150" s="21">
        <v>1</v>
      </c>
      <c r="S150" s="24">
        <f>R150/18</f>
        <v>5.5555555555555552E-2</v>
      </c>
      <c r="T150" s="24">
        <f>S150/R166*100</f>
        <v>5.5555555555555554</v>
      </c>
      <c r="U150" s="21">
        <v>1</v>
      </c>
      <c r="V150" s="22">
        <f>U150/16</f>
        <v>6.25E-2</v>
      </c>
      <c r="W150" s="22">
        <f>V150/U166*100</f>
        <v>6.25</v>
      </c>
      <c r="X150" s="26">
        <v>0</v>
      </c>
      <c r="Y150" s="26">
        <v>0</v>
      </c>
      <c r="Z150" s="26">
        <f>0/0.1</f>
        <v>0</v>
      </c>
      <c r="AA150" s="26">
        <f>0/0.04</f>
        <v>0</v>
      </c>
      <c r="AB150" s="26">
        <f t="shared" si="45"/>
        <v>0</v>
      </c>
      <c r="AC150" s="26">
        <f>1/0.01</f>
        <v>100</v>
      </c>
      <c r="AD150" s="26">
        <f>1/0.01</f>
        <v>100</v>
      </c>
    </row>
    <row r="151" spans="2:30">
      <c r="B151" s="21" t="s">
        <v>11</v>
      </c>
      <c r="C151" s="21">
        <v>0</v>
      </c>
      <c r="D151" s="22">
        <v>0</v>
      </c>
      <c r="E151" s="22">
        <v>0</v>
      </c>
      <c r="F151" s="21">
        <v>0</v>
      </c>
      <c r="G151" s="22">
        <v>0</v>
      </c>
      <c r="H151" s="22">
        <v>0</v>
      </c>
      <c r="I151" s="21">
        <v>3</v>
      </c>
      <c r="J151" s="24">
        <f>I151/140</f>
        <v>2.1428571428571429E-2</v>
      </c>
      <c r="K151" s="24">
        <f>J151/I166*100</f>
        <v>0.2142857142857143</v>
      </c>
      <c r="L151" s="21">
        <v>2</v>
      </c>
      <c r="M151" s="24">
        <f>L151/46</f>
        <v>4.3478260869565216E-2</v>
      </c>
      <c r="N151" s="24">
        <f>M151/L166*100</f>
        <v>1.0869565217391304</v>
      </c>
      <c r="O151" s="21">
        <v>0</v>
      </c>
      <c r="P151" s="24">
        <v>0</v>
      </c>
      <c r="Q151" s="24">
        <v>0</v>
      </c>
      <c r="R151" s="21">
        <v>0</v>
      </c>
      <c r="S151" s="24">
        <v>0</v>
      </c>
      <c r="T151" s="24">
        <v>0</v>
      </c>
      <c r="U151" s="21">
        <v>0</v>
      </c>
      <c r="V151" s="22">
        <v>0</v>
      </c>
      <c r="W151" s="22">
        <v>0</v>
      </c>
      <c r="X151" s="26">
        <v>0</v>
      </c>
      <c r="Y151" s="26">
        <v>0</v>
      </c>
      <c r="Z151" s="26">
        <f>3/0.1</f>
        <v>30</v>
      </c>
      <c r="AA151" s="26">
        <f>2/0.04</f>
        <v>50</v>
      </c>
      <c r="AB151" s="26">
        <f t="shared" si="45"/>
        <v>0</v>
      </c>
      <c r="AC151" s="26">
        <f>0/0.01</f>
        <v>0</v>
      </c>
      <c r="AD151" s="26">
        <f>0/0.01</f>
        <v>0</v>
      </c>
    </row>
    <row r="152" spans="2:30">
      <c r="B152" s="21" t="s">
        <v>12</v>
      </c>
      <c r="C152" s="21">
        <v>0</v>
      </c>
      <c r="D152" s="22">
        <v>0</v>
      </c>
      <c r="E152" s="22">
        <v>0</v>
      </c>
      <c r="F152" s="21">
        <v>0</v>
      </c>
      <c r="G152" s="22">
        <v>0</v>
      </c>
      <c r="H152" s="22">
        <v>0</v>
      </c>
      <c r="I152" s="21">
        <v>0</v>
      </c>
      <c r="J152" s="24">
        <v>0</v>
      </c>
      <c r="K152" s="24">
        <v>0</v>
      </c>
      <c r="L152" s="21">
        <v>0</v>
      </c>
      <c r="M152" s="24">
        <v>0</v>
      </c>
      <c r="N152" s="24">
        <v>0</v>
      </c>
      <c r="O152" s="21">
        <v>0</v>
      </c>
      <c r="P152" s="24">
        <v>0</v>
      </c>
      <c r="Q152" s="24">
        <v>0</v>
      </c>
      <c r="R152" s="21">
        <v>0</v>
      </c>
      <c r="S152" s="24">
        <v>0</v>
      </c>
      <c r="T152" s="24">
        <v>0</v>
      </c>
      <c r="U152" s="21">
        <v>0</v>
      </c>
      <c r="V152" s="22">
        <v>0</v>
      </c>
      <c r="W152" s="22">
        <v>0</v>
      </c>
      <c r="X152" s="26">
        <v>0</v>
      </c>
      <c r="Y152" s="26">
        <v>0</v>
      </c>
      <c r="Z152" s="26">
        <f>0/0.1</f>
        <v>0</v>
      </c>
      <c r="AA152" s="26">
        <f>0/0.04</f>
        <v>0</v>
      </c>
      <c r="AB152" s="26">
        <f t="shared" si="45"/>
        <v>0</v>
      </c>
      <c r="AC152" s="26">
        <f t="shared" ref="AC152:AD165" si="46">0/0.01</f>
        <v>0</v>
      </c>
      <c r="AD152" s="26">
        <f t="shared" si="46"/>
        <v>0</v>
      </c>
    </row>
    <row r="153" spans="2:30">
      <c r="B153" s="21" t="s">
        <v>13</v>
      </c>
      <c r="C153" s="21">
        <v>0</v>
      </c>
      <c r="D153" s="22">
        <v>0</v>
      </c>
      <c r="E153" s="22">
        <v>0</v>
      </c>
      <c r="F153" s="21">
        <v>0</v>
      </c>
      <c r="G153" s="22">
        <v>0</v>
      </c>
      <c r="H153" s="22">
        <v>0</v>
      </c>
      <c r="I153" s="21">
        <v>0</v>
      </c>
      <c r="J153" s="24">
        <v>0</v>
      </c>
      <c r="K153" s="24">
        <v>0</v>
      </c>
      <c r="L153" s="21">
        <v>0</v>
      </c>
      <c r="M153" s="24">
        <v>0</v>
      </c>
      <c r="N153" s="24">
        <v>0</v>
      </c>
      <c r="O153" s="21">
        <v>0</v>
      </c>
      <c r="P153" s="24">
        <v>0</v>
      </c>
      <c r="Q153" s="24">
        <v>0</v>
      </c>
      <c r="R153" s="21">
        <v>0</v>
      </c>
      <c r="S153" s="24">
        <v>0</v>
      </c>
      <c r="T153" s="24">
        <v>0</v>
      </c>
      <c r="U153" s="21">
        <v>0</v>
      </c>
      <c r="V153" s="22">
        <v>0</v>
      </c>
      <c r="W153" s="22">
        <v>0</v>
      </c>
      <c r="X153" s="26">
        <v>0</v>
      </c>
      <c r="Y153" s="26">
        <v>0</v>
      </c>
      <c r="Z153" s="26">
        <f>0/0.1</f>
        <v>0</v>
      </c>
      <c r="AA153" s="26">
        <f>0/0.04</f>
        <v>0</v>
      </c>
      <c r="AB153" s="26">
        <f t="shared" si="45"/>
        <v>0</v>
      </c>
      <c r="AC153" s="26">
        <f t="shared" si="46"/>
        <v>0</v>
      </c>
      <c r="AD153" s="26">
        <f t="shared" si="46"/>
        <v>0</v>
      </c>
    </row>
    <row r="154" spans="2:30">
      <c r="B154" s="21" t="s">
        <v>14</v>
      </c>
      <c r="C154" s="21">
        <v>0</v>
      </c>
      <c r="D154" s="22">
        <v>0</v>
      </c>
      <c r="E154" s="22">
        <v>0</v>
      </c>
      <c r="F154" s="21">
        <v>0</v>
      </c>
      <c r="G154" s="22">
        <v>0</v>
      </c>
      <c r="H154" s="22">
        <v>0</v>
      </c>
      <c r="I154" s="21">
        <v>1</v>
      </c>
      <c r="J154" s="24">
        <f>I154/140</f>
        <v>7.1428571428571426E-3</v>
      </c>
      <c r="K154" s="24">
        <f>J154/I166*100</f>
        <v>7.1428571428571425E-2</v>
      </c>
      <c r="L154" s="21">
        <v>2</v>
      </c>
      <c r="M154" s="24">
        <f>L154/46</f>
        <v>4.3478260869565216E-2</v>
      </c>
      <c r="N154" s="24">
        <f>M154/L166*100</f>
        <v>1.0869565217391304</v>
      </c>
      <c r="O154" s="21">
        <v>0</v>
      </c>
      <c r="P154" s="24">
        <v>0</v>
      </c>
      <c r="Q154" s="24">
        <v>0</v>
      </c>
      <c r="R154" s="21">
        <v>0</v>
      </c>
      <c r="S154" s="24">
        <v>0</v>
      </c>
      <c r="T154" s="24">
        <v>0</v>
      </c>
      <c r="U154" s="21">
        <v>0</v>
      </c>
      <c r="V154" s="22">
        <v>0</v>
      </c>
      <c r="W154" s="22">
        <v>0</v>
      </c>
      <c r="X154" s="26">
        <v>0</v>
      </c>
      <c r="Y154" s="26">
        <v>0</v>
      </c>
      <c r="Z154" s="26">
        <f>1/0.1</f>
        <v>10</v>
      </c>
      <c r="AA154" s="26">
        <f>2/0.04</f>
        <v>50</v>
      </c>
      <c r="AB154" s="26">
        <f t="shared" si="45"/>
        <v>0</v>
      </c>
      <c r="AC154" s="26">
        <f t="shared" si="46"/>
        <v>0</v>
      </c>
      <c r="AD154" s="26">
        <f t="shared" si="46"/>
        <v>0</v>
      </c>
    </row>
    <row r="155" spans="2:30">
      <c r="B155" s="21" t="s">
        <v>15</v>
      </c>
      <c r="C155" s="21">
        <v>0</v>
      </c>
      <c r="D155" s="22">
        <v>0</v>
      </c>
      <c r="E155" s="22">
        <v>0</v>
      </c>
      <c r="F155" s="21">
        <v>0</v>
      </c>
      <c r="G155" s="22">
        <v>0</v>
      </c>
      <c r="H155" s="22">
        <v>0</v>
      </c>
      <c r="I155" s="21">
        <v>0</v>
      </c>
      <c r="J155" s="24">
        <v>0</v>
      </c>
      <c r="K155" s="24">
        <v>0</v>
      </c>
      <c r="L155" s="21">
        <v>0</v>
      </c>
      <c r="M155" s="24">
        <v>0</v>
      </c>
      <c r="N155" s="24">
        <v>0</v>
      </c>
      <c r="O155" s="21">
        <v>0</v>
      </c>
      <c r="P155" s="24">
        <v>0</v>
      </c>
      <c r="Q155" s="24">
        <v>0</v>
      </c>
      <c r="R155" s="21">
        <v>0</v>
      </c>
      <c r="S155" s="24">
        <v>0</v>
      </c>
      <c r="T155" s="24">
        <v>0</v>
      </c>
      <c r="U155" s="21">
        <v>0</v>
      </c>
      <c r="V155" s="22">
        <v>0</v>
      </c>
      <c r="W155" s="22">
        <v>0</v>
      </c>
      <c r="X155" s="26">
        <v>0</v>
      </c>
      <c r="Y155" s="26">
        <v>0</v>
      </c>
      <c r="Z155" s="26">
        <f>0/0.1</f>
        <v>0</v>
      </c>
      <c r="AA155" s="26">
        <f>0/0.04</f>
        <v>0</v>
      </c>
      <c r="AB155" s="26">
        <f t="shared" si="45"/>
        <v>0</v>
      </c>
      <c r="AC155" s="26">
        <f t="shared" si="46"/>
        <v>0</v>
      </c>
      <c r="AD155" s="26">
        <f t="shared" si="46"/>
        <v>0</v>
      </c>
    </row>
    <row r="156" spans="2:30">
      <c r="B156" s="21" t="s">
        <v>16</v>
      </c>
      <c r="C156" s="21">
        <v>0</v>
      </c>
      <c r="D156" s="22">
        <v>0</v>
      </c>
      <c r="E156" s="22">
        <v>0</v>
      </c>
      <c r="F156" s="21">
        <v>0</v>
      </c>
      <c r="G156" s="22">
        <v>0</v>
      </c>
      <c r="H156" s="22">
        <v>0</v>
      </c>
      <c r="I156" s="21">
        <v>1</v>
      </c>
      <c r="J156" s="24">
        <f>I156/140</f>
        <v>7.1428571428571426E-3</v>
      </c>
      <c r="K156" s="24">
        <f>J156/I166*100</f>
        <v>7.1428571428571425E-2</v>
      </c>
      <c r="L156" s="21">
        <v>0</v>
      </c>
      <c r="M156" s="24">
        <v>0</v>
      </c>
      <c r="N156" s="24">
        <v>0</v>
      </c>
      <c r="O156" s="21">
        <v>0</v>
      </c>
      <c r="P156" s="24">
        <v>0</v>
      </c>
      <c r="Q156" s="24">
        <v>0</v>
      </c>
      <c r="R156" s="21">
        <v>0</v>
      </c>
      <c r="S156" s="24">
        <v>0</v>
      </c>
      <c r="T156" s="24">
        <v>0</v>
      </c>
      <c r="U156" s="21">
        <v>0</v>
      </c>
      <c r="V156" s="22">
        <v>0</v>
      </c>
      <c r="W156" s="22">
        <v>0</v>
      </c>
      <c r="X156" s="26">
        <v>0</v>
      </c>
      <c r="Y156" s="26">
        <v>0</v>
      </c>
      <c r="Z156" s="26">
        <f>1/0.1</f>
        <v>10</v>
      </c>
      <c r="AA156" s="26">
        <f t="shared" ref="AA156:AA165" si="47">0/0.04</f>
        <v>0</v>
      </c>
      <c r="AB156" s="26">
        <f t="shared" si="45"/>
        <v>0</v>
      </c>
      <c r="AC156" s="26">
        <f t="shared" si="46"/>
        <v>0</v>
      </c>
      <c r="AD156" s="26">
        <f t="shared" si="46"/>
        <v>0</v>
      </c>
    </row>
    <row r="157" spans="2:30">
      <c r="B157" s="21" t="s">
        <v>17</v>
      </c>
      <c r="C157" s="21">
        <v>0</v>
      </c>
      <c r="D157" s="22">
        <v>0</v>
      </c>
      <c r="E157" s="22">
        <v>0</v>
      </c>
      <c r="F157" s="21">
        <v>0</v>
      </c>
      <c r="G157" s="22">
        <v>0</v>
      </c>
      <c r="H157" s="22">
        <v>0</v>
      </c>
      <c r="I157" s="21">
        <v>0</v>
      </c>
      <c r="J157" s="24">
        <v>0</v>
      </c>
      <c r="K157" s="24">
        <v>0</v>
      </c>
      <c r="L157" s="21">
        <v>0</v>
      </c>
      <c r="M157" s="24">
        <v>0</v>
      </c>
      <c r="N157" s="24">
        <v>0</v>
      </c>
      <c r="O157" s="21">
        <v>0</v>
      </c>
      <c r="P157" s="24">
        <v>0</v>
      </c>
      <c r="Q157" s="24">
        <v>0</v>
      </c>
      <c r="R157" s="21">
        <v>0</v>
      </c>
      <c r="S157" s="24">
        <v>0</v>
      </c>
      <c r="T157" s="24">
        <v>0</v>
      </c>
      <c r="U157" s="21">
        <v>0</v>
      </c>
      <c r="V157" s="22">
        <v>0</v>
      </c>
      <c r="W157" s="22">
        <v>0</v>
      </c>
      <c r="X157" s="26">
        <v>0</v>
      </c>
      <c r="Y157" s="26">
        <v>0</v>
      </c>
      <c r="Z157" s="26">
        <f>0/0.1</f>
        <v>0</v>
      </c>
      <c r="AA157" s="26">
        <f t="shared" si="47"/>
        <v>0</v>
      </c>
      <c r="AB157" s="26">
        <f t="shared" si="45"/>
        <v>0</v>
      </c>
      <c r="AC157" s="26">
        <f t="shared" si="46"/>
        <v>0</v>
      </c>
      <c r="AD157" s="26">
        <f t="shared" si="46"/>
        <v>0</v>
      </c>
    </row>
    <row r="158" spans="2:30">
      <c r="B158" s="21" t="s">
        <v>18</v>
      </c>
      <c r="C158" s="21">
        <v>0</v>
      </c>
      <c r="D158" s="22">
        <v>0</v>
      </c>
      <c r="E158" s="22">
        <v>0</v>
      </c>
      <c r="F158" s="21">
        <v>0</v>
      </c>
      <c r="G158" s="22">
        <v>0</v>
      </c>
      <c r="H158" s="22">
        <v>0</v>
      </c>
      <c r="I158" s="21">
        <v>0</v>
      </c>
      <c r="J158" s="24">
        <v>0</v>
      </c>
      <c r="K158" s="24">
        <v>0</v>
      </c>
      <c r="L158" s="21">
        <v>0</v>
      </c>
      <c r="M158" s="24">
        <v>0</v>
      </c>
      <c r="N158" s="24">
        <v>0</v>
      </c>
      <c r="O158" s="21">
        <v>0</v>
      </c>
      <c r="P158" s="24">
        <v>0</v>
      </c>
      <c r="Q158" s="24">
        <v>0</v>
      </c>
      <c r="R158" s="21">
        <v>0</v>
      </c>
      <c r="S158" s="24">
        <v>0</v>
      </c>
      <c r="T158" s="24">
        <v>0</v>
      </c>
      <c r="U158" s="21">
        <v>0</v>
      </c>
      <c r="V158" s="22">
        <v>0</v>
      </c>
      <c r="W158" s="22">
        <v>0</v>
      </c>
      <c r="X158" s="26">
        <v>0</v>
      </c>
      <c r="Y158" s="26">
        <v>0</v>
      </c>
      <c r="Z158" s="26">
        <f t="shared" ref="Z158:Z159" si="48">0/0.1</f>
        <v>0</v>
      </c>
      <c r="AA158" s="26">
        <f t="shared" si="47"/>
        <v>0</v>
      </c>
      <c r="AB158" s="26">
        <f t="shared" si="45"/>
        <v>0</v>
      </c>
      <c r="AC158" s="26">
        <f t="shared" si="46"/>
        <v>0</v>
      </c>
      <c r="AD158" s="26">
        <f t="shared" si="46"/>
        <v>0</v>
      </c>
    </row>
    <row r="159" spans="2:30">
      <c r="B159" s="21" t="s">
        <v>19</v>
      </c>
      <c r="C159" s="21">
        <v>0</v>
      </c>
      <c r="D159" s="22">
        <v>0</v>
      </c>
      <c r="E159" s="22">
        <v>0</v>
      </c>
      <c r="F159" s="21">
        <v>0</v>
      </c>
      <c r="G159" s="22">
        <v>0</v>
      </c>
      <c r="H159" s="22">
        <v>0</v>
      </c>
      <c r="I159" s="21">
        <v>0</v>
      </c>
      <c r="J159" s="24">
        <v>0</v>
      </c>
      <c r="K159" s="24">
        <v>0</v>
      </c>
      <c r="L159" s="21">
        <v>0</v>
      </c>
      <c r="M159" s="24">
        <v>0</v>
      </c>
      <c r="N159" s="24">
        <v>0</v>
      </c>
      <c r="O159" s="21">
        <v>0</v>
      </c>
      <c r="P159" s="24">
        <v>0</v>
      </c>
      <c r="Q159" s="24">
        <v>0</v>
      </c>
      <c r="R159" s="21">
        <v>0</v>
      </c>
      <c r="S159" s="24">
        <v>0</v>
      </c>
      <c r="T159" s="24">
        <v>0</v>
      </c>
      <c r="U159" s="21">
        <v>0</v>
      </c>
      <c r="V159" s="22">
        <v>0</v>
      </c>
      <c r="W159" s="22">
        <v>0</v>
      </c>
      <c r="X159" s="26">
        <v>0</v>
      </c>
      <c r="Y159" s="26">
        <v>0</v>
      </c>
      <c r="Z159" s="26">
        <f t="shared" si="48"/>
        <v>0</v>
      </c>
      <c r="AA159" s="26">
        <f t="shared" si="47"/>
        <v>0</v>
      </c>
      <c r="AB159" s="26">
        <f t="shared" si="45"/>
        <v>0</v>
      </c>
      <c r="AC159" s="26">
        <f t="shared" si="46"/>
        <v>0</v>
      </c>
      <c r="AD159" s="26">
        <f t="shared" si="46"/>
        <v>0</v>
      </c>
    </row>
    <row r="160" spans="2:30">
      <c r="B160" s="21" t="s">
        <v>20</v>
      </c>
      <c r="C160" s="21">
        <v>0</v>
      </c>
      <c r="D160" s="22">
        <v>0</v>
      </c>
      <c r="E160" s="22">
        <v>0</v>
      </c>
      <c r="F160" s="21">
        <v>0</v>
      </c>
      <c r="G160" s="22">
        <v>0</v>
      </c>
      <c r="H160" s="22">
        <v>0</v>
      </c>
      <c r="I160" s="21">
        <v>2</v>
      </c>
      <c r="J160" s="24">
        <f>I160/140</f>
        <v>1.4285714285714285E-2</v>
      </c>
      <c r="K160" s="24">
        <f>J160/I166*100</f>
        <v>0.14285714285714285</v>
      </c>
      <c r="L160" s="21">
        <v>0</v>
      </c>
      <c r="M160" s="24">
        <v>0</v>
      </c>
      <c r="N160" s="24">
        <v>0</v>
      </c>
      <c r="O160" s="21">
        <v>1</v>
      </c>
      <c r="P160" s="24">
        <f>O160/16</f>
        <v>6.25E-2</v>
      </c>
      <c r="Q160" s="24">
        <f>P160/O166*100</f>
        <v>3.125</v>
      </c>
      <c r="R160" s="21">
        <v>0</v>
      </c>
      <c r="S160" s="24">
        <v>0</v>
      </c>
      <c r="T160" s="24">
        <v>0</v>
      </c>
      <c r="U160" s="21">
        <v>0</v>
      </c>
      <c r="V160" s="22">
        <v>0</v>
      </c>
      <c r="W160" s="22">
        <v>0</v>
      </c>
      <c r="X160" s="26">
        <v>0</v>
      </c>
      <c r="Y160" s="26">
        <v>0</v>
      </c>
      <c r="Z160" s="26">
        <f>2/0.1</f>
        <v>20</v>
      </c>
      <c r="AA160" s="26">
        <f t="shared" si="47"/>
        <v>0</v>
      </c>
      <c r="AB160" s="26">
        <f>1/0.02</f>
        <v>50</v>
      </c>
      <c r="AC160" s="26">
        <f t="shared" si="46"/>
        <v>0</v>
      </c>
      <c r="AD160" s="26">
        <f t="shared" si="46"/>
        <v>0</v>
      </c>
    </row>
    <row r="161" spans="2:30">
      <c r="B161" s="21" t="s">
        <v>21</v>
      </c>
      <c r="C161" s="21">
        <v>0</v>
      </c>
      <c r="D161" s="22">
        <v>0</v>
      </c>
      <c r="E161" s="22">
        <v>0</v>
      </c>
      <c r="F161" s="21">
        <v>0</v>
      </c>
      <c r="G161" s="22">
        <v>0</v>
      </c>
      <c r="H161" s="22">
        <v>0</v>
      </c>
      <c r="I161" s="21">
        <v>0</v>
      </c>
      <c r="J161" s="24">
        <v>0</v>
      </c>
      <c r="K161" s="24">
        <v>0</v>
      </c>
      <c r="L161" s="21">
        <v>0</v>
      </c>
      <c r="M161" s="24">
        <v>0</v>
      </c>
      <c r="N161" s="24">
        <v>0</v>
      </c>
      <c r="O161" s="21">
        <v>0</v>
      </c>
      <c r="P161" s="24">
        <v>0</v>
      </c>
      <c r="Q161" s="24">
        <v>0</v>
      </c>
      <c r="R161" s="21">
        <v>0</v>
      </c>
      <c r="S161" s="24">
        <v>0</v>
      </c>
      <c r="T161" s="24">
        <v>0</v>
      </c>
      <c r="U161" s="21">
        <v>0</v>
      </c>
      <c r="V161" s="22">
        <v>0</v>
      </c>
      <c r="W161" s="22">
        <v>0</v>
      </c>
      <c r="X161" s="26">
        <v>0</v>
      </c>
      <c r="Y161" s="26">
        <v>0</v>
      </c>
      <c r="Z161" s="26">
        <f>0/0.1</f>
        <v>0</v>
      </c>
      <c r="AA161" s="26">
        <f t="shared" si="47"/>
        <v>0</v>
      </c>
      <c r="AB161" s="26">
        <f>0/0.02</f>
        <v>0</v>
      </c>
      <c r="AC161" s="26">
        <f t="shared" si="46"/>
        <v>0</v>
      </c>
      <c r="AD161" s="26">
        <f t="shared" si="46"/>
        <v>0</v>
      </c>
    </row>
    <row r="162" spans="2:30">
      <c r="B162" s="21" t="s">
        <v>22</v>
      </c>
      <c r="C162" s="21">
        <v>0</v>
      </c>
      <c r="D162" s="22">
        <v>0</v>
      </c>
      <c r="E162" s="22">
        <v>0</v>
      </c>
      <c r="F162" s="21">
        <v>0</v>
      </c>
      <c r="G162" s="22">
        <v>0</v>
      </c>
      <c r="H162" s="22">
        <v>0</v>
      </c>
      <c r="I162" s="21">
        <v>0</v>
      </c>
      <c r="J162" s="24">
        <v>0</v>
      </c>
      <c r="K162" s="24">
        <v>0</v>
      </c>
      <c r="L162" s="21">
        <v>0</v>
      </c>
      <c r="M162" s="24">
        <v>0</v>
      </c>
      <c r="N162" s="24">
        <v>0</v>
      </c>
      <c r="O162" s="21">
        <v>0</v>
      </c>
      <c r="P162" s="24">
        <v>0</v>
      </c>
      <c r="Q162" s="24">
        <v>0</v>
      </c>
      <c r="R162" s="21">
        <v>0</v>
      </c>
      <c r="S162" s="24">
        <v>0</v>
      </c>
      <c r="T162" s="24">
        <v>0</v>
      </c>
      <c r="U162" s="21">
        <v>0</v>
      </c>
      <c r="V162" s="22">
        <v>0</v>
      </c>
      <c r="W162" s="22">
        <v>0</v>
      </c>
      <c r="X162" s="26">
        <v>0</v>
      </c>
      <c r="Y162" s="26">
        <v>0</v>
      </c>
      <c r="Z162" s="26">
        <f t="shared" ref="Z162:Z163" si="49">0/0.1</f>
        <v>0</v>
      </c>
      <c r="AA162" s="26">
        <f t="shared" si="47"/>
        <v>0</v>
      </c>
      <c r="AB162" s="26">
        <f t="shared" ref="AB162:AB163" si="50">0/0.02</f>
        <v>0</v>
      </c>
      <c r="AC162" s="26">
        <f t="shared" si="46"/>
        <v>0</v>
      </c>
      <c r="AD162" s="26">
        <f t="shared" si="46"/>
        <v>0</v>
      </c>
    </row>
    <row r="163" spans="2:30">
      <c r="B163" s="21" t="s">
        <v>23</v>
      </c>
      <c r="C163" s="21">
        <v>0</v>
      </c>
      <c r="D163" s="22">
        <v>0</v>
      </c>
      <c r="E163" s="22">
        <v>0</v>
      </c>
      <c r="F163" s="21">
        <v>0</v>
      </c>
      <c r="G163" s="22">
        <v>0</v>
      </c>
      <c r="H163" s="22">
        <v>0</v>
      </c>
      <c r="I163" s="21">
        <v>0</v>
      </c>
      <c r="J163" s="24">
        <v>0</v>
      </c>
      <c r="K163" s="24">
        <v>0</v>
      </c>
      <c r="L163" s="21">
        <v>0</v>
      </c>
      <c r="M163" s="24">
        <v>0</v>
      </c>
      <c r="N163" s="24">
        <v>0</v>
      </c>
      <c r="O163" s="21">
        <v>0</v>
      </c>
      <c r="P163" s="24">
        <v>0</v>
      </c>
      <c r="Q163" s="24">
        <v>0</v>
      </c>
      <c r="R163" s="21">
        <v>0</v>
      </c>
      <c r="S163" s="24">
        <v>0</v>
      </c>
      <c r="T163" s="24">
        <v>0</v>
      </c>
      <c r="U163" s="21">
        <v>0</v>
      </c>
      <c r="V163" s="22">
        <v>0</v>
      </c>
      <c r="W163" s="22">
        <v>0</v>
      </c>
      <c r="X163" s="26">
        <v>0</v>
      </c>
      <c r="Y163" s="26">
        <v>0</v>
      </c>
      <c r="Z163" s="26">
        <f t="shared" si="49"/>
        <v>0</v>
      </c>
      <c r="AA163" s="26">
        <f t="shared" si="47"/>
        <v>0</v>
      </c>
      <c r="AB163" s="26">
        <f t="shared" si="50"/>
        <v>0</v>
      </c>
      <c r="AC163" s="26">
        <f t="shared" si="46"/>
        <v>0</v>
      </c>
      <c r="AD163" s="26">
        <f t="shared" si="46"/>
        <v>0</v>
      </c>
    </row>
    <row r="164" spans="2:30">
      <c r="B164" s="21" t="s">
        <v>24</v>
      </c>
      <c r="C164" s="21">
        <v>0</v>
      </c>
      <c r="D164" s="22">
        <v>0</v>
      </c>
      <c r="E164" s="22">
        <v>0</v>
      </c>
      <c r="F164" s="21">
        <v>0</v>
      </c>
      <c r="G164" s="22">
        <v>0</v>
      </c>
      <c r="H164" s="22">
        <v>0</v>
      </c>
      <c r="I164" s="21">
        <v>2</v>
      </c>
      <c r="J164" s="24">
        <f>I164/140</f>
        <v>1.4285714285714285E-2</v>
      </c>
      <c r="K164" s="24">
        <f>J164/I166*100</f>
        <v>0.14285714285714285</v>
      </c>
      <c r="L164" s="21">
        <v>0</v>
      </c>
      <c r="M164" s="24">
        <v>0</v>
      </c>
      <c r="N164" s="24">
        <v>0</v>
      </c>
      <c r="O164" s="21">
        <v>1</v>
      </c>
      <c r="P164" s="24">
        <f>O164/16</f>
        <v>6.25E-2</v>
      </c>
      <c r="Q164" s="24">
        <f>P164/O166*100</f>
        <v>3.125</v>
      </c>
      <c r="R164" s="21">
        <v>0</v>
      </c>
      <c r="S164" s="24">
        <v>0</v>
      </c>
      <c r="T164" s="24">
        <v>0</v>
      </c>
      <c r="U164" s="21">
        <v>0</v>
      </c>
      <c r="V164" s="22">
        <v>0</v>
      </c>
      <c r="W164" s="22">
        <v>0</v>
      </c>
      <c r="X164" s="26">
        <v>0</v>
      </c>
      <c r="Y164" s="26">
        <v>0</v>
      </c>
      <c r="Z164" s="26">
        <f>2/0.1</f>
        <v>20</v>
      </c>
      <c r="AA164" s="26">
        <f t="shared" si="47"/>
        <v>0</v>
      </c>
      <c r="AB164" s="26">
        <f>1/0.02</f>
        <v>50</v>
      </c>
      <c r="AC164" s="26">
        <f t="shared" si="46"/>
        <v>0</v>
      </c>
      <c r="AD164" s="26">
        <f t="shared" si="46"/>
        <v>0</v>
      </c>
    </row>
    <row r="165" spans="2:30">
      <c r="B165" s="21" t="s">
        <v>25</v>
      </c>
      <c r="C165" s="21">
        <v>0</v>
      </c>
      <c r="D165" s="22">
        <v>0</v>
      </c>
      <c r="E165" s="22">
        <v>0</v>
      </c>
      <c r="F165" s="21">
        <v>0</v>
      </c>
      <c r="G165" s="22">
        <v>0</v>
      </c>
      <c r="H165" s="22">
        <v>0</v>
      </c>
      <c r="I165" s="21">
        <v>0</v>
      </c>
      <c r="J165" s="24">
        <v>0</v>
      </c>
      <c r="K165" s="24">
        <v>0</v>
      </c>
      <c r="L165" s="21">
        <v>0</v>
      </c>
      <c r="M165" s="24">
        <v>0</v>
      </c>
      <c r="N165" s="24">
        <v>0</v>
      </c>
      <c r="O165" s="21">
        <v>0</v>
      </c>
      <c r="P165" s="24">
        <v>0</v>
      </c>
      <c r="Q165" s="24">
        <v>0</v>
      </c>
      <c r="R165" s="21">
        <v>0</v>
      </c>
      <c r="S165" s="24">
        <v>0</v>
      </c>
      <c r="T165" s="24">
        <v>0</v>
      </c>
      <c r="U165" s="21">
        <v>0</v>
      </c>
      <c r="V165" s="22">
        <v>0</v>
      </c>
      <c r="W165" s="22">
        <v>0</v>
      </c>
      <c r="X165" s="26">
        <v>0</v>
      </c>
      <c r="Y165" s="26">
        <v>0</v>
      </c>
      <c r="Z165" s="26">
        <f>0/0.1</f>
        <v>0</v>
      </c>
      <c r="AA165" s="26">
        <f t="shared" si="47"/>
        <v>0</v>
      </c>
      <c r="AB165" s="26">
        <f>0/0.02</f>
        <v>0</v>
      </c>
      <c r="AC165" s="26">
        <f t="shared" si="46"/>
        <v>0</v>
      </c>
      <c r="AD165" s="26">
        <f t="shared" si="46"/>
        <v>0</v>
      </c>
    </row>
    <row r="166" spans="2:30">
      <c r="B166" s="21" t="s">
        <v>26</v>
      </c>
      <c r="C166" s="21">
        <f>SUM(C148:C165)</f>
        <v>0</v>
      </c>
      <c r="D166" s="22">
        <v>0</v>
      </c>
      <c r="E166" s="22">
        <f>D166/C168*100</f>
        <v>0</v>
      </c>
      <c r="F166" s="21">
        <f>SUM(F148:F165)</f>
        <v>0</v>
      </c>
      <c r="G166" s="22">
        <v>0</v>
      </c>
      <c r="H166" s="22">
        <f>G166/C168*100</f>
        <v>0</v>
      </c>
      <c r="I166" s="21">
        <f>SUM(I148:I165)</f>
        <v>10</v>
      </c>
      <c r="J166" s="23">
        <f>I166/140</f>
        <v>7.1428571428571425E-2</v>
      </c>
      <c r="K166" s="23">
        <f>J166/C168*100</f>
        <v>0.3968253968253968</v>
      </c>
      <c r="L166" s="21">
        <f>SUM(L148:L165)</f>
        <v>4</v>
      </c>
      <c r="M166" s="23">
        <f>L166/46</f>
        <v>8.6956521739130432E-2</v>
      </c>
      <c r="N166" s="22">
        <f>M166/C168*100</f>
        <v>0.48309178743961351</v>
      </c>
      <c r="O166" s="21">
        <f>SUM(O148:O165)</f>
        <v>2</v>
      </c>
      <c r="P166" s="23">
        <f>O166/16</f>
        <v>0.125</v>
      </c>
      <c r="Q166" s="23">
        <f>P166/C168*100</f>
        <v>0.69444444444444442</v>
      </c>
      <c r="R166" s="21">
        <f>SUM(R148:R165)</f>
        <v>1</v>
      </c>
      <c r="S166" s="22">
        <f>R166/18</f>
        <v>5.5555555555555552E-2</v>
      </c>
      <c r="T166" s="22">
        <f>S166/C168*100</f>
        <v>0.30864197530864196</v>
      </c>
      <c r="U166" s="21">
        <f>SUM(U148:U165)</f>
        <v>1</v>
      </c>
      <c r="V166" s="22">
        <f>U166/16</f>
        <v>6.25E-2</v>
      </c>
      <c r="W166" s="22">
        <f>V166/C168*100</f>
        <v>0.34722222222222221</v>
      </c>
      <c r="X166" s="26">
        <v>0</v>
      </c>
      <c r="Y166" s="26">
        <v>0</v>
      </c>
      <c r="Z166" s="26">
        <f>SUM(Z148:Z165)</f>
        <v>100</v>
      </c>
      <c r="AA166" s="26">
        <f>SUM(AA148:AA165)</f>
        <v>100</v>
      </c>
      <c r="AB166" s="26">
        <f>SUM(AB148:AB165)</f>
        <v>100</v>
      </c>
      <c r="AC166" s="26">
        <f>SUM(AC148:AC165)</f>
        <v>100</v>
      </c>
      <c r="AD166" s="26"/>
    </row>
    <row r="168" spans="2:30">
      <c r="B168" s="27" t="s">
        <v>60</v>
      </c>
      <c r="C168" s="27">
        <f>I166+L166+O166+R166+U166</f>
        <v>18</v>
      </c>
    </row>
  </sheetData>
  <sheetProtection password="F834" sheet="1" objects="1" scenarios="1" selectLockedCells="1" selectUnlockedCells="1"/>
  <mergeCells count="7">
    <mergeCell ref="B122:AD122"/>
    <mergeCell ref="B146:AD146"/>
    <mergeCell ref="B2:AD2"/>
    <mergeCell ref="B26:AD26"/>
    <mergeCell ref="B50:AD50"/>
    <mergeCell ref="B74:AD74"/>
    <mergeCell ref="B98:AD98"/>
  </mergeCells>
  <pageMargins left="0.7" right="0.7" top="0.75" bottom="0.75" header="0.3" footer="0.3"/>
  <ignoredErrors>
    <ignoredError sqref="U46" formulaRange="1"/>
    <ignoredError sqref="AB4:AB5 X7 Y5 Z7:AA7 Z10 Z12 AB6:AD6 AB10 AB8:AB9 AB11:AB21 AA31 AB30 AB34 X55:Z55 Y60 Y64 Z66 Z68 AA60:AB60 AB54:AD54 AB58:AB59 AB68 AD68 X79 Y92 Z77 Z79:AA79 AA91 AB82 AB88 AB90 AB92 AD78 X103:Z103 Y106 Y108 Z101 Z112 Z116 Y127:Z127 Z140 Z149 Z151:AA151 Z154:Z155 Z156 Z160 Z164 AA154 AB160 AB164 AC150:AD15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B2:T18"/>
  <sheetViews>
    <sheetView zoomScale="90" zoomScaleNormal="90" workbookViewId="0"/>
  </sheetViews>
  <sheetFormatPr defaultRowHeight="15"/>
  <cols>
    <col min="2" max="2" width="30.7109375" bestFit="1" customWidth="1"/>
    <col min="3" max="3" width="10.85546875" customWidth="1"/>
    <col min="8" max="8" width="30.7109375" bestFit="1" customWidth="1"/>
    <col min="10" max="10" width="14" bestFit="1" customWidth="1"/>
    <col min="11" max="11" width="13.85546875" bestFit="1" customWidth="1"/>
    <col min="13" max="13" width="30.7109375" bestFit="1" customWidth="1"/>
    <col min="14" max="14" width="15.42578125" bestFit="1" customWidth="1"/>
    <col min="15" max="15" width="18.85546875" bestFit="1" customWidth="1"/>
    <col min="16" max="16" width="10.28515625" bestFit="1" customWidth="1"/>
    <col min="17" max="17" width="20.7109375" bestFit="1" customWidth="1"/>
    <col min="18" max="18" width="22" bestFit="1" customWidth="1"/>
    <col min="19" max="19" width="23.85546875" bestFit="1" customWidth="1"/>
    <col min="20" max="20" width="21.42578125" bestFit="1" customWidth="1"/>
  </cols>
  <sheetData>
    <row r="2" spans="2:20">
      <c r="B2" s="1"/>
      <c r="C2" s="33" t="s">
        <v>61</v>
      </c>
      <c r="D2" s="33" t="s">
        <v>62</v>
      </c>
      <c r="E2" s="33" t="s">
        <v>63</v>
      </c>
      <c r="F2" s="33" t="s">
        <v>64</v>
      </c>
      <c r="H2" s="1"/>
      <c r="I2" s="33" t="s">
        <v>67</v>
      </c>
      <c r="J2" s="33" t="s">
        <v>68</v>
      </c>
      <c r="K2" s="33" t="s">
        <v>69</v>
      </c>
      <c r="M2" s="1"/>
      <c r="N2" s="1" t="s">
        <v>77</v>
      </c>
      <c r="O2" s="1" t="s">
        <v>78</v>
      </c>
      <c r="P2" s="1" t="s">
        <v>79</v>
      </c>
      <c r="Q2" s="1" t="s">
        <v>80</v>
      </c>
      <c r="R2" s="1" t="s">
        <v>81</v>
      </c>
      <c r="S2" s="1" t="s">
        <v>82</v>
      </c>
      <c r="T2" s="1" t="s">
        <v>83</v>
      </c>
    </row>
    <row r="3" spans="2:20">
      <c r="B3" s="5" t="s">
        <v>1</v>
      </c>
      <c r="C3" s="11">
        <v>2.1999999999999999E-2</v>
      </c>
      <c r="D3" s="11">
        <v>0</v>
      </c>
      <c r="E3" s="11">
        <v>6.0000000000000001E-3</v>
      </c>
      <c r="F3" s="11">
        <v>1E-3</v>
      </c>
      <c r="H3" s="5" t="s">
        <v>36</v>
      </c>
      <c r="I3" s="11">
        <v>0</v>
      </c>
      <c r="J3" s="11">
        <v>3.0000000000000001E-3</v>
      </c>
      <c r="K3" s="11">
        <v>1E-3</v>
      </c>
      <c r="M3" s="5" t="s">
        <v>36</v>
      </c>
      <c r="N3" s="11">
        <v>6.0000000000000001E-3</v>
      </c>
      <c r="O3" s="11">
        <v>0</v>
      </c>
      <c r="P3" s="11">
        <v>0</v>
      </c>
      <c r="Q3" s="11">
        <v>3.0000000000000001E-3</v>
      </c>
      <c r="R3" s="11">
        <v>3.0000000000000001E-3</v>
      </c>
      <c r="S3" s="11">
        <v>0</v>
      </c>
      <c r="T3" s="11">
        <v>0</v>
      </c>
    </row>
    <row r="4" spans="2:20">
      <c r="B4" s="5" t="s">
        <v>2</v>
      </c>
      <c r="C4" s="11">
        <v>6.9000000000000006E-2</v>
      </c>
      <c r="D4" s="11">
        <v>0.111</v>
      </c>
      <c r="E4" s="11">
        <v>3.5000000000000003E-2</v>
      </c>
      <c r="F4" s="11">
        <v>1.4E-2</v>
      </c>
      <c r="H4" s="5" t="s">
        <v>37</v>
      </c>
      <c r="I4" s="11">
        <v>1.9E-2</v>
      </c>
      <c r="J4" s="11">
        <v>5.7000000000000002E-2</v>
      </c>
      <c r="K4" s="11">
        <v>2.3E-2</v>
      </c>
      <c r="M4" s="5" t="s">
        <v>37</v>
      </c>
      <c r="N4" s="11">
        <v>0.505</v>
      </c>
      <c r="O4" s="11">
        <v>0</v>
      </c>
      <c r="P4" s="11">
        <v>8.9999999999999993E-3</v>
      </c>
      <c r="Q4" s="11">
        <v>4.0000000000000001E-3</v>
      </c>
      <c r="R4" s="11">
        <v>5.3999999999999999E-2</v>
      </c>
      <c r="S4" s="11">
        <v>0.10100000000000001</v>
      </c>
      <c r="T4" s="11">
        <v>0</v>
      </c>
    </row>
    <row r="5" spans="2:20">
      <c r="B5" s="5" t="s">
        <v>3</v>
      </c>
      <c r="C5" s="11">
        <v>0.38700000000000001</v>
      </c>
      <c r="D5" s="11">
        <v>0.41</v>
      </c>
      <c r="E5" s="11">
        <v>0.29099999999999998</v>
      </c>
      <c r="F5" s="11">
        <v>0.54</v>
      </c>
      <c r="H5" s="5" t="s">
        <v>3</v>
      </c>
      <c r="I5" s="11">
        <v>0.23699999999999999</v>
      </c>
      <c r="J5" s="11">
        <v>0.25</v>
      </c>
      <c r="K5" s="11">
        <v>0.18099999999999999</v>
      </c>
      <c r="M5" s="5" t="s">
        <v>3</v>
      </c>
      <c r="N5" s="11">
        <v>0.17899999999999999</v>
      </c>
      <c r="O5" s="11">
        <v>0</v>
      </c>
      <c r="P5" s="11">
        <v>0.499</v>
      </c>
      <c r="Q5" s="11">
        <v>0.26800000000000002</v>
      </c>
      <c r="R5" s="11">
        <v>0.66800000000000004</v>
      </c>
      <c r="S5" s="11">
        <v>0.64300000000000002</v>
      </c>
      <c r="T5" s="11">
        <v>0.39700000000000002</v>
      </c>
    </row>
    <row r="6" spans="2:20">
      <c r="B6" s="5" t="s">
        <v>4</v>
      </c>
      <c r="C6" s="11">
        <v>0.26100000000000001</v>
      </c>
      <c r="D6" s="11">
        <v>0.14799999999999999</v>
      </c>
      <c r="E6" s="11">
        <v>0.33500000000000002</v>
      </c>
      <c r="F6" s="11">
        <v>0.13300000000000001</v>
      </c>
      <c r="H6" s="5" t="s">
        <v>38</v>
      </c>
      <c r="I6" s="11">
        <v>0.61299999999999999</v>
      </c>
      <c r="J6" s="11">
        <v>0.51400000000000001</v>
      </c>
      <c r="K6" s="11">
        <v>0.36</v>
      </c>
      <c r="M6" s="5" t="s">
        <v>38</v>
      </c>
      <c r="N6" s="11">
        <v>0.06</v>
      </c>
      <c r="O6" s="11">
        <v>1.304</v>
      </c>
      <c r="P6" s="11">
        <v>0.13</v>
      </c>
      <c r="Q6" s="11">
        <v>0.46500000000000002</v>
      </c>
      <c r="R6" s="11">
        <v>0</v>
      </c>
      <c r="S6" s="11">
        <v>0</v>
      </c>
      <c r="T6" s="11">
        <v>0.48299999999999998</v>
      </c>
    </row>
    <row r="7" spans="2:20">
      <c r="B7" s="5" t="s">
        <v>5</v>
      </c>
      <c r="C7" s="11">
        <v>0.317</v>
      </c>
      <c r="D7" s="11">
        <v>0.40899999999999997</v>
      </c>
      <c r="E7" s="11">
        <v>0.53</v>
      </c>
      <c r="F7" s="11">
        <v>0.27900000000000003</v>
      </c>
      <c r="H7" s="5" t="s">
        <v>39</v>
      </c>
      <c r="I7" s="11">
        <v>0.63500000000000001</v>
      </c>
      <c r="J7" s="11">
        <v>0.157</v>
      </c>
      <c r="K7" s="11">
        <v>1.115</v>
      </c>
      <c r="M7" s="5" t="s">
        <v>39</v>
      </c>
      <c r="N7" s="11">
        <v>0.69399999999999995</v>
      </c>
      <c r="O7" s="11">
        <v>2.5</v>
      </c>
      <c r="P7" s="11">
        <v>0.23599999999999999</v>
      </c>
      <c r="Q7" s="11">
        <v>0.65500000000000003</v>
      </c>
      <c r="R7" s="11">
        <v>0</v>
      </c>
      <c r="S7" s="11">
        <v>0</v>
      </c>
      <c r="T7" s="11">
        <v>0.69399999999999995</v>
      </c>
    </row>
    <row r="8" spans="2:20">
      <c r="B8" s="5" t="s">
        <v>65</v>
      </c>
      <c r="C8" s="11">
        <v>0.40600000000000003</v>
      </c>
      <c r="D8" s="11">
        <v>0.66500000000000004</v>
      </c>
      <c r="E8" s="11">
        <v>0.82399999999999995</v>
      </c>
      <c r="F8" s="11">
        <v>0.41499999999999998</v>
      </c>
      <c r="H8" s="5" t="s">
        <v>40</v>
      </c>
      <c r="I8" s="11">
        <v>0.94599999999999995</v>
      </c>
      <c r="J8" s="11">
        <v>0.84099999999999997</v>
      </c>
      <c r="K8" s="11">
        <v>0.88300000000000001</v>
      </c>
      <c r="M8" s="5" t="s">
        <v>40</v>
      </c>
      <c r="N8" s="11">
        <v>0.154</v>
      </c>
      <c r="O8" s="11">
        <v>0</v>
      </c>
      <c r="P8" s="11">
        <v>0.28299999999999997</v>
      </c>
      <c r="Q8" s="11">
        <v>1.0529999999999999</v>
      </c>
      <c r="R8" s="11">
        <v>0</v>
      </c>
      <c r="S8" s="11">
        <v>0</v>
      </c>
      <c r="T8" s="11">
        <v>0.309</v>
      </c>
    </row>
    <row r="9" spans="2:20">
      <c r="B9" s="5" t="s">
        <v>66</v>
      </c>
      <c r="C9" s="11">
        <v>0.16700000000000001</v>
      </c>
      <c r="D9" s="11">
        <v>0.193</v>
      </c>
      <c r="E9" s="11">
        <v>0.95599999999999996</v>
      </c>
      <c r="F9" s="11">
        <v>0.29199999999999998</v>
      </c>
      <c r="H9" s="5" t="s">
        <v>31</v>
      </c>
      <c r="I9" s="11">
        <v>0.57999999999999996</v>
      </c>
      <c r="J9" s="11">
        <v>0.746</v>
      </c>
      <c r="K9" s="11">
        <v>1.3540000000000001</v>
      </c>
      <c r="M9" s="5" t="s">
        <v>31</v>
      </c>
      <c r="N9" s="11">
        <v>0.34699999999999998</v>
      </c>
      <c r="O9" s="11">
        <v>0</v>
      </c>
      <c r="P9" s="11">
        <v>0.88700000000000001</v>
      </c>
      <c r="Q9" s="11">
        <v>0.63</v>
      </c>
      <c r="R9" s="11">
        <v>0</v>
      </c>
      <c r="S9" s="11">
        <v>0</v>
      </c>
      <c r="T9" s="11">
        <v>0.34699999999999998</v>
      </c>
    </row>
    <row r="10" spans="2:20">
      <c r="B10" s="30"/>
      <c r="C10" s="31"/>
      <c r="D10" s="31"/>
      <c r="E10" s="31"/>
      <c r="F10" s="31"/>
    </row>
    <row r="11" spans="2:20">
      <c r="B11" s="1"/>
      <c r="C11" s="33" t="s">
        <v>61</v>
      </c>
      <c r="D11" s="33" t="s">
        <v>62</v>
      </c>
      <c r="E11" s="33" t="s">
        <v>63</v>
      </c>
      <c r="F11" s="33" t="s">
        <v>64</v>
      </c>
      <c r="H11" s="1"/>
      <c r="I11" s="33" t="s">
        <v>67</v>
      </c>
      <c r="J11" s="33" t="s">
        <v>68</v>
      </c>
      <c r="K11" s="33" t="s">
        <v>69</v>
      </c>
      <c r="M11" s="1"/>
      <c r="N11" s="34" t="s">
        <v>70</v>
      </c>
      <c r="O11" s="34" t="s">
        <v>71</v>
      </c>
      <c r="P11" s="34" t="s">
        <v>72</v>
      </c>
      <c r="Q11" s="34" t="s">
        <v>73</v>
      </c>
      <c r="R11" s="34" t="s">
        <v>74</v>
      </c>
      <c r="S11" s="34" t="s">
        <v>75</v>
      </c>
      <c r="T11" s="34" t="s">
        <v>76</v>
      </c>
    </row>
    <row r="12" spans="2:20">
      <c r="B12" s="5" t="s">
        <v>70</v>
      </c>
      <c r="C12" s="11">
        <v>2.1999999999999999E-2</v>
      </c>
      <c r="D12" s="11">
        <v>0</v>
      </c>
      <c r="E12" s="11">
        <v>6.0000000000000001E-3</v>
      </c>
      <c r="F12" s="11">
        <v>1E-3</v>
      </c>
      <c r="H12" s="5" t="s">
        <v>70</v>
      </c>
      <c r="I12" s="11">
        <v>0</v>
      </c>
      <c r="J12" s="11">
        <v>3.0000000000000001E-3</v>
      </c>
      <c r="K12" s="11">
        <v>1E-3</v>
      </c>
      <c r="M12" s="1" t="s">
        <v>77</v>
      </c>
      <c r="N12" s="11">
        <v>6.0000000000000001E-3</v>
      </c>
      <c r="O12" s="11">
        <v>0.505</v>
      </c>
      <c r="P12" s="11">
        <v>0.17899999999999999</v>
      </c>
      <c r="Q12" s="11">
        <v>0.06</v>
      </c>
      <c r="R12" s="11">
        <v>0.69399999999999995</v>
      </c>
      <c r="S12" s="11">
        <v>0.154</v>
      </c>
      <c r="T12" s="11">
        <v>0.34699999999999998</v>
      </c>
    </row>
    <row r="13" spans="2:20">
      <c r="B13" s="5" t="s">
        <v>71</v>
      </c>
      <c r="C13" s="11">
        <v>6.9000000000000006E-2</v>
      </c>
      <c r="D13" s="11">
        <v>0.111</v>
      </c>
      <c r="E13" s="11">
        <v>3.5000000000000003E-2</v>
      </c>
      <c r="F13" s="11">
        <v>1.4E-2</v>
      </c>
      <c r="H13" s="5" t="s">
        <v>71</v>
      </c>
      <c r="I13" s="11">
        <v>1.9E-2</v>
      </c>
      <c r="J13" s="11">
        <v>5.7000000000000002E-2</v>
      </c>
      <c r="K13" s="11">
        <v>2.3E-2</v>
      </c>
      <c r="M13" s="1" t="s">
        <v>78</v>
      </c>
      <c r="N13" s="11">
        <v>0</v>
      </c>
      <c r="O13" s="11">
        <v>0</v>
      </c>
      <c r="P13" s="11">
        <v>0</v>
      </c>
      <c r="Q13" s="11">
        <v>1.304</v>
      </c>
      <c r="R13" s="11">
        <v>2.5</v>
      </c>
      <c r="S13" s="11">
        <v>0</v>
      </c>
      <c r="T13" s="11">
        <v>0</v>
      </c>
    </row>
    <row r="14" spans="2:20">
      <c r="B14" s="5" t="s">
        <v>72</v>
      </c>
      <c r="C14" s="11">
        <v>0.38700000000000001</v>
      </c>
      <c r="D14" s="11">
        <v>0.41</v>
      </c>
      <c r="E14" s="11">
        <v>0.29199999999999998</v>
      </c>
      <c r="F14" s="11">
        <v>0.54</v>
      </c>
      <c r="H14" s="5" t="s">
        <v>72</v>
      </c>
      <c r="I14" s="11">
        <v>0.23699999999999999</v>
      </c>
      <c r="J14" s="11">
        <v>0.25</v>
      </c>
      <c r="K14" s="11">
        <v>0.18099999999999999</v>
      </c>
      <c r="M14" s="1" t="s">
        <v>79</v>
      </c>
      <c r="N14" s="11">
        <v>0</v>
      </c>
      <c r="O14" s="11">
        <v>8.9999999999999993E-3</v>
      </c>
      <c r="P14" s="11">
        <v>0.499</v>
      </c>
      <c r="Q14" s="11">
        <v>0.13</v>
      </c>
      <c r="R14" s="11">
        <v>0.23599999999999999</v>
      </c>
      <c r="S14" s="11">
        <v>0.28299999999999997</v>
      </c>
      <c r="T14" s="11">
        <v>0.88700000000000001</v>
      </c>
    </row>
    <row r="15" spans="2:20">
      <c r="B15" s="5" t="s">
        <v>73</v>
      </c>
      <c r="C15" s="11">
        <v>0.26100000000000001</v>
      </c>
      <c r="D15" s="11">
        <v>0.14799999999999999</v>
      </c>
      <c r="E15" s="11">
        <v>0.33500000000000002</v>
      </c>
      <c r="F15" s="11">
        <v>0.13300000000000001</v>
      </c>
      <c r="H15" s="5" t="s">
        <v>73</v>
      </c>
      <c r="I15" s="11">
        <v>0.61299999999999999</v>
      </c>
      <c r="J15" s="11">
        <v>0.51400000000000001</v>
      </c>
      <c r="K15" s="11">
        <v>0.36</v>
      </c>
      <c r="M15" s="1" t="s">
        <v>80</v>
      </c>
      <c r="N15" s="11">
        <v>3.0000000000000001E-3</v>
      </c>
      <c r="O15" s="11">
        <v>4.0000000000000001E-3</v>
      </c>
      <c r="P15" s="11">
        <v>0.26800000000000002</v>
      </c>
      <c r="Q15" s="11">
        <v>0.46500000000000002</v>
      </c>
      <c r="R15" s="11">
        <v>0.65500000000000003</v>
      </c>
      <c r="S15" s="11">
        <v>1.0529999999999999</v>
      </c>
      <c r="T15" s="11">
        <v>0.63</v>
      </c>
    </row>
    <row r="16" spans="2:20">
      <c r="B16" s="5" t="s">
        <v>74</v>
      </c>
      <c r="C16" s="11">
        <v>0.317</v>
      </c>
      <c r="D16" s="11">
        <v>0.40899999999999997</v>
      </c>
      <c r="E16" s="11">
        <v>0.53</v>
      </c>
      <c r="F16" s="11">
        <v>0.27900000000000003</v>
      </c>
      <c r="H16" s="5" t="s">
        <v>74</v>
      </c>
      <c r="I16" s="11">
        <v>0.63500000000000001</v>
      </c>
      <c r="J16" s="11">
        <v>0.157</v>
      </c>
      <c r="K16" s="11">
        <v>1.115</v>
      </c>
      <c r="M16" s="1" t="s">
        <v>81</v>
      </c>
      <c r="N16" s="11">
        <v>3.0000000000000001E-3</v>
      </c>
      <c r="O16" s="11">
        <v>5.3999999999999999E-2</v>
      </c>
      <c r="P16" s="11">
        <v>0.66800000000000004</v>
      </c>
      <c r="Q16" s="11">
        <v>0</v>
      </c>
      <c r="R16" s="11">
        <v>0</v>
      </c>
      <c r="S16" s="11">
        <v>0</v>
      </c>
      <c r="T16" s="11">
        <v>0</v>
      </c>
    </row>
    <row r="17" spans="2:20">
      <c r="B17" s="5" t="s">
        <v>75</v>
      </c>
      <c r="C17" s="11">
        <v>0.40600000000000003</v>
      </c>
      <c r="D17" s="11">
        <v>0.66500000000000004</v>
      </c>
      <c r="E17" s="11">
        <v>0.82399999999999995</v>
      </c>
      <c r="F17" s="11">
        <v>0.41499999999999998</v>
      </c>
      <c r="H17" s="5" t="s">
        <v>75</v>
      </c>
      <c r="I17" s="11">
        <v>0.94599999999999995</v>
      </c>
      <c r="J17" s="11">
        <v>0.84099999999999997</v>
      </c>
      <c r="K17" s="11">
        <v>0.88300000000000001</v>
      </c>
      <c r="M17" s="1" t="s">
        <v>82</v>
      </c>
      <c r="N17" s="11">
        <v>0</v>
      </c>
      <c r="O17" s="11">
        <v>0.10100000000000001</v>
      </c>
      <c r="P17" s="11">
        <v>0.64300000000000002</v>
      </c>
      <c r="Q17" s="11">
        <v>0</v>
      </c>
      <c r="R17" s="11">
        <v>0</v>
      </c>
      <c r="S17" s="11">
        <v>0</v>
      </c>
      <c r="T17" s="11">
        <v>0</v>
      </c>
    </row>
    <row r="18" spans="2:20">
      <c r="B18" s="5" t="s">
        <v>76</v>
      </c>
      <c r="C18" s="11">
        <v>0.16700000000000001</v>
      </c>
      <c r="D18" s="11">
        <v>0.193</v>
      </c>
      <c r="E18" s="11">
        <v>0.95499999999999996</v>
      </c>
      <c r="F18" s="11">
        <v>0.29199999999999998</v>
      </c>
      <c r="H18" s="5" t="s">
        <v>76</v>
      </c>
      <c r="I18" s="11">
        <v>0.57999999999999996</v>
      </c>
      <c r="J18" s="11">
        <v>0.746</v>
      </c>
      <c r="K18" s="11">
        <v>1.3540000000000001</v>
      </c>
      <c r="M18" s="1" t="s">
        <v>83</v>
      </c>
      <c r="N18" s="11">
        <v>0</v>
      </c>
      <c r="O18" s="11">
        <v>0</v>
      </c>
      <c r="P18" s="11">
        <v>0.39700000000000002</v>
      </c>
      <c r="Q18" s="11">
        <v>0.48299999999999998</v>
      </c>
      <c r="R18" s="11">
        <v>0.69399999999999995</v>
      </c>
      <c r="S18" s="11">
        <v>0.309</v>
      </c>
      <c r="T18" s="11">
        <v>0.34699999999999998</v>
      </c>
    </row>
  </sheetData>
  <sheetProtection password="F834" sheet="1" objects="1" scenarios="1" selectLockedCells="1" selectUnlockedCell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4</vt:i4>
      </vt:variant>
    </vt:vector>
  </HeadingPairs>
  <TitlesOfParts>
    <vt:vector size="4" baseType="lpstr">
      <vt:lpstr>Barbarikum_okruhy</vt:lpstr>
      <vt:lpstr>Provincie</vt:lpstr>
      <vt:lpstr>Barbarikum_vojenské objekty</vt:lpstr>
      <vt:lpstr>Celkové indexy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2020-03-31T18:25:48Z</dcterms:modified>
</cp:coreProperties>
</file>