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2" activeTab="7"/>
  </bookViews>
  <sheets>
    <sheet name="Zlato" sheetId="1" r:id="rId1"/>
    <sheet name="Grafy_zlato" sheetId="4" r:id="rId2"/>
    <sheet name="Striebro" sheetId="2" r:id="rId3"/>
    <sheet name="Grafy_striebro" sheetId="5" r:id="rId4"/>
    <sheet name="Bronzy" sheetId="3" r:id="rId5"/>
    <sheet name="Grafy_bronz" sheetId="6" r:id="rId6"/>
    <sheet name="Peňažný provinciálny obeh" sheetId="7" r:id="rId7"/>
    <sheet name="Peňažný obeh v barbariku" sheetId="8" r:id="rId8"/>
  </sheets>
  <calcPr calcId="124519"/>
</workbook>
</file>

<file path=xl/calcChain.xml><?xml version="1.0" encoding="utf-8"?>
<calcChain xmlns="http://schemas.openxmlformats.org/spreadsheetml/2006/main">
  <c r="H9" i="2"/>
  <c r="Y8" i="3"/>
  <c r="Y7"/>
  <c r="Y6"/>
  <c r="Y5"/>
  <c r="Y4"/>
  <c r="X8"/>
  <c r="X7"/>
  <c r="X6"/>
  <c r="X5"/>
  <c r="X4"/>
  <c r="V9"/>
  <c r="V8"/>
  <c r="V7"/>
  <c r="V6"/>
  <c r="V5"/>
  <c r="V4"/>
  <c r="V3"/>
  <c r="U9"/>
  <c r="U8"/>
  <c r="U7"/>
  <c r="U6"/>
  <c r="U5"/>
  <c r="U4"/>
  <c r="U3"/>
  <c r="S9"/>
  <c r="S8"/>
  <c r="S7"/>
  <c r="S6"/>
  <c r="S5"/>
  <c r="S4"/>
  <c r="R9"/>
  <c r="R8"/>
  <c r="R7"/>
  <c r="R6"/>
  <c r="R5"/>
  <c r="R4"/>
  <c r="N7"/>
  <c r="N6"/>
  <c r="N5"/>
  <c r="N4"/>
  <c r="M6"/>
  <c r="M7"/>
  <c r="M5"/>
  <c r="M4"/>
  <c r="K9"/>
  <c r="K8"/>
  <c r="K7"/>
  <c r="K6"/>
  <c r="K5"/>
  <c r="K4"/>
  <c r="J9"/>
  <c r="J8"/>
  <c r="J7"/>
  <c r="J6"/>
  <c r="J5"/>
  <c r="J4"/>
  <c r="H8"/>
  <c r="H7"/>
  <c r="H5"/>
  <c r="H4"/>
  <c r="G8"/>
  <c r="G7"/>
  <c r="G5"/>
  <c r="G4"/>
  <c r="E9"/>
  <c r="E8"/>
  <c r="E7"/>
  <c r="E6"/>
  <c r="E5"/>
  <c r="E4"/>
  <c r="D9"/>
  <c r="D8"/>
  <c r="D7"/>
  <c r="D6"/>
  <c r="D5"/>
  <c r="D4"/>
  <c r="Y9" i="2"/>
  <c r="Y8"/>
  <c r="Y7"/>
  <c r="Y6"/>
  <c r="Y5"/>
  <c r="Y4"/>
  <c r="Y3"/>
  <c r="X9"/>
  <c r="X8"/>
  <c r="X7"/>
  <c r="X6"/>
  <c r="X5"/>
  <c r="X4"/>
  <c r="X3"/>
  <c r="V9"/>
  <c r="V8"/>
  <c r="V7"/>
  <c r="V6"/>
  <c r="V5"/>
  <c r="V4"/>
  <c r="V3"/>
  <c r="U9"/>
  <c r="U8"/>
  <c r="U7"/>
  <c r="U6"/>
  <c r="U5"/>
  <c r="U4"/>
  <c r="U3"/>
  <c r="S9"/>
  <c r="S8"/>
  <c r="S7"/>
  <c r="S6"/>
  <c r="S5"/>
  <c r="S4"/>
  <c r="S3"/>
  <c r="R9"/>
  <c r="R8"/>
  <c r="R7"/>
  <c r="R6"/>
  <c r="R5"/>
  <c r="R4"/>
  <c r="R3"/>
  <c r="N9"/>
  <c r="N8"/>
  <c r="N7"/>
  <c r="N6"/>
  <c r="N5"/>
  <c r="N4"/>
  <c r="N3"/>
  <c r="K9"/>
  <c r="K8"/>
  <c r="K7"/>
  <c r="K6"/>
  <c r="K5"/>
  <c r="K4"/>
  <c r="K3"/>
  <c r="H8"/>
  <c r="H7"/>
  <c r="H6"/>
  <c r="H5"/>
  <c r="H4"/>
  <c r="E9"/>
  <c r="E8"/>
  <c r="E7"/>
  <c r="E6"/>
  <c r="E5"/>
  <c r="E4"/>
  <c r="E3"/>
  <c r="M9"/>
  <c r="M8"/>
  <c r="M7"/>
  <c r="M6"/>
  <c r="M5"/>
  <c r="M4"/>
  <c r="M3"/>
  <c r="G8"/>
  <c r="G9"/>
  <c r="G7"/>
  <c r="G6"/>
  <c r="G5"/>
  <c r="G4"/>
  <c r="D9"/>
  <c r="D8"/>
  <c r="D7"/>
  <c r="D6"/>
  <c r="D5"/>
  <c r="D4"/>
  <c r="D3"/>
  <c r="Y9" i="1"/>
  <c r="Y6"/>
  <c r="Y5"/>
  <c r="V9"/>
  <c r="V8"/>
  <c r="V7"/>
  <c r="V6"/>
  <c r="V5"/>
  <c r="V4"/>
  <c r="V3"/>
  <c r="U3"/>
  <c r="S9"/>
  <c r="S8"/>
  <c r="S6"/>
  <c r="S5"/>
  <c r="R5"/>
  <c r="N5"/>
  <c r="K7"/>
  <c r="K5"/>
  <c r="H4"/>
  <c r="E8"/>
  <c r="E7"/>
  <c r="E6"/>
  <c r="E5"/>
  <c r="E4"/>
  <c r="X9"/>
  <c r="X6"/>
  <c r="X5"/>
  <c r="U9"/>
  <c r="U8"/>
  <c r="U7"/>
  <c r="U6"/>
  <c r="U5"/>
  <c r="U4"/>
  <c r="R9"/>
  <c r="R8"/>
  <c r="R6"/>
  <c r="M5"/>
  <c r="J7"/>
  <c r="J5"/>
  <c r="G4"/>
  <c r="D8"/>
  <c r="D7"/>
  <c r="D6"/>
  <c r="D5"/>
  <c r="D4"/>
  <c r="Y3"/>
  <c r="X3"/>
  <c r="S3"/>
  <c r="R3"/>
  <c r="N3"/>
  <c r="M3"/>
  <c r="K3"/>
  <c r="J3"/>
  <c r="H3"/>
  <c r="G3"/>
  <c r="E3"/>
  <c r="D3"/>
  <c r="W10" i="3"/>
  <c r="T10"/>
  <c r="Q10"/>
  <c r="L10"/>
  <c r="I10"/>
  <c r="F10"/>
  <c r="C10"/>
  <c r="L10" i="2"/>
  <c r="I10"/>
  <c r="J7" s="1"/>
  <c r="F10"/>
  <c r="C10"/>
  <c r="W10"/>
  <c r="T10"/>
  <c r="Q10"/>
  <c r="W10" i="1"/>
  <c r="T10"/>
  <c r="Q10"/>
  <c r="L10"/>
  <c r="I10"/>
  <c r="F10"/>
  <c r="C10"/>
  <c r="J4" i="2" l="1"/>
  <c r="J6"/>
  <c r="J3"/>
  <c r="J5"/>
  <c r="J9"/>
  <c r="J8"/>
</calcChain>
</file>

<file path=xl/sharedStrings.xml><?xml version="1.0" encoding="utf-8"?>
<sst xmlns="http://schemas.openxmlformats.org/spreadsheetml/2006/main" count="342" uniqueCount="34">
  <si>
    <t>Okruh 1</t>
  </si>
  <si>
    <t>Okruh 2</t>
  </si>
  <si>
    <t>Okruh 3</t>
  </si>
  <si>
    <t>Okruh 4</t>
  </si>
  <si>
    <t>Norikum</t>
  </si>
  <si>
    <t>Horná Panónia</t>
  </si>
  <si>
    <t>Dolná Panónia</t>
  </si>
  <si>
    <t>Perióda Ia (510 pr. Kr. – 60 pr. Kr.)</t>
  </si>
  <si>
    <t>Perióda Ia (510 pr. Kr. – 44 pr. Kr.)</t>
  </si>
  <si>
    <t>Perióda Ib (60 pr. Kr. – 54 po Kr.)</t>
  </si>
  <si>
    <t>Perióda Ib (44 pr. Kr. – 54 po Kr.)</t>
  </si>
  <si>
    <t>Perióda II. (54 – 193 po Kr.)</t>
  </si>
  <si>
    <t>Perióda IIIa (193 – 235 po Kr.)</t>
  </si>
  <si>
    <t>Perióda IIIa (193 – 238 po Kr.)</t>
  </si>
  <si>
    <t>Perióda IIIb (235 – 260 po Kr.)</t>
  </si>
  <si>
    <t>Perióda IIIb (238 – 253 po Kr.)</t>
  </si>
  <si>
    <t>Perióda IIIc (260 – 270/275 po Kr.)</t>
  </si>
  <si>
    <t>Perióda IIIc (253 – 270 po Kr.)</t>
  </si>
  <si>
    <t>Perióda IIId (270/275 - 285 po Kr.)</t>
  </si>
  <si>
    <t>Perióda IIId (270 - 285 po Kr.)</t>
  </si>
  <si>
    <t>Celkom:</t>
  </si>
  <si>
    <t>Index (celkový)</t>
  </si>
  <si>
    <t>Index (zlato)</t>
  </si>
  <si>
    <t>Index (striebro)</t>
  </si>
  <si>
    <t>Index (bronz)</t>
  </si>
  <si>
    <t>Oblasť</t>
  </si>
  <si>
    <t>Perióda IIIc (260 – 270 po Kr.)</t>
  </si>
  <si>
    <t>Perióda IIIc (260 – 275 po Kr.)</t>
  </si>
  <si>
    <t>Perióda IIId (275 - 285 po Kr.)</t>
  </si>
  <si>
    <t>Hor. Panónia</t>
  </si>
  <si>
    <t>Dol. Panónia</t>
  </si>
  <si>
    <t>Index (bronz - celkový)</t>
  </si>
  <si>
    <t>Index (striebro - celkový)</t>
  </si>
  <si>
    <t>Index (zlato - celkový)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</si>
</sst>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/>
    <xf numFmtId="1" fontId="0" fillId="0" borderId="1" xfId="0" applyNumberFormat="1" applyBorder="1"/>
    <xf numFmtId="0" fontId="1" fillId="0" borderId="1" xfId="0" applyFont="1" applyFill="1" applyBorder="1"/>
    <xf numFmtId="1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 readingOrder="1"/>
    </xf>
    <xf numFmtId="164" fontId="0" fillId="2" borderId="1" xfId="0" applyNumberFormat="1" applyFill="1" applyBorder="1"/>
    <xf numFmtId="164" fontId="0" fillId="3" borderId="1" xfId="0" applyNumberFormat="1" applyFill="1" applyBorder="1"/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/>
    <xf numFmtId="0" fontId="0" fillId="4" borderId="1" xfId="0" applyFill="1" applyBorder="1"/>
    <xf numFmtId="0" fontId="0" fillId="3" borderId="1" xfId="0" applyFill="1" applyBorder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/>
    <xf numFmtId="0" fontId="1" fillId="0" borderId="5" xfId="0" applyFont="1" applyBorder="1" applyAlignment="1"/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F1623B"/>
      <color rgb="FFFFE18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Barbarikum - Okruh 1 a 2, zlaté mince </a:t>
            </a:r>
          </a:p>
        </c:rich>
      </c:tx>
    </c:title>
    <c:plotArea>
      <c:layout/>
      <c:lineChart>
        <c:grouping val="standard"/>
        <c:ser>
          <c:idx val="2"/>
          <c:order val="2"/>
          <c:tx>
            <c:strRef>
              <c:f>Grafy_zlato!$B$8:$C$8</c:f>
              <c:strCache>
                <c:ptCount val="1"/>
                <c:pt idx="0">
                  <c:v>Okruh 2 Index (zlato)</c:v>
                </c:pt>
              </c:strCache>
            </c:strRef>
          </c:tx>
          <c:marker>
            <c:symbol val="none"/>
          </c:marker>
          <c:cat>
            <c:strRef>
              <c:f>Grafy_zlato!$D$7:$J$7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Grafy_zlato!$D$8:$J$8</c:f>
              <c:numCache>
                <c:formatCode>0.000</c:formatCode>
                <c:ptCount val="7"/>
                <c:pt idx="0">
                  <c:v>0</c:v>
                </c:pt>
                <c:pt idx="1">
                  <c:v>0.87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Grafy_zlato!$B$9:$C$9</c:f>
              <c:strCache>
                <c:ptCount val="1"/>
                <c:pt idx="0">
                  <c:v>Okruh 2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Grafy_zlato!$D$7:$J$7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Grafy_zlato!$D$9:$J$9</c:f>
              <c:numCache>
                <c:formatCode>0.000</c:formatCode>
                <c:ptCount val="7"/>
                <c:pt idx="0">
                  <c:v>0</c:v>
                </c:pt>
                <c:pt idx="1">
                  <c:v>0.28999999999999998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0"/>
          <c:order val="0"/>
          <c:tx>
            <c:strRef>
              <c:f>Grafy_zlato!$B$3:$C$3</c:f>
              <c:strCache>
                <c:ptCount val="1"/>
                <c:pt idx="0">
                  <c:v>Okruh 1 Index (zlato)</c:v>
                </c:pt>
              </c:strCache>
            </c:strRef>
          </c:tx>
          <c:marker>
            <c:symbol val="none"/>
          </c:marker>
          <c:cat>
            <c:strRef>
              <c:f>Grafy_zlato!$D$2:$J$2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Grafy_zlato!$D$3:$J$3</c:f>
              <c:numCache>
                <c:formatCode>0.000</c:formatCode>
                <c:ptCount val="7"/>
                <c:pt idx="0">
                  <c:v>0</c:v>
                </c:pt>
                <c:pt idx="1">
                  <c:v>0.158</c:v>
                </c:pt>
                <c:pt idx="2">
                  <c:v>0.26</c:v>
                </c:pt>
                <c:pt idx="3">
                  <c:v>0.42299999999999999</c:v>
                </c:pt>
                <c:pt idx="4">
                  <c:v>0.35</c:v>
                </c:pt>
                <c:pt idx="5">
                  <c:v>1.1359999999999999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Grafy_zlato!$B$4:$C$4</c:f>
              <c:strCache>
                <c:ptCount val="1"/>
                <c:pt idx="0">
                  <c:v>Okruh 1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Grafy_zlato!$D$4:$J$4</c:f>
              <c:numCache>
                <c:formatCode>0.000</c:formatCode>
                <c:ptCount val="7"/>
                <c:pt idx="0">
                  <c:v>0</c:v>
                </c:pt>
                <c:pt idx="1">
                  <c:v>2.1000000000000001E-2</c:v>
                </c:pt>
                <c:pt idx="2">
                  <c:v>5.0000000000000001E-3</c:v>
                </c:pt>
                <c:pt idx="3">
                  <c:v>0.04</c:v>
                </c:pt>
                <c:pt idx="4">
                  <c:v>4.4999999999999998E-2</c:v>
                </c:pt>
                <c:pt idx="5">
                  <c:v>0.187</c:v>
                </c:pt>
                <c:pt idx="6">
                  <c:v>0</c:v>
                </c:pt>
              </c:numCache>
            </c:numRef>
          </c:val>
        </c:ser>
        <c:marker val="1"/>
        <c:axId val="104093184"/>
        <c:axId val="104094720"/>
      </c:lineChart>
      <c:catAx>
        <c:axId val="104093184"/>
        <c:scaling>
          <c:orientation val="minMax"/>
        </c:scaling>
        <c:axPos val="b"/>
        <c:majorTickMark val="none"/>
        <c:tickLblPos val="nextTo"/>
        <c:crossAx val="104094720"/>
        <c:crosses val="autoZero"/>
        <c:auto val="1"/>
        <c:lblAlgn val="ctr"/>
        <c:lblOffset val="100"/>
      </c:catAx>
      <c:valAx>
        <c:axId val="104094720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Hodnota indexu</a:t>
                </a:r>
              </a:p>
            </c:rich>
          </c:tx>
        </c:title>
        <c:numFmt formatCode="0.000" sourceLinked="1"/>
        <c:majorTickMark val="none"/>
        <c:tickLblPos val="nextTo"/>
        <c:crossAx val="1040931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3 a 4, bronzové mince </a:t>
            </a:r>
            <a:endParaRPr lang="sk-SK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Grafy_bronz!$B$13:$C$13</c:f>
              <c:strCache>
                <c:ptCount val="1"/>
                <c:pt idx="0">
                  <c:v>Okruh 3 Index (bronz)</c:v>
                </c:pt>
              </c:strCache>
            </c:strRef>
          </c:tx>
          <c:marker>
            <c:symbol val="none"/>
          </c:marke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Grafy_bronz!$D$13:$J$13</c:f>
              <c:numCache>
                <c:formatCode>0.000</c:formatCode>
                <c:ptCount val="7"/>
                <c:pt idx="0">
                  <c:v>0</c:v>
                </c:pt>
                <c:pt idx="1">
                  <c:v>8.6999999999999994E-2</c:v>
                </c:pt>
                <c:pt idx="2">
                  <c:v>0.495</c:v>
                </c:pt>
                <c:pt idx="3">
                  <c:v>0.221</c:v>
                </c:pt>
                <c:pt idx="4">
                  <c:v>0.32</c:v>
                </c:pt>
                <c:pt idx="5">
                  <c:v>4.2999999999999997E-2</c:v>
                </c:pt>
                <c:pt idx="6">
                  <c:v>0.14799999999999999</c:v>
                </c:pt>
              </c:numCache>
            </c:numRef>
          </c:val>
        </c:ser>
        <c:ser>
          <c:idx val="1"/>
          <c:order val="1"/>
          <c:tx>
            <c:strRef>
              <c:f>Grafy_bronz!$B$14:$C$14</c:f>
              <c:strCache>
                <c:ptCount val="1"/>
                <c:pt idx="0">
                  <c:v>Okruh 3 Index (bronz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Grafy_bronz!$D$14:$J$14</c:f>
              <c:numCache>
                <c:formatCode>0.000</c:formatCode>
                <c:ptCount val="7"/>
                <c:pt idx="0">
                  <c:v>0</c:v>
                </c:pt>
                <c:pt idx="1">
                  <c:v>0.36199999999999999</c:v>
                </c:pt>
                <c:pt idx="2">
                  <c:v>0.20200000000000001</c:v>
                </c:pt>
                <c:pt idx="3">
                  <c:v>0.25600000000000001</c:v>
                </c:pt>
                <c:pt idx="4">
                  <c:v>0.38700000000000001</c:v>
                </c:pt>
                <c:pt idx="5">
                  <c:v>0.08</c:v>
                </c:pt>
                <c:pt idx="6">
                  <c:v>0.16200000000000001</c:v>
                </c:pt>
              </c:numCache>
            </c:numRef>
          </c:val>
        </c:ser>
        <c:ser>
          <c:idx val="2"/>
          <c:order val="2"/>
          <c:tx>
            <c:strRef>
              <c:f>Grafy_bronz!$B$17:$C$17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Grafy_bronz!$D$17:$J$17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Grafy_bronz!$B$18:$C$18</c:f>
              <c:strCache>
                <c:ptCount val="1"/>
                <c:pt idx="0">
                  <c:v>Okruh 4 Index (bronz)</c:v>
                </c:pt>
              </c:strCache>
            </c:strRef>
          </c:tx>
          <c:marker>
            <c:symbol val="none"/>
          </c:marke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Grafy_bronz!$D$18:$J$18</c:f>
              <c:numCache>
                <c:formatCode>0.000</c:formatCode>
                <c:ptCount val="7"/>
                <c:pt idx="0">
                  <c:v>0</c:v>
                </c:pt>
                <c:pt idx="1">
                  <c:v>2.1000000000000001E-2</c:v>
                </c:pt>
                <c:pt idx="2">
                  <c:v>0.51200000000000001</c:v>
                </c:pt>
                <c:pt idx="3">
                  <c:v>0.13300000000000001</c:v>
                </c:pt>
                <c:pt idx="4">
                  <c:v>0.77200000000000002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Grafy_bronz!$B$19:$C$19</c:f>
              <c:strCache>
                <c:ptCount val="1"/>
                <c:pt idx="0">
                  <c:v>Okruh 4 Index (bronz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Grafy_bronz!$D$19:$J$19</c:f>
              <c:numCache>
                <c:formatCode>0.000</c:formatCode>
                <c:ptCount val="7"/>
                <c:pt idx="0">
                  <c:v>0</c:v>
                </c:pt>
                <c:pt idx="1">
                  <c:v>0.18</c:v>
                </c:pt>
                <c:pt idx="2">
                  <c:v>8.8999999999999996E-2</c:v>
                </c:pt>
                <c:pt idx="3">
                  <c:v>0.30399999999999999</c:v>
                </c:pt>
                <c:pt idx="4">
                  <c:v>1.3959999999999999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marker val="1"/>
        <c:axId val="143654912"/>
        <c:axId val="143656448"/>
      </c:lineChart>
      <c:catAx>
        <c:axId val="143654912"/>
        <c:scaling>
          <c:orientation val="minMax"/>
        </c:scaling>
        <c:axPos val="b"/>
        <c:majorTickMark val="none"/>
        <c:tickLblPos val="nextTo"/>
        <c:crossAx val="143656448"/>
        <c:crosses val="autoZero"/>
        <c:auto val="1"/>
        <c:lblAlgn val="ctr"/>
        <c:lblOffset val="100"/>
      </c:catAx>
      <c:valAx>
        <c:axId val="1436564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143654912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Provincie - Norikum, Horná Panónia, bronzové mince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Grafy_bronz!$B$23:$C$23</c:f>
              <c:strCache>
                <c:ptCount val="1"/>
                <c:pt idx="0">
                  <c:v>Norikum Index (bronz)</c:v>
                </c:pt>
              </c:strCache>
            </c:strRef>
          </c:tx>
          <c:marker>
            <c:symbol val="none"/>
          </c:marker>
          <c:cat>
            <c:strRef>
              <c:f>Grafy_bronz!$D$22:$J$22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Grafy_bronz!$D$23:$J$23</c:f>
              <c:numCache>
                <c:formatCode>0.000</c:formatCode>
                <c:ptCount val="7"/>
                <c:pt idx="0">
                  <c:v>0</c:v>
                </c:pt>
                <c:pt idx="1">
                  <c:v>5.2999999999999999E-2</c:v>
                </c:pt>
                <c:pt idx="2">
                  <c:v>0.57399999999999995</c:v>
                </c:pt>
                <c:pt idx="3">
                  <c:v>0.27300000000000002</c:v>
                </c:pt>
                <c:pt idx="4">
                  <c:v>9.8000000000000004E-2</c:v>
                </c:pt>
                <c:pt idx="5">
                  <c:v>7.0000000000000001E-3</c:v>
                </c:pt>
                <c:pt idx="6">
                  <c:v>4.0000000000000001E-3</c:v>
                </c:pt>
              </c:numCache>
            </c:numRef>
          </c:val>
        </c:ser>
        <c:ser>
          <c:idx val="1"/>
          <c:order val="1"/>
          <c:tx>
            <c:strRef>
              <c:f>Grafy_bronz!$B$24:$C$24</c:f>
              <c:strCache>
                <c:ptCount val="1"/>
                <c:pt idx="0">
                  <c:v>Norikum Index (bronz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Grafy_bronz!$D$22:$J$22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Grafy_bronz!$D$24:$J$24</c:f>
              <c:numCache>
                <c:formatCode>0.000</c:formatCode>
                <c:ptCount val="7"/>
                <c:pt idx="0">
                  <c:v>0</c:v>
                </c:pt>
                <c:pt idx="1">
                  <c:v>0.65600000000000003</c:v>
                </c:pt>
                <c:pt idx="2">
                  <c:v>0.40899999999999997</c:v>
                </c:pt>
                <c:pt idx="3">
                  <c:v>0.23</c:v>
                </c:pt>
                <c:pt idx="4">
                  <c:v>0.22800000000000001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Grafy_bronz!$B$27:$C$27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Grafy_bronz!$D$22:$J$22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Grafy_bronz!$D$27:$J$27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Grafy_bronz!$B$28:$C$28</c:f>
              <c:strCache>
                <c:ptCount val="1"/>
                <c:pt idx="0">
                  <c:v>Hor. Panónia Index (bronz)</c:v>
                </c:pt>
              </c:strCache>
            </c:strRef>
          </c:tx>
          <c:marker>
            <c:symbol val="none"/>
          </c:marker>
          <c:cat>
            <c:strRef>
              <c:f>Grafy_bronz!$D$22:$J$22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Grafy_bronz!$D$28:$J$28</c:f>
              <c:numCache>
                <c:formatCode>0.000</c:formatCode>
                <c:ptCount val="7"/>
                <c:pt idx="0">
                  <c:v>0</c:v>
                </c:pt>
                <c:pt idx="1">
                  <c:v>0.128</c:v>
                </c:pt>
                <c:pt idx="2">
                  <c:v>0.48</c:v>
                </c:pt>
                <c:pt idx="3">
                  <c:v>0.23100000000000001</c:v>
                </c:pt>
                <c:pt idx="4">
                  <c:v>0.57099999999999995</c:v>
                </c:pt>
                <c:pt idx="5">
                  <c:v>1.7000000000000001E-2</c:v>
                </c:pt>
                <c:pt idx="6">
                  <c:v>6.0000000000000001E-3</c:v>
                </c:pt>
              </c:numCache>
            </c:numRef>
          </c:val>
        </c:ser>
        <c:ser>
          <c:idx val="4"/>
          <c:order val="4"/>
          <c:tx>
            <c:strRef>
              <c:f>Grafy_bronz!$B$29:$C$29</c:f>
              <c:strCache>
                <c:ptCount val="1"/>
                <c:pt idx="0">
                  <c:v>Hor. Panónia Index (bronz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Grafy_bronz!$D$22:$J$22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Grafy_bronz!$D$29:$J$29</c:f>
              <c:numCache>
                <c:formatCode>0.000</c:formatCode>
                <c:ptCount val="7"/>
                <c:pt idx="0">
                  <c:v>2E-3</c:v>
                </c:pt>
                <c:pt idx="1">
                  <c:v>0.67</c:v>
                </c:pt>
                <c:pt idx="2">
                  <c:v>0.40400000000000003</c:v>
                </c:pt>
                <c:pt idx="3">
                  <c:v>0.28799999999999998</c:v>
                </c:pt>
                <c:pt idx="4">
                  <c:v>2.3359999999999999</c:v>
                </c:pt>
                <c:pt idx="5">
                  <c:v>3.4000000000000002E-2</c:v>
                </c:pt>
                <c:pt idx="6">
                  <c:v>1.4E-2</c:v>
                </c:pt>
              </c:numCache>
            </c:numRef>
          </c:val>
        </c:ser>
        <c:marker val="1"/>
        <c:axId val="143705216"/>
        <c:axId val="143706752"/>
      </c:lineChart>
      <c:catAx>
        <c:axId val="143705216"/>
        <c:scaling>
          <c:orientation val="minMax"/>
        </c:scaling>
        <c:axPos val="b"/>
        <c:majorTickMark val="none"/>
        <c:tickLblPos val="nextTo"/>
        <c:crossAx val="143706752"/>
        <c:crosses val="autoZero"/>
        <c:auto val="1"/>
        <c:lblAlgn val="ctr"/>
        <c:lblOffset val="100"/>
      </c:catAx>
      <c:valAx>
        <c:axId val="1437067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143705216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Provincie - Horná Panónia, Dolná Panónia, bronzové mince </a:t>
            </a:r>
            <a:endParaRPr lang="sk-SK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Grafy_bronz!$B$28:$C$28</c:f>
              <c:strCache>
                <c:ptCount val="1"/>
                <c:pt idx="0">
                  <c:v>Hor. Panónia Index (bronz)</c:v>
                </c:pt>
              </c:strCache>
            </c:strRef>
          </c:tx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Grafy_bronz!$D$28:$J$28</c:f>
              <c:numCache>
                <c:formatCode>0.000</c:formatCode>
                <c:ptCount val="7"/>
                <c:pt idx="0">
                  <c:v>0</c:v>
                </c:pt>
                <c:pt idx="1">
                  <c:v>0.128</c:v>
                </c:pt>
                <c:pt idx="2">
                  <c:v>0.48</c:v>
                </c:pt>
                <c:pt idx="3">
                  <c:v>0.23100000000000001</c:v>
                </c:pt>
                <c:pt idx="4">
                  <c:v>0.57099999999999995</c:v>
                </c:pt>
                <c:pt idx="5">
                  <c:v>1.7000000000000001E-2</c:v>
                </c:pt>
                <c:pt idx="6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Grafy_bronz!$B$29:$C$29</c:f>
              <c:strCache>
                <c:ptCount val="1"/>
                <c:pt idx="0">
                  <c:v>Hor. Panónia Index (bronz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Grafy_bronz!$D$29:$J$29</c:f>
              <c:numCache>
                <c:formatCode>0.000</c:formatCode>
                <c:ptCount val="7"/>
                <c:pt idx="0">
                  <c:v>2E-3</c:v>
                </c:pt>
                <c:pt idx="1">
                  <c:v>0.67</c:v>
                </c:pt>
                <c:pt idx="2">
                  <c:v>0.40400000000000003</c:v>
                </c:pt>
                <c:pt idx="3">
                  <c:v>0.28799999999999998</c:v>
                </c:pt>
                <c:pt idx="4">
                  <c:v>2.3359999999999999</c:v>
                </c:pt>
                <c:pt idx="5">
                  <c:v>3.4000000000000002E-2</c:v>
                </c:pt>
                <c:pt idx="6">
                  <c:v>1.4E-2</c:v>
                </c:pt>
              </c:numCache>
            </c:numRef>
          </c:val>
        </c:ser>
        <c:ser>
          <c:idx val="2"/>
          <c:order val="2"/>
          <c:tx>
            <c:strRef>
              <c:f>Grafy_bronz!$B$32:$C$32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Grafy_bronz!$D$32:$J$32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Grafy_bronz!$B$33:$C$33</c:f>
              <c:strCache>
                <c:ptCount val="1"/>
                <c:pt idx="0">
                  <c:v>Dol. Panónia Index (bronz)</c:v>
                </c:pt>
              </c:strCache>
            </c:strRef>
          </c:tx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Grafy_bronz!$D$33:$J$33</c:f>
              <c:numCache>
                <c:formatCode>0.000</c:formatCode>
                <c:ptCount val="7"/>
                <c:pt idx="0">
                  <c:v>0</c:v>
                </c:pt>
                <c:pt idx="1">
                  <c:v>6.8000000000000005E-2</c:v>
                </c:pt>
                <c:pt idx="2">
                  <c:v>0.46899999999999997</c:v>
                </c:pt>
                <c:pt idx="3">
                  <c:v>0.245</c:v>
                </c:pt>
                <c:pt idx="4">
                  <c:v>0.98599999999999999</c:v>
                </c:pt>
                <c:pt idx="5">
                  <c:v>3.5000000000000003E-2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Grafy_bronz!$B$34:$C$34</c:f>
              <c:strCache>
                <c:ptCount val="1"/>
                <c:pt idx="0">
                  <c:v>Dol. Panónia Index (bronz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Grafy_bronz!$D$34:$J$34</c:f>
              <c:numCache>
                <c:formatCode>0.000</c:formatCode>
                <c:ptCount val="7"/>
                <c:pt idx="0">
                  <c:v>0</c:v>
                </c:pt>
                <c:pt idx="1">
                  <c:v>0.76700000000000002</c:v>
                </c:pt>
                <c:pt idx="2">
                  <c:v>0.47199999999999998</c:v>
                </c:pt>
                <c:pt idx="3">
                  <c:v>0.379</c:v>
                </c:pt>
                <c:pt idx="4">
                  <c:v>1.4119999999999999</c:v>
                </c:pt>
                <c:pt idx="5">
                  <c:v>5.6000000000000001E-2</c:v>
                </c:pt>
                <c:pt idx="6">
                  <c:v>0</c:v>
                </c:pt>
              </c:numCache>
            </c:numRef>
          </c:val>
        </c:ser>
        <c:marker val="1"/>
        <c:axId val="143747328"/>
        <c:axId val="143757312"/>
      </c:lineChart>
      <c:catAx>
        <c:axId val="143747328"/>
        <c:scaling>
          <c:orientation val="minMax"/>
        </c:scaling>
        <c:axPos val="b"/>
        <c:majorTickMark val="none"/>
        <c:tickLblPos val="nextTo"/>
        <c:crossAx val="143757312"/>
        <c:crosses val="autoZero"/>
        <c:auto val="1"/>
        <c:lblAlgn val="ctr"/>
        <c:lblOffset val="100"/>
      </c:catAx>
      <c:valAx>
        <c:axId val="1437573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  <c:layout/>
        </c:title>
        <c:numFmt formatCode="0.000" sourceLinked="1"/>
        <c:majorTickMark val="none"/>
        <c:tickLblPos val="nextTo"/>
        <c:crossAx val="143747328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Norikum - peňažný obeh</a:t>
            </a:r>
          </a:p>
        </c:rich>
      </c:tx>
      <c:layout/>
    </c:title>
    <c:plotArea>
      <c:layout/>
      <c:lineChart>
        <c:grouping val="standard"/>
        <c:ser>
          <c:idx val="0"/>
          <c:order val="1"/>
          <c:tx>
            <c:strRef>
              <c:f>Grafy_zlato!$B$24:$C$24</c:f>
              <c:strCache>
                <c:ptCount val="1"/>
                <c:pt idx="0">
                  <c:v>Norikum Index (zlato - celkový)</c:v>
                </c:pt>
              </c:strCache>
            </c:strRef>
          </c:tx>
          <c:spPr>
            <a:ln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Grafy_zlato!$D$22:$J$22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Grafy_zlato!$D$24:$J$24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1.9E-2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  <c:pt idx="6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Grafy_striebro!$B$24:$C$24</c:f>
              <c:strCache>
                <c:ptCount val="1"/>
                <c:pt idx="0">
                  <c:v>Norikum Index (striebro - celkový)</c:v>
                </c:pt>
              </c:strCache>
            </c:strRef>
          </c:tx>
          <c:spPr>
            <a:ln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strRef>
              <c:f>Grafy_striebro!$D$22:$J$22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Grafy_striebro!$D$24:$J$24</c:f>
              <c:numCache>
                <c:formatCode>0.000</c:formatCode>
                <c:ptCount val="7"/>
                <c:pt idx="0">
                  <c:v>0.214</c:v>
                </c:pt>
                <c:pt idx="1">
                  <c:v>0.35</c:v>
                </c:pt>
                <c:pt idx="2">
                  <c:v>0.28399999999999997</c:v>
                </c:pt>
                <c:pt idx="3">
                  <c:v>1.944</c:v>
                </c:pt>
                <c:pt idx="4">
                  <c:v>6.0220000000000002</c:v>
                </c:pt>
                <c:pt idx="5">
                  <c:v>5.5410000000000004</c:v>
                </c:pt>
                <c:pt idx="6">
                  <c:v>6.2089999999999996</c:v>
                </c:pt>
              </c:numCache>
            </c:numRef>
          </c:val>
        </c:ser>
        <c:ser>
          <c:idx val="1"/>
          <c:order val="0"/>
          <c:tx>
            <c:strRef>
              <c:f>Grafy_bronz!$B$24:$C$24</c:f>
              <c:strCache>
                <c:ptCount val="1"/>
                <c:pt idx="0">
                  <c:v>Norikum Index (bronz - celkový)</c:v>
                </c:pt>
              </c:strCache>
            </c:strRef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strRef>
              <c:f>Grafy_bronz!$D$22:$J$22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Grafy_bronz!$D$24:$J$24</c:f>
              <c:numCache>
                <c:formatCode>0.000</c:formatCode>
                <c:ptCount val="7"/>
                <c:pt idx="0">
                  <c:v>0</c:v>
                </c:pt>
                <c:pt idx="1">
                  <c:v>0.65600000000000003</c:v>
                </c:pt>
                <c:pt idx="2">
                  <c:v>0.40899999999999997</c:v>
                </c:pt>
                <c:pt idx="3">
                  <c:v>0.23</c:v>
                </c:pt>
                <c:pt idx="4">
                  <c:v>0.22800000000000001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</c:ser>
        <c:marker val="1"/>
        <c:axId val="143825152"/>
        <c:axId val="143831040"/>
      </c:lineChart>
      <c:catAx>
        <c:axId val="143825152"/>
        <c:scaling>
          <c:orientation val="minMax"/>
        </c:scaling>
        <c:axPos val="b"/>
        <c:majorTickMark val="none"/>
        <c:tickLblPos val="nextTo"/>
        <c:crossAx val="143831040"/>
        <c:crosses val="autoZero"/>
        <c:auto val="1"/>
        <c:lblAlgn val="ctr"/>
        <c:lblOffset val="100"/>
      </c:catAx>
      <c:valAx>
        <c:axId val="1438310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400" b="1" i="0" baseline="0"/>
                  <a:t>Hodnota indexu</a:t>
                </a:r>
                <a:endParaRPr lang="sk-SK" sz="800"/>
              </a:p>
            </c:rich>
          </c:tx>
          <c:layout/>
        </c:title>
        <c:numFmt formatCode="0.000" sourceLinked="1"/>
        <c:majorTickMark val="none"/>
        <c:tickLblPos val="nextTo"/>
        <c:crossAx val="143825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569956215425"/>
          <c:y val="0.46528891942198508"/>
          <c:w val="0.20758968630065405"/>
          <c:h val="0.45413494454132763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en-US"/>
              <a:t>Dol</a:t>
            </a:r>
            <a:r>
              <a:rPr lang="sk-SK"/>
              <a:t>ná</a:t>
            </a:r>
            <a:r>
              <a:rPr lang="en-US"/>
              <a:t> Panónia </a:t>
            </a:r>
            <a:r>
              <a:rPr lang="sk-SK"/>
              <a:t>- peňažný obeh</a:t>
            </a:r>
            <a:endParaRPr lang="en-US"/>
          </a:p>
        </c:rich>
      </c:tx>
      <c:layout/>
    </c:title>
    <c:plotArea>
      <c:layout/>
      <c:lineChart>
        <c:grouping val="standard"/>
        <c:ser>
          <c:idx val="2"/>
          <c:order val="2"/>
          <c:tx>
            <c:strRef>
              <c:f>Grafy_zlato!$B$34:$C$34</c:f>
              <c:strCache>
                <c:ptCount val="1"/>
                <c:pt idx="0">
                  <c:v>Dol. Panónia Index (zlato - celkový)</c:v>
                </c:pt>
              </c:strCache>
            </c:strRef>
          </c:tx>
          <c:spPr>
            <a:ln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Grafy_zlato!$D$32:$J$32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Grafy_zlato!$D$34:$J$34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3.6999999999999998E-2</c:v>
                </c:pt>
                <c:pt idx="3">
                  <c:v>1.2999999999999999E-2</c:v>
                </c:pt>
                <c:pt idx="4">
                  <c:v>0</c:v>
                </c:pt>
                <c:pt idx="5">
                  <c:v>0</c:v>
                </c:pt>
                <c:pt idx="6">
                  <c:v>1.4E-2</c:v>
                </c:pt>
              </c:numCache>
            </c:numRef>
          </c:val>
        </c:ser>
        <c:ser>
          <c:idx val="0"/>
          <c:order val="1"/>
          <c:tx>
            <c:strRef>
              <c:f>Grafy_striebro!$B$34:$C$34</c:f>
              <c:strCache>
                <c:ptCount val="1"/>
                <c:pt idx="0">
                  <c:v>Dol. Panónia Index (striebro - celkový)</c:v>
                </c:pt>
              </c:strCache>
            </c:strRef>
          </c:tx>
          <c:spPr>
            <a:ln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strRef>
              <c:f>Grafy_striebro!$D$32:$J$32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Grafy_striebro!$D$34:$J$34</c:f>
              <c:numCache>
                <c:formatCode>General</c:formatCode>
                <c:ptCount val="7"/>
                <c:pt idx="0">
                  <c:v>0.214</c:v>
                </c:pt>
                <c:pt idx="1">
                  <c:v>0.24299999999999999</c:v>
                </c:pt>
                <c:pt idx="2">
                  <c:v>0.19600000000000001</c:v>
                </c:pt>
                <c:pt idx="3">
                  <c:v>1.7709999999999999</c:v>
                </c:pt>
                <c:pt idx="4">
                  <c:v>4.8250000000000002</c:v>
                </c:pt>
                <c:pt idx="5">
                  <c:v>4.2069999999999999</c:v>
                </c:pt>
                <c:pt idx="6">
                  <c:v>6.2290000000000001</c:v>
                </c:pt>
              </c:numCache>
            </c:numRef>
          </c:val>
        </c:ser>
        <c:ser>
          <c:idx val="1"/>
          <c:order val="0"/>
          <c:tx>
            <c:strRef>
              <c:f>Grafy_bronz!$B$34:$C$34</c:f>
              <c:strCache>
                <c:ptCount val="1"/>
                <c:pt idx="0">
                  <c:v>Dol. Panónia Index (bronz - celkový)</c:v>
                </c:pt>
              </c:strCache>
            </c:strRef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strRef>
              <c:f>Grafy_bronz!$D$32:$J$32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Grafy_bronz!$D$34:$J$34</c:f>
              <c:numCache>
                <c:formatCode>0.000</c:formatCode>
                <c:ptCount val="7"/>
                <c:pt idx="0">
                  <c:v>0</c:v>
                </c:pt>
                <c:pt idx="1">
                  <c:v>0.76700000000000002</c:v>
                </c:pt>
                <c:pt idx="2">
                  <c:v>0.47199999999999998</c:v>
                </c:pt>
                <c:pt idx="3">
                  <c:v>0.379</c:v>
                </c:pt>
                <c:pt idx="4">
                  <c:v>1.4119999999999999</c:v>
                </c:pt>
                <c:pt idx="5">
                  <c:v>5.6000000000000001E-2</c:v>
                </c:pt>
                <c:pt idx="6">
                  <c:v>0</c:v>
                </c:pt>
              </c:numCache>
            </c:numRef>
          </c:val>
        </c:ser>
        <c:marker val="1"/>
        <c:axId val="143943168"/>
        <c:axId val="143944704"/>
      </c:lineChart>
      <c:catAx>
        <c:axId val="143943168"/>
        <c:scaling>
          <c:orientation val="minMax"/>
        </c:scaling>
        <c:axPos val="b"/>
        <c:majorTickMark val="none"/>
        <c:tickLblPos val="nextTo"/>
        <c:crossAx val="143944704"/>
        <c:crosses val="autoZero"/>
        <c:auto val="1"/>
        <c:lblAlgn val="ctr"/>
        <c:lblOffset val="100"/>
      </c:catAx>
      <c:valAx>
        <c:axId val="1439447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1400" baseline="0"/>
                  <a:t>Hodnota indexu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143943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18767912631614"/>
          <c:y val="0.46272467508293702"/>
          <c:w val="0.22161691857483334"/>
          <c:h val="0.46526125907080368"/>
        </c:manualLayout>
      </c:layout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Hor</a:t>
            </a:r>
            <a:r>
              <a:rPr lang="sk-SK" sz="1800" b="1" i="0" baseline="0"/>
              <a:t>ná</a:t>
            </a:r>
            <a:r>
              <a:rPr lang="en-US" sz="1800" b="1" i="0" baseline="0"/>
              <a:t> Panónia </a:t>
            </a:r>
            <a:r>
              <a:rPr lang="sk-SK" sz="1800" b="1" i="0" baseline="0"/>
              <a:t>- peňažný obeh</a:t>
            </a:r>
            <a:endParaRPr lang="en-US" sz="1800" b="1" i="0" baseline="0"/>
          </a:p>
        </c:rich>
      </c:tx>
      <c:layout/>
    </c:title>
    <c:plotArea>
      <c:layout/>
      <c:lineChart>
        <c:grouping val="standard"/>
        <c:ser>
          <c:idx val="3"/>
          <c:order val="3"/>
          <c:tx>
            <c:strRef>
              <c:f>Grafy_zlato!$B$29:$C$29</c:f>
              <c:strCache>
                <c:ptCount val="1"/>
                <c:pt idx="0">
                  <c:v>Hor. Panónia Index (zlato - celkový)</c:v>
                </c:pt>
              </c:strCache>
            </c:strRef>
          </c:tx>
          <c:spPr>
            <a:ln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Grafy_zlato!$D$29:$J$29</c:f>
              <c:numCache>
                <c:formatCode>0.000</c:formatCode>
                <c:ptCount val="7"/>
                <c:pt idx="0">
                  <c:v>1E-3</c:v>
                </c:pt>
                <c:pt idx="1">
                  <c:v>4.0000000000000001E-3</c:v>
                </c:pt>
                <c:pt idx="2">
                  <c:v>3.1E-2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3.0000000000000001E-3</c:v>
                </c:pt>
              </c:numCache>
            </c:numRef>
          </c:val>
        </c:ser>
        <c:ser>
          <c:idx val="2"/>
          <c:order val="2"/>
          <c:tx>
            <c:strRef>
              <c:f>Grafy_striebro!$B$29:$C$29</c:f>
              <c:strCache>
                <c:ptCount val="1"/>
                <c:pt idx="0">
                  <c:v>Hor. Panónia Index (striebro - celkový)</c:v>
                </c:pt>
              </c:strCache>
            </c:strRef>
          </c:tx>
          <c:spPr>
            <a:ln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strRef>
              <c:f>Grafy_striebro!$D$27:$J$27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Grafy_striebro!$D$29:$J$29</c:f>
              <c:numCache>
                <c:formatCode>0.000</c:formatCode>
                <c:ptCount val="7"/>
                <c:pt idx="0">
                  <c:v>0.21199999999999999</c:v>
                </c:pt>
                <c:pt idx="1">
                  <c:v>0.33300000000000002</c:v>
                </c:pt>
                <c:pt idx="2">
                  <c:v>0.27600000000000002</c:v>
                </c:pt>
                <c:pt idx="3">
                  <c:v>1.8819999999999999</c:v>
                </c:pt>
                <c:pt idx="4">
                  <c:v>3.8820000000000001</c:v>
                </c:pt>
                <c:pt idx="5">
                  <c:v>5.5140000000000002</c:v>
                </c:pt>
                <c:pt idx="6">
                  <c:v>6.1950000000000003</c:v>
                </c:pt>
              </c:numCache>
            </c:numRef>
          </c:val>
        </c:ser>
        <c:ser>
          <c:idx val="0"/>
          <c:order val="1"/>
          <c:tx>
            <c:strRef>
              <c:f>Grafy_bronz!$B$29:$C$29</c:f>
              <c:strCache>
                <c:ptCount val="1"/>
                <c:pt idx="0">
                  <c:v>Hor. Panónia Index (bronz - celkový)</c:v>
                </c:pt>
              </c:strCache>
            </c:strRef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Grafy_bronz!$D$29:$J$29</c:f>
              <c:numCache>
                <c:formatCode>0.000</c:formatCode>
                <c:ptCount val="7"/>
                <c:pt idx="0">
                  <c:v>2E-3</c:v>
                </c:pt>
                <c:pt idx="1">
                  <c:v>0.67</c:v>
                </c:pt>
                <c:pt idx="2">
                  <c:v>0.40400000000000003</c:v>
                </c:pt>
                <c:pt idx="3">
                  <c:v>0.28799999999999998</c:v>
                </c:pt>
                <c:pt idx="4">
                  <c:v>2.3359999999999999</c:v>
                </c:pt>
                <c:pt idx="5">
                  <c:v>3.4000000000000002E-2</c:v>
                </c:pt>
                <c:pt idx="6">
                  <c:v>1.4E-2</c:v>
                </c:pt>
              </c:numCache>
            </c:numRef>
          </c:val>
        </c:ser>
        <c:ser>
          <c:idx val="1"/>
          <c:order val="0"/>
          <c:tx>
            <c:strRef>
              <c:f>Grafy_bronz!$B$29:$C$29</c:f>
              <c:strCache>
                <c:ptCount val="1"/>
                <c:pt idx="0">
                  <c:v>Hor. Panónia Index (bronz - celkový)</c:v>
                </c:pt>
              </c:strCache>
            </c:strRef>
          </c:tx>
          <c:marker>
            <c:symbol val="none"/>
          </c:marker>
          <c:cat>
            <c:strRef>
              <c:f>Grafy_bronz!$D$27:$J$27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Grafy_bronz!$D$29:$J$29</c:f>
              <c:numCache>
                <c:formatCode>0.000</c:formatCode>
                <c:ptCount val="7"/>
                <c:pt idx="0">
                  <c:v>2E-3</c:v>
                </c:pt>
                <c:pt idx="1">
                  <c:v>0.67</c:v>
                </c:pt>
                <c:pt idx="2">
                  <c:v>0.40400000000000003</c:v>
                </c:pt>
                <c:pt idx="3">
                  <c:v>0.28799999999999998</c:v>
                </c:pt>
                <c:pt idx="4">
                  <c:v>2.3359999999999999</c:v>
                </c:pt>
                <c:pt idx="5">
                  <c:v>3.4000000000000002E-2</c:v>
                </c:pt>
                <c:pt idx="6">
                  <c:v>1.4E-2</c:v>
                </c:pt>
              </c:numCache>
            </c:numRef>
          </c:val>
        </c:ser>
        <c:marker val="1"/>
        <c:axId val="143996416"/>
        <c:axId val="143997952"/>
      </c:lineChart>
      <c:catAx>
        <c:axId val="143996416"/>
        <c:scaling>
          <c:orientation val="minMax"/>
        </c:scaling>
        <c:axPos val="b"/>
        <c:majorTickMark val="none"/>
        <c:tickLblPos val="nextTo"/>
        <c:crossAx val="143997952"/>
        <c:crosses val="autoZero"/>
        <c:auto val="1"/>
        <c:lblAlgn val="ctr"/>
        <c:lblOffset val="100"/>
      </c:catAx>
      <c:valAx>
        <c:axId val="1439979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400" b="1" i="0" baseline="0"/>
                  <a:t>Hodnota indexu</a:t>
                </a:r>
                <a:endParaRPr lang="sk-SK" sz="800"/>
              </a:p>
            </c:rich>
          </c:tx>
          <c:layout/>
        </c:title>
        <c:numFmt formatCode="0.000" sourceLinked="1"/>
        <c:majorTickMark val="none"/>
        <c:tickLblPos val="nextTo"/>
        <c:crossAx val="143996416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6010559373719966"/>
          <c:y val="0.35878254833739442"/>
          <c:w val="0.23066357167781767"/>
          <c:h val="0.41760125076749005"/>
        </c:manualLayout>
      </c:layout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1 a 2, indexy samotných kovov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6"/>
          <c:order val="0"/>
          <c:tx>
            <c:strRef>
              <c:f>Grafy_zlato!$B$3:$C$3</c:f>
              <c:strCache>
                <c:ptCount val="1"/>
                <c:pt idx="0">
                  <c:v>Okruh 1 Index (zlato)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Grafy_zlato!$D$2:$J$2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Grafy_zlato!$D$3:$J$3</c:f>
              <c:numCache>
                <c:formatCode>0.000</c:formatCode>
                <c:ptCount val="7"/>
                <c:pt idx="0">
                  <c:v>0</c:v>
                </c:pt>
                <c:pt idx="1">
                  <c:v>0.158</c:v>
                </c:pt>
                <c:pt idx="2">
                  <c:v>0.26</c:v>
                </c:pt>
                <c:pt idx="3">
                  <c:v>0.42299999999999999</c:v>
                </c:pt>
                <c:pt idx="4">
                  <c:v>0.35</c:v>
                </c:pt>
                <c:pt idx="5">
                  <c:v>1.1359999999999999</c:v>
                </c:pt>
                <c:pt idx="6">
                  <c:v>0</c:v>
                </c:pt>
              </c:numCache>
            </c:numRef>
          </c:val>
        </c:ser>
        <c:ser>
          <c:idx val="5"/>
          <c:order val="1"/>
          <c:tx>
            <c:strRef>
              <c:f>Grafy_zlato!$B$8:$C$8</c:f>
              <c:strCache>
                <c:ptCount val="1"/>
                <c:pt idx="0">
                  <c:v>Okruh 2 Index (zlato)</c:v>
                </c:pt>
              </c:strCache>
            </c:strRef>
          </c:tx>
          <c:spPr>
            <a:solidFill>
              <a:srgbClr val="FFE181"/>
            </a:solidFill>
          </c:spPr>
          <c:cat>
            <c:strRef>
              <c:f>Grafy_zlato!$D$7:$J$7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Grafy_zlato!$D$8:$J$8</c:f>
              <c:numCache>
                <c:formatCode>0.000</c:formatCode>
                <c:ptCount val="7"/>
                <c:pt idx="0">
                  <c:v>0</c:v>
                </c:pt>
                <c:pt idx="1">
                  <c:v>0.87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2"/>
          <c:tx>
            <c:strRef>
              <c:f>Grafy_striebro!$B$3:$C$3</c:f>
              <c:strCache>
                <c:ptCount val="1"/>
                <c:pt idx="0">
                  <c:v>Okruh 1 Index (striebro)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Grafy_striebro!$D$3:$J$3</c:f>
              <c:numCache>
                <c:formatCode>0.000</c:formatCode>
                <c:ptCount val="7"/>
                <c:pt idx="0">
                  <c:v>2.7E-2</c:v>
                </c:pt>
                <c:pt idx="1">
                  <c:v>3.1E-2</c:v>
                </c:pt>
                <c:pt idx="2">
                  <c:v>0.38800000000000001</c:v>
                </c:pt>
                <c:pt idx="3">
                  <c:v>0.248</c:v>
                </c:pt>
                <c:pt idx="4">
                  <c:v>0.29499999999999998</c:v>
                </c:pt>
                <c:pt idx="5">
                  <c:v>0.57799999999999996</c:v>
                </c:pt>
                <c:pt idx="6">
                  <c:v>0.19900000000000001</c:v>
                </c:pt>
              </c:numCache>
            </c:numRef>
          </c:val>
        </c:ser>
        <c:ser>
          <c:idx val="9"/>
          <c:order val="3"/>
          <c:tx>
            <c:strRef>
              <c:f>Grafy_striebro!$B$8:$C$8</c:f>
              <c:strCache>
                <c:ptCount val="1"/>
                <c:pt idx="0">
                  <c:v>Okruh 2 Index (striebro)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Grafy_striebro!$D$8:$J$8</c:f>
              <c:numCache>
                <c:formatCode>0.000</c:formatCode>
                <c:ptCount val="7"/>
                <c:pt idx="0">
                  <c:v>0</c:v>
                </c:pt>
                <c:pt idx="1">
                  <c:v>7.9000000000000001E-2</c:v>
                </c:pt>
                <c:pt idx="2">
                  <c:v>0.32500000000000001</c:v>
                </c:pt>
                <c:pt idx="3">
                  <c:v>0.317</c:v>
                </c:pt>
                <c:pt idx="4">
                  <c:v>0.52400000000000002</c:v>
                </c:pt>
                <c:pt idx="5">
                  <c:v>0.85199999999999998</c:v>
                </c:pt>
                <c:pt idx="6">
                  <c:v>0.41299999999999998</c:v>
                </c:pt>
              </c:numCache>
            </c:numRef>
          </c:val>
        </c:ser>
        <c:ser>
          <c:idx val="0"/>
          <c:order val="4"/>
          <c:tx>
            <c:strRef>
              <c:f>Grafy_bronz!$B$3:$C$3</c:f>
              <c:strCache>
                <c:ptCount val="1"/>
                <c:pt idx="0">
                  <c:v>Okruh 1 Index (bronz)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Grafy_bronz!$D$3:$J$3</c:f>
              <c:numCache>
                <c:formatCode>0.000</c:formatCode>
                <c:ptCount val="7"/>
                <c:pt idx="0">
                  <c:v>0</c:v>
                </c:pt>
                <c:pt idx="1">
                  <c:v>0.158</c:v>
                </c:pt>
                <c:pt idx="2">
                  <c:v>0.42899999999999999</c:v>
                </c:pt>
                <c:pt idx="3">
                  <c:v>0.16400000000000001</c:v>
                </c:pt>
                <c:pt idx="4">
                  <c:v>0.47</c:v>
                </c:pt>
                <c:pt idx="5">
                  <c:v>6.9000000000000006E-2</c:v>
                </c:pt>
                <c:pt idx="6">
                  <c:v>0.13500000000000001</c:v>
                </c:pt>
              </c:numCache>
            </c:numRef>
          </c:val>
        </c:ser>
        <c:ser>
          <c:idx val="3"/>
          <c:order val="5"/>
          <c:tx>
            <c:strRef>
              <c:f>Grafy_bronz!$B$8:$C$8</c:f>
              <c:strCache>
                <c:ptCount val="1"/>
                <c:pt idx="0">
                  <c:v>Okruh 2 Index (bronz)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Grafy_bronz!$D$8:$J$8</c:f>
              <c:numCache>
                <c:formatCode>0.000</c:formatCode>
                <c:ptCount val="7"/>
                <c:pt idx="0">
                  <c:v>0</c:v>
                </c:pt>
                <c:pt idx="1">
                  <c:v>4.5999999999999999E-2</c:v>
                </c:pt>
                <c:pt idx="2">
                  <c:v>0.52600000000000002</c:v>
                </c:pt>
                <c:pt idx="3">
                  <c:v>0</c:v>
                </c:pt>
                <c:pt idx="4">
                  <c:v>0.40500000000000003</c:v>
                </c:pt>
                <c:pt idx="5">
                  <c:v>0.65800000000000003</c:v>
                </c:pt>
                <c:pt idx="6">
                  <c:v>0</c:v>
                </c:pt>
              </c:numCache>
            </c:numRef>
          </c:val>
        </c:ser>
        <c:shape val="cylinder"/>
        <c:axId val="144171392"/>
        <c:axId val="144172928"/>
        <c:axId val="0"/>
      </c:bar3DChart>
      <c:catAx>
        <c:axId val="144171392"/>
        <c:scaling>
          <c:orientation val="minMax"/>
        </c:scaling>
        <c:axPos val="b"/>
        <c:majorTickMark val="none"/>
        <c:tickLblPos val="nextTo"/>
        <c:crossAx val="144172928"/>
        <c:crosses val="autoZero"/>
        <c:auto val="1"/>
        <c:lblAlgn val="ctr"/>
        <c:lblOffset val="100"/>
      </c:catAx>
      <c:valAx>
        <c:axId val="1441729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  <c:layout/>
        </c:title>
        <c:numFmt formatCode="0.000" sourceLinked="1"/>
        <c:majorTickMark val="none"/>
        <c:tickLblPos val="nextTo"/>
        <c:crossAx val="14417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1 a 2, indexy celkového počtu mincí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6"/>
          <c:order val="0"/>
          <c:tx>
            <c:strRef>
              <c:f>Grafy_zlato!$B$4:$C$4</c:f>
              <c:strCache>
                <c:ptCount val="1"/>
                <c:pt idx="0">
                  <c:v>Okruh 1 Index (zlato - celkový)</c:v>
                </c:pt>
              </c:strCache>
            </c:strRef>
          </c:tx>
          <c:spPr>
            <a:solidFill>
              <a:srgbClr val="FFC000"/>
            </a:solidFill>
            <a:ln>
              <a:prstDash val="lgDashDot"/>
            </a:ln>
          </c:spPr>
          <c:cat>
            <c:strRef>
              <c:f>Grafy_zlato!$D$2:$J$2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Grafy_zlato!$D$4:$J$4</c:f>
              <c:numCache>
                <c:formatCode>0.000</c:formatCode>
                <c:ptCount val="7"/>
                <c:pt idx="0">
                  <c:v>0</c:v>
                </c:pt>
                <c:pt idx="1">
                  <c:v>2.1000000000000001E-2</c:v>
                </c:pt>
                <c:pt idx="2">
                  <c:v>5.0000000000000001E-3</c:v>
                </c:pt>
                <c:pt idx="3">
                  <c:v>0.04</c:v>
                </c:pt>
                <c:pt idx="4">
                  <c:v>4.4999999999999998E-2</c:v>
                </c:pt>
                <c:pt idx="5">
                  <c:v>0.187</c:v>
                </c:pt>
                <c:pt idx="6">
                  <c:v>0</c:v>
                </c:pt>
              </c:numCache>
            </c:numRef>
          </c:val>
        </c:ser>
        <c:ser>
          <c:idx val="5"/>
          <c:order val="1"/>
          <c:tx>
            <c:strRef>
              <c:f>Grafy_zlato!$B$9:$C$9</c:f>
              <c:strCache>
                <c:ptCount val="1"/>
                <c:pt idx="0">
                  <c:v>Okruh 2 Index (zlato - celkový)</c:v>
                </c:pt>
              </c:strCache>
            </c:strRef>
          </c:tx>
          <c:spPr>
            <a:solidFill>
              <a:srgbClr val="FFE181"/>
            </a:solidFill>
            <a:ln>
              <a:prstDash val="lgDashDot"/>
            </a:ln>
          </c:spPr>
          <c:cat>
            <c:strRef>
              <c:f>Grafy_zlato!$D$7:$J$7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Grafy_zlato!$D$9:$J$9</c:f>
              <c:numCache>
                <c:formatCode>0.000</c:formatCode>
                <c:ptCount val="7"/>
                <c:pt idx="0">
                  <c:v>0</c:v>
                </c:pt>
                <c:pt idx="1">
                  <c:v>0.28999999999999998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2"/>
          <c:tx>
            <c:strRef>
              <c:f>Grafy_striebro!$B$4:$C$4</c:f>
              <c:strCache>
                <c:ptCount val="1"/>
                <c:pt idx="0">
                  <c:v>Okruh 1 Index (striebro - celkový)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prstDash val="lgDashDot"/>
            </a:ln>
          </c:spP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Grafy_striebro!$D$4:$J$4</c:f>
              <c:numCache>
                <c:formatCode>0.000</c:formatCode>
                <c:ptCount val="7"/>
                <c:pt idx="0">
                  <c:v>0.11600000000000001</c:v>
                </c:pt>
                <c:pt idx="1">
                  <c:v>0.24399999999999999</c:v>
                </c:pt>
                <c:pt idx="2">
                  <c:v>0.443</c:v>
                </c:pt>
                <c:pt idx="3">
                  <c:v>1.363</c:v>
                </c:pt>
                <c:pt idx="4">
                  <c:v>2.2170000000000001</c:v>
                </c:pt>
                <c:pt idx="5">
                  <c:v>5.5039999999999996</c:v>
                </c:pt>
                <c:pt idx="6">
                  <c:v>6.6989999999999998</c:v>
                </c:pt>
              </c:numCache>
            </c:numRef>
          </c:val>
        </c:ser>
        <c:ser>
          <c:idx val="9"/>
          <c:order val="3"/>
          <c:tx>
            <c:strRef>
              <c:f>Grafy_striebro!$B$9:$C$9</c:f>
              <c:strCache>
                <c:ptCount val="1"/>
                <c:pt idx="0">
                  <c:v>Okruh 2 Index (striebro - celkový)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5">
                  <a:lumMod val="20000"/>
                  <a:lumOff val="80000"/>
                </a:schemeClr>
              </a:solidFill>
              <a:prstDash val="lgDashDot"/>
            </a:ln>
          </c:spP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Grafy_striebro!$D$9:$J$9</c:f>
              <c:numCache>
                <c:formatCode>0.000</c:formatCode>
                <c:ptCount val="7"/>
                <c:pt idx="0">
                  <c:v>0</c:v>
                </c:pt>
                <c:pt idx="1">
                  <c:v>0.28999999999999998</c:v>
                </c:pt>
                <c:pt idx="2">
                  <c:v>0.26500000000000001</c:v>
                </c:pt>
                <c:pt idx="3">
                  <c:v>2.3260000000000001</c:v>
                </c:pt>
                <c:pt idx="4">
                  <c:v>2.3079999999999998</c:v>
                </c:pt>
                <c:pt idx="5">
                  <c:v>3.75</c:v>
                </c:pt>
                <c:pt idx="6">
                  <c:v>9.0909999999999993</c:v>
                </c:pt>
              </c:numCache>
            </c:numRef>
          </c:val>
        </c:ser>
        <c:ser>
          <c:idx val="1"/>
          <c:order val="4"/>
          <c:tx>
            <c:strRef>
              <c:f>Grafy_bronz!$B$4:$C$4</c:f>
              <c:strCache>
                <c:ptCount val="1"/>
                <c:pt idx="0">
                  <c:v>Okruh 1 Index (bronz - celkový)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prstDash val="lgDashDot"/>
            </a:ln>
          </c:spP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Grafy_bronz!$D$4:$J$4</c:f>
              <c:numCache>
                <c:formatCode>0.000</c:formatCode>
                <c:ptCount val="7"/>
                <c:pt idx="0">
                  <c:v>0</c:v>
                </c:pt>
                <c:pt idx="1">
                  <c:v>0.52</c:v>
                </c:pt>
                <c:pt idx="2">
                  <c:v>0.20699999999999999</c:v>
                </c:pt>
                <c:pt idx="3">
                  <c:v>0.38100000000000001</c:v>
                </c:pt>
                <c:pt idx="4">
                  <c:v>1.4930000000000001</c:v>
                </c:pt>
                <c:pt idx="5">
                  <c:v>0.28000000000000003</c:v>
                </c:pt>
                <c:pt idx="6">
                  <c:v>1.9139999999999999</c:v>
                </c:pt>
              </c:numCache>
            </c:numRef>
          </c:val>
        </c:ser>
        <c:ser>
          <c:idx val="4"/>
          <c:order val="5"/>
          <c:tx>
            <c:strRef>
              <c:f>Grafy_bronz!$B$9:$C$9</c:f>
              <c:strCache>
                <c:ptCount val="1"/>
                <c:pt idx="0">
                  <c:v>Okruh 2 Index (bronz - celkový)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F1623B"/>
              </a:solidFill>
              <a:prstDash val="lgDashDot"/>
            </a:ln>
          </c:spP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Grafy_bronz!$D$9:$J$9</c:f>
              <c:numCache>
                <c:formatCode>0.000</c:formatCode>
                <c:ptCount val="7"/>
                <c:pt idx="0">
                  <c:v>0</c:v>
                </c:pt>
                <c:pt idx="1">
                  <c:v>0.14499999999999999</c:v>
                </c:pt>
                <c:pt idx="2">
                  <c:v>0.37</c:v>
                </c:pt>
                <c:pt idx="3">
                  <c:v>0</c:v>
                </c:pt>
                <c:pt idx="4">
                  <c:v>1.538</c:v>
                </c:pt>
                <c:pt idx="5">
                  <c:v>2.5</c:v>
                </c:pt>
                <c:pt idx="6">
                  <c:v>0</c:v>
                </c:pt>
              </c:numCache>
            </c:numRef>
          </c:val>
        </c:ser>
        <c:shape val="cylinder"/>
        <c:axId val="143903360"/>
        <c:axId val="144138624"/>
        <c:axId val="0"/>
      </c:bar3DChart>
      <c:catAx>
        <c:axId val="143903360"/>
        <c:scaling>
          <c:orientation val="minMax"/>
        </c:scaling>
        <c:axPos val="b"/>
        <c:majorTickMark val="none"/>
        <c:tickLblPos val="nextTo"/>
        <c:crossAx val="144138624"/>
        <c:crosses val="autoZero"/>
        <c:auto val="1"/>
        <c:lblAlgn val="ctr"/>
        <c:lblOffset val="100"/>
      </c:catAx>
      <c:valAx>
        <c:axId val="1441386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  <c:layout/>
        </c:title>
        <c:numFmt formatCode="0.000" sourceLinked="1"/>
        <c:majorTickMark val="none"/>
        <c:tickLblPos val="nextTo"/>
        <c:crossAx val="143903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3 a 4, </a:t>
            </a:r>
            <a:r>
              <a:rPr lang="sk-SK" sz="1800" b="1" i="0" u="none" strike="noStrike" baseline="0"/>
              <a:t>indexy samotných kovov</a:t>
            </a:r>
            <a:endParaRPr lang="sk-SK"/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5"/>
          <c:order val="0"/>
          <c:tx>
            <c:strRef>
              <c:f>Grafy_zlato!$B$13:$C$13</c:f>
              <c:strCache>
                <c:ptCount val="1"/>
                <c:pt idx="0">
                  <c:v>Okruh 3 Index (zlato)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Grafy_zlato!$D$12:$J$12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Grafy_zlato!$D$13:$J$13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 formatCode="General">
                  <c:v>0.65900000000000003</c:v>
                </c:pt>
                <c:pt idx="3">
                  <c:v>0</c:v>
                </c:pt>
                <c:pt idx="4" formatCode="General">
                  <c:v>0.29599999999999999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1"/>
          <c:tx>
            <c:strRef>
              <c:f>Grafy_zlato!$B$18:$C$18</c:f>
              <c:strCache>
                <c:ptCount val="1"/>
                <c:pt idx="0">
                  <c:v>Okruh 4 Index (zlato)</c:v>
                </c:pt>
              </c:strCache>
            </c:strRef>
          </c:tx>
          <c:spPr>
            <a:solidFill>
              <a:srgbClr val="FFE181"/>
            </a:solidFill>
          </c:spPr>
          <c:cat>
            <c:strRef>
              <c:f>Grafy_zlato!$D$17:$J$17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Grafy_zlato!$D$18:$J$18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0.71399999999999997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2"/>
          <c:tx>
            <c:strRef>
              <c:f>Grafy_striebro!$B$13:$C$13</c:f>
              <c:strCache>
                <c:ptCount val="1"/>
                <c:pt idx="0">
                  <c:v>Okruh 3 Index (striebro)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Grafy_striebro!$D$13:$J$13</c:f>
              <c:numCache>
                <c:formatCode>0.000</c:formatCode>
                <c:ptCount val="7"/>
                <c:pt idx="0">
                  <c:v>8.0000000000000002E-3</c:v>
                </c:pt>
                <c:pt idx="1">
                  <c:v>2.3E-2</c:v>
                </c:pt>
                <c:pt idx="2">
                  <c:v>0.23699999999999999</c:v>
                </c:pt>
                <c:pt idx="3">
                  <c:v>0.37176465069368703</c:v>
                </c:pt>
                <c:pt idx="4">
                  <c:v>0.57099999999999995</c:v>
                </c:pt>
                <c:pt idx="5">
                  <c:v>1.0223261357905835</c:v>
                </c:pt>
                <c:pt idx="6">
                  <c:v>1.1739999999999999</c:v>
                </c:pt>
              </c:numCache>
            </c:numRef>
          </c:val>
        </c:ser>
        <c:ser>
          <c:idx val="8"/>
          <c:order val="3"/>
          <c:tx>
            <c:strRef>
              <c:f>Grafy_striebro!$B$18:$C$18</c:f>
              <c:strCache>
                <c:ptCount val="1"/>
                <c:pt idx="0">
                  <c:v>Okruh 4 Index (striebro)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Grafy_striebro!$D$18:$J$18</c:f>
              <c:numCache>
                <c:formatCode>0.000</c:formatCode>
                <c:ptCount val="7"/>
                <c:pt idx="0">
                  <c:v>2E-3</c:v>
                </c:pt>
                <c:pt idx="1">
                  <c:v>1.0999999999999999E-2</c:v>
                </c:pt>
                <c:pt idx="2">
                  <c:v>0.54400000000000004</c:v>
                </c:pt>
                <c:pt idx="3">
                  <c:v>0.13500000000000001</c:v>
                </c:pt>
                <c:pt idx="4">
                  <c:v>0.19800000000000001</c:v>
                </c:pt>
                <c:pt idx="5">
                  <c:v>0.48599999999999999</c:v>
                </c:pt>
                <c:pt idx="6">
                  <c:v>0.33800000000000002</c:v>
                </c:pt>
              </c:numCache>
            </c:numRef>
          </c:val>
        </c:ser>
        <c:ser>
          <c:idx val="0"/>
          <c:order val="4"/>
          <c:tx>
            <c:strRef>
              <c:f>Grafy_bronz!$B$13:$C$13</c:f>
              <c:strCache>
                <c:ptCount val="1"/>
                <c:pt idx="0">
                  <c:v>Okruh 3 Index (bronz)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Grafy_bronz!$D$13:$J$13</c:f>
              <c:numCache>
                <c:formatCode>0.000</c:formatCode>
                <c:ptCount val="7"/>
                <c:pt idx="0">
                  <c:v>0</c:v>
                </c:pt>
                <c:pt idx="1">
                  <c:v>8.6999999999999994E-2</c:v>
                </c:pt>
                <c:pt idx="2">
                  <c:v>0.495</c:v>
                </c:pt>
                <c:pt idx="3">
                  <c:v>0.221</c:v>
                </c:pt>
                <c:pt idx="4">
                  <c:v>0.32</c:v>
                </c:pt>
                <c:pt idx="5">
                  <c:v>4.2999999999999997E-2</c:v>
                </c:pt>
                <c:pt idx="6">
                  <c:v>0.14799999999999999</c:v>
                </c:pt>
              </c:numCache>
            </c:numRef>
          </c:val>
        </c:ser>
        <c:ser>
          <c:idx val="3"/>
          <c:order val="5"/>
          <c:tx>
            <c:strRef>
              <c:f>Grafy_bronz!$B$18:$C$18</c:f>
              <c:strCache>
                <c:ptCount val="1"/>
                <c:pt idx="0">
                  <c:v>Okruh 4 Index (bronz)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Grafy_bronz!$D$18:$J$18</c:f>
              <c:numCache>
                <c:formatCode>0.000</c:formatCode>
                <c:ptCount val="7"/>
                <c:pt idx="0">
                  <c:v>0</c:v>
                </c:pt>
                <c:pt idx="1">
                  <c:v>2.1000000000000001E-2</c:v>
                </c:pt>
                <c:pt idx="2">
                  <c:v>0.51200000000000001</c:v>
                </c:pt>
                <c:pt idx="3">
                  <c:v>0.13300000000000001</c:v>
                </c:pt>
                <c:pt idx="4">
                  <c:v>0.77200000000000002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hape val="cylinder"/>
        <c:axId val="144204928"/>
        <c:axId val="144206464"/>
        <c:axId val="0"/>
      </c:bar3DChart>
      <c:catAx>
        <c:axId val="144204928"/>
        <c:scaling>
          <c:orientation val="minMax"/>
        </c:scaling>
        <c:axPos val="b"/>
        <c:majorTickMark val="none"/>
        <c:tickLblPos val="nextTo"/>
        <c:crossAx val="144206464"/>
        <c:crosses val="autoZero"/>
        <c:auto val="1"/>
        <c:lblAlgn val="ctr"/>
        <c:lblOffset val="100"/>
      </c:catAx>
      <c:valAx>
        <c:axId val="1442064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144204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3 a 4, </a:t>
            </a:r>
            <a:r>
              <a:rPr lang="sk-SK" sz="1800" b="1" i="0" u="none" strike="noStrike" baseline="0"/>
              <a:t>indexy celkového počtu mincí</a:t>
            </a:r>
            <a:endParaRPr lang="sk-SK"/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5"/>
          <c:order val="0"/>
          <c:tx>
            <c:strRef>
              <c:f>Grafy_zlato!$B$14:$C$14</c:f>
              <c:strCache>
                <c:ptCount val="1"/>
                <c:pt idx="0">
                  <c:v>Okruh 3 Index (zlato - celkový)</c:v>
                </c:pt>
              </c:strCache>
            </c:strRef>
          </c:tx>
          <c:spPr>
            <a:solidFill>
              <a:srgbClr val="FFC000"/>
            </a:solidFill>
            <a:ln>
              <a:prstDash val="lgDashDot"/>
            </a:ln>
          </c:spPr>
          <c:cat>
            <c:strRef>
              <c:f>Grafy_zlato!$D$12:$J$12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Grafy_zlato!$D$14:$J$14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 formatCode="General">
                  <c:v>8.0000000000000002E-3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1"/>
          <c:tx>
            <c:strRef>
              <c:f>Grafy_zlato!$B$19:$C$19</c:f>
              <c:strCache>
                <c:ptCount val="1"/>
                <c:pt idx="0">
                  <c:v>Okruh 4 Index (zlato - celkový)</c:v>
                </c:pt>
              </c:strCache>
            </c:strRef>
          </c:tx>
          <c:spPr>
            <a:solidFill>
              <a:srgbClr val="FFE181"/>
            </a:solidFill>
            <a:ln>
              <a:prstDash val="lgDashDot"/>
            </a:ln>
          </c:spPr>
          <c:cat>
            <c:strRef>
              <c:f>Grafy_zlato!$D$17:$J$17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Grafy_zlato!$D$19:$J$19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2"/>
          <c:tx>
            <c:strRef>
              <c:f>Grafy_striebro!$B$14:$C$14</c:f>
              <c:strCache>
                <c:ptCount val="1"/>
                <c:pt idx="0">
                  <c:v>Okruh 3 Index (striebro - celkový)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prstDash val="lgDashDot"/>
            </a:ln>
          </c:spP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Grafy_striebro!$D$14:$J$14</c:f>
              <c:numCache>
                <c:formatCode>0.000</c:formatCode>
                <c:ptCount val="7"/>
                <c:pt idx="0">
                  <c:v>0.222</c:v>
                </c:pt>
                <c:pt idx="1">
                  <c:v>0.44800000000000001</c:v>
                </c:pt>
                <c:pt idx="2">
                  <c:v>0.45500000000000002</c:v>
                </c:pt>
                <c:pt idx="3">
                  <c:v>2.0308796207316289</c:v>
                </c:pt>
                <c:pt idx="4">
                  <c:v>3.2490000000000001</c:v>
                </c:pt>
                <c:pt idx="5">
                  <c:v>8.8915470494417868</c:v>
                </c:pt>
                <c:pt idx="6">
                  <c:v>6.0229999999999997</c:v>
                </c:pt>
              </c:numCache>
            </c:numRef>
          </c:val>
        </c:ser>
        <c:ser>
          <c:idx val="8"/>
          <c:order val="3"/>
          <c:tx>
            <c:strRef>
              <c:f>Grafy_striebro!$B$19:$C$19</c:f>
              <c:strCache>
                <c:ptCount val="1"/>
                <c:pt idx="0">
                  <c:v>Okruh 4 Index (striebro - celkový)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bg1">
                  <a:lumMod val="65000"/>
                </a:schemeClr>
              </a:solidFill>
              <a:prstDash val="lgDashDot"/>
            </a:ln>
          </c:spP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Grafy_striebro!$D$19:$J$19</c:f>
              <c:numCache>
                <c:formatCode>0.000</c:formatCode>
                <c:ptCount val="7"/>
                <c:pt idx="0">
                  <c:v>0.222</c:v>
                </c:pt>
                <c:pt idx="1">
                  <c:v>0.63</c:v>
                </c:pt>
                <c:pt idx="2">
                  <c:v>0.61399999999999999</c:v>
                </c:pt>
                <c:pt idx="3">
                  <c:v>2</c:v>
                </c:pt>
                <c:pt idx="4">
                  <c:v>2.3359999999999999</c:v>
                </c:pt>
                <c:pt idx="5">
                  <c:v>9.0909999999999993</c:v>
                </c:pt>
                <c:pt idx="6">
                  <c:v>6.1779999999999999</c:v>
                </c:pt>
              </c:numCache>
            </c:numRef>
          </c:val>
        </c:ser>
        <c:ser>
          <c:idx val="1"/>
          <c:order val="4"/>
          <c:tx>
            <c:strRef>
              <c:f>Grafy_bronz!$B$14:$C$14</c:f>
              <c:strCache>
                <c:ptCount val="1"/>
                <c:pt idx="0">
                  <c:v>Okruh 3 Index (bronz - celkový)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prstDash val="lgDashDot"/>
            </a:ln>
          </c:spP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Grafy_bronz!$D$14:$J$14</c:f>
              <c:numCache>
                <c:formatCode>0.000</c:formatCode>
                <c:ptCount val="7"/>
                <c:pt idx="0">
                  <c:v>0</c:v>
                </c:pt>
                <c:pt idx="1">
                  <c:v>0.36199999999999999</c:v>
                </c:pt>
                <c:pt idx="2">
                  <c:v>0.20200000000000001</c:v>
                </c:pt>
                <c:pt idx="3">
                  <c:v>0.25600000000000001</c:v>
                </c:pt>
                <c:pt idx="4">
                  <c:v>0.38700000000000001</c:v>
                </c:pt>
                <c:pt idx="5">
                  <c:v>0.08</c:v>
                </c:pt>
                <c:pt idx="6">
                  <c:v>0.16200000000000001</c:v>
                </c:pt>
              </c:numCache>
            </c:numRef>
          </c:val>
        </c:ser>
        <c:ser>
          <c:idx val="4"/>
          <c:order val="5"/>
          <c:tx>
            <c:strRef>
              <c:f>Grafy_bronz!$B$19:$C$19</c:f>
              <c:strCache>
                <c:ptCount val="1"/>
                <c:pt idx="0">
                  <c:v>Okruh 4 Index (bronz - celkový)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F1623B"/>
              </a:solidFill>
              <a:prstDash val="lgDashDot"/>
            </a:ln>
          </c:spPr>
          <c:cat>
            <c:strRef>
              <c:f>Grafy_bronz!$D$12:$J$12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Grafy_bronz!$D$19:$J$19</c:f>
              <c:numCache>
                <c:formatCode>0.000</c:formatCode>
                <c:ptCount val="7"/>
                <c:pt idx="0">
                  <c:v>0</c:v>
                </c:pt>
                <c:pt idx="1">
                  <c:v>0.18</c:v>
                </c:pt>
                <c:pt idx="2">
                  <c:v>8.8999999999999996E-2</c:v>
                </c:pt>
                <c:pt idx="3">
                  <c:v>0.30399999999999999</c:v>
                </c:pt>
                <c:pt idx="4">
                  <c:v>1.3959999999999999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hape val="cylinder"/>
        <c:axId val="144338304"/>
        <c:axId val="144352384"/>
        <c:axId val="0"/>
      </c:bar3DChart>
      <c:catAx>
        <c:axId val="144338304"/>
        <c:scaling>
          <c:orientation val="minMax"/>
        </c:scaling>
        <c:axPos val="b"/>
        <c:majorTickMark val="none"/>
        <c:tickLblPos val="nextTo"/>
        <c:crossAx val="144352384"/>
        <c:crosses val="autoZero"/>
        <c:auto val="1"/>
        <c:lblAlgn val="ctr"/>
        <c:lblOffset val="100"/>
      </c:catAx>
      <c:valAx>
        <c:axId val="1443523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144338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3 a 4, zlaté mince </a:t>
            </a:r>
            <a:endParaRPr lang="sk-SK"/>
          </a:p>
        </c:rich>
      </c:tx>
    </c:title>
    <c:plotArea>
      <c:layout/>
      <c:lineChart>
        <c:grouping val="standard"/>
        <c:ser>
          <c:idx val="2"/>
          <c:order val="2"/>
          <c:tx>
            <c:strRef>
              <c:f>Grafy_zlato!$B$13:$C$13</c:f>
              <c:strCache>
                <c:ptCount val="1"/>
                <c:pt idx="0">
                  <c:v>Okruh 3 Index (zlato)</c:v>
                </c:pt>
              </c:strCache>
            </c:strRef>
          </c:tx>
          <c:marker>
            <c:symbol val="none"/>
          </c:marker>
          <c:cat>
            <c:strRef>
              <c:f>Grafy_zlato!$D$12:$J$12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Grafy_zlato!$D$13:$J$13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 formatCode="General">
                  <c:v>0.65900000000000003</c:v>
                </c:pt>
                <c:pt idx="3">
                  <c:v>0</c:v>
                </c:pt>
                <c:pt idx="4" formatCode="General">
                  <c:v>0.29599999999999999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Grafy_zlato!$B$14:$C$14</c:f>
              <c:strCache>
                <c:ptCount val="1"/>
                <c:pt idx="0">
                  <c:v>Okruh 3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Grafy_zlato!$D$14:$J$14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 formatCode="General">
                  <c:v>8.0000000000000002E-3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0"/>
          <c:order val="0"/>
          <c:tx>
            <c:strRef>
              <c:f>Grafy_zlato!$B$18:$C$18</c:f>
              <c:strCache>
                <c:ptCount val="1"/>
                <c:pt idx="0">
                  <c:v>Okruh 4 Index (zlato)</c:v>
                </c:pt>
              </c:strCache>
            </c:strRef>
          </c:tx>
          <c:marker>
            <c:symbol val="none"/>
          </c:marker>
          <c:cat>
            <c:strRef>
              <c:f>Grafy_zlato!$D$17:$J$17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Grafy_zlato!$D$18:$J$18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0.71399999999999997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Grafy_zlato!$B$19:$C$19</c:f>
              <c:strCache>
                <c:ptCount val="1"/>
                <c:pt idx="0">
                  <c:v>Okruh 4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Grafy_zlato!$D$17:$J$17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Grafy_zlato!$D$19:$J$19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marker val="1"/>
        <c:axId val="104142720"/>
        <c:axId val="104144256"/>
      </c:lineChart>
      <c:catAx>
        <c:axId val="104142720"/>
        <c:scaling>
          <c:orientation val="minMax"/>
        </c:scaling>
        <c:axPos val="b"/>
        <c:majorTickMark val="none"/>
        <c:tickLblPos val="nextTo"/>
        <c:crossAx val="104144256"/>
        <c:crosses val="autoZero"/>
        <c:auto val="1"/>
        <c:lblAlgn val="ctr"/>
        <c:lblOffset val="100"/>
      </c:catAx>
      <c:valAx>
        <c:axId val="1041442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</a:p>
            </c:rich>
          </c:tx>
        </c:title>
        <c:numFmt formatCode="0.000" sourceLinked="1"/>
        <c:majorTickMark val="none"/>
        <c:tickLblPos val="nextTo"/>
        <c:crossAx val="1041427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Provincie - Norikum, Horná Panónia, zlaté mince </a:t>
            </a:r>
          </a:p>
        </c:rich>
      </c:tx>
    </c:title>
    <c:plotArea>
      <c:layout/>
      <c:lineChart>
        <c:grouping val="standard"/>
        <c:ser>
          <c:idx val="2"/>
          <c:order val="2"/>
          <c:tx>
            <c:strRef>
              <c:f>Grafy_zlato!$B$28:$C$28</c:f>
              <c:strCache>
                <c:ptCount val="1"/>
                <c:pt idx="0">
                  <c:v>Hor. Panónia Index (zlato)</c:v>
                </c:pt>
              </c:strCache>
            </c:strRef>
          </c:tx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Grafy_zlato!$D$28:$J$28</c:f>
              <c:numCache>
                <c:formatCode>0.000</c:formatCode>
                <c:ptCount val="7"/>
                <c:pt idx="0">
                  <c:v>1E-3</c:v>
                </c:pt>
                <c:pt idx="1">
                  <c:v>1.6E-2</c:v>
                </c:pt>
                <c:pt idx="2">
                  <c:v>0.69</c:v>
                </c:pt>
                <c:pt idx="3">
                  <c:v>1.9E-2</c:v>
                </c:pt>
                <c:pt idx="4">
                  <c:v>1.0999999999999999E-2</c:v>
                </c:pt>
                <c:pt idx="5">
                  <c:v>0.01</c:v>
                </c:pt>
                <c:pt idx="6">
                  <c:v>2.1999999999999999E-2</c:v>
                </c:pt>
              </c:numCache>
            </c:numRef>
          </c:val>
        </c:ser>
        <c:ser>
          <c:idx val="3"/>
          <c:order val="3"/>
          <c:tx>
            <c:strRef>
              <c:f>Grafy_zlato!$B$29:$C$29</c:f>
              <c:strCache>
                <c:ptCount val="1"/>
                <c:pt idx="0">
                  <c:v>Hor. Panónia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Grafy_zlato!$D$29:$J$29</c:f>
              <c:numCache>
                <c:formatCode>0.000</c:formatCode>
                <c:ptCount val="7"/>
                <c:pt idx="0">
                  <c:v>1E-3</c:v>
                </c:pt>
                <c:pt idx="1">
                  <c:v>4.0000000000000001E-3</c:v>
                </c:pt>
                <c:pt idx="2">
                  <c:v>3.1E-2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3.0000000000000001E-3</c:v>
                </c:pt>
              </c:numCache>
            </c:numRef>
          </c:val>
        </c:ser>
        <c:ser>
          <c:idx val="0"/>
          <c:order val="0"/>
          <c:tx>
            <c:strRef>
              <c:f>Grafy_zlato!$B$23:$C$23</c:f>
              <c:strCache>
                <c:ptCount val="1"/>
                <c:pt idx="0">
                  <c:v>Norikum Index (zlato)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Grafy_zlato!$D$22:$J$22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Grafy_zlato!$D$23:$J$23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0.67900000000000005</c:v>
                </c:pt>
                <c:pt idx="3">
                  <c:v>1.7999999999999999E-2</c:v>
                </c:pt>
                <c:pt idx="4">
                  <c:v>0</c:v>
                </c:pt>
                <c:pt idx="5">
                  <c:v>4.4999999999999998E-2</c:v>
                </c:pt>
                <c:pt idx="6">
                  <c:v>0.20300000000000001</c:v>
                </c:pt>
              </c:numCache>
            </c:numRef>
          </c:val>
        </c:ser>
        <c:ser>
          <c:idx val="1"/>
          <c:order val="1"/>
          <c:tx>
            <c:strRef>
              <c:f>Grafy_zlato!$B$24:$C$24</c:f>
              <c:strCache>
                <c:ptCount val="1"/>
                <c:pt idx="0">
                  <c:v>Norikum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Grafy_zlato!$D$24:$J$24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1.9E-2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  <c:pt idx="6">
                  <c:v>0.02</c:v>
                </c:pt>
              </c:numCache>
            </c:numRef>
          </c:val>
        </c:ser>
        <c:marker val="1"/>
        <c:axId val="143144832"/>
        <c:axId val="143146368"/>
      </c:lineChart>
      <c:catAx>
        <c:axId val="143144832"/>
        <c:scaling>
          <c:orientation val="minMax"/>
        </c:scaling>
        <c:axPos val="b"/>
        <c:majorTickMark val="none"/>
        <c:tickLblPos val="nextTo"/>
        <c:crossAx val="143146368"/>
        <c:crosses val="autoZero"/>
        <c:auto val="1"/>
        <c:lblAlgn val="ctr"/>
        <c:lblOffset val="100"/>
      </c:catAx>
      <c:valAx>
        <c:axId val="1431463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400"/>
              </a:p>
            </c:rich>
          </c:tx>
        </c:title>
        <c:numFmt formatCode="0.000" sourceLinked="1"/>
        <c:majorTickMark val="none"/>
        <c:tickLblPos val="nextTo"/>
        <c:crossAx val="1431448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Provincie - Horná Panónia, Dolná Panónia, zlaté mince </a:t>
            </a:r>
          </a:p>
        </c:rich>
      </c:tx>
    </c:title>
    <c:plotArea>
      <c:layout/>
      <c:lineChart>
        <c:grouping val="standard"/>
        <c:ser>
          <c:idx val="6"/>
          <c:order val="4"/>
          <c:tx>
            <c:strRef>
              <c:f>Grafy_zlato!$B$28:$C$28</c:f>
              <c:strCache>
                <c:ptCount val="1"/>
                <c:pt idx="0">
                  <c:v>Hor. Panónia Index (zlato)</c:v>
                </c:pt>
              </c:strCache>
            </c:strRef>
          </c:tx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Grafy_zlato!$D$28:$J$28</c:f>
              <c:numCache>
                <c:formatCode>0.000</c:formatCode>
                <c:ptCount val="7"/>
                <c:pt idx="0">
                  <c:v>1E-3</c:v>
                </c:pt>
                <c:pt idx="1">
                  <c:v>1.6E-2</c:v>
                </c:pt>
                <c:pt idx="2">
                  <c:v>0.69</c:v>
                </c:pt>
                <c:pt idx="3">
                  <c:v>1.9E-2</c:v>
                </c:pt>
                <c:pt idx="4">
                  <c:v>1.0999999999999999E-2</c:v>
                </c:pt>
                <c:pt idx="5">
                  <c:v>0.01</c:v>
                </c:pt>
                <c:pt idx="6">
                  <c:v>2.1999999999999999E-2</c:v>
                </c:pt>
              </c:numCache>
            </c:numRef>
          </c:val>
        </c:ser>
        <c:ser>
          <c:idx val="7"/>
          <c:order val="5"/>
          <c:tx>
            <c:strRef>
              <c:f>Grafy_zlato!$B$29:$C$29</c:f>
              <c:strCache>
                <c:ptCount val="1"/>
                <c:pt idx="0">
                  <c:v>Hor. Panónia Index (zlato - celkový)</c:v>
                </c:pt>
              </c:strCache>
            </c:strRef>
          </c:tx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Grafy_zlato!$D$29:$J$29</c:f>
              <c:numCache>
                <c:formatCode>0.000</c:formatCode>
                <c:ptCount val="7"/>
                <c:pt idx="0">
                  <c:v>1E-3</c:v>
                </c:pt>
                <c:pt idx="1">
                  <c:v>4.0000000000000001E-3</c:v>
                </c:pt>
                <c:pt idx="2">
                  <c:v>3.1E-2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3.0000000000000001E-3</c:v>
                </c:pt>
              </c:numCache>
            </c:numRef>
          </c:val>
        </c:ser>
        <c:ser>
          <c:idx val="4"/>
          <c:order val="2"/>
          <c:tx>
            <c:strRef>
              <c:f>Grafy_zlato!$B$33:$C$33</c:f>
              <c:strCache>
                <c:ptCount val="1"/>
                <c:pt idx="0">
                  <c:v>Dol. Panónia Index (zlato)</c:v>
                </c:pt>
              </c:strCache>
            </c:strRef>
          </c:tx>
          <c:marker>
            <c:symbol val="none"/>
          </c:marker>
          <c:cat>
            <c:strRef>
              <c:f>Grafy_zlato!$D$32:$J$32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Grafy_zlato!$D$33:$J$33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0.64300000000000002</c:v>
                </c:pt>
                <c:pt idx="3">
                  <c:v>0.14499999999999999</c:v>
                </c:pt>
                <c:pt idx="4">
                  <c:v>0</c:v>
                </c:pt>
                <c:pt idx="5">
                  <c:v>0</c:v>
                </c:pt>
                <c:pt idx="6">
                  <c:v>0.20799999999999999</c:v>
                </c:pt>
              </c:numCache>
            </c:numRef>
          </c:val>
        </c:ser>
        <c:ser>
          <c:idx val="5"/>
          <c:order val="3"/>
          <c:tx>
            <c:strRef>
              <c:f>Grafy_zlato!$B$34:$C$34</c:f>
              <c:strCache>
                <c:ptCount val="1"/>
                <c:pt idx="0">
                  <c:v>Dol. Panónia Index (zlato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Grafy_zlato!$D$32:$J$32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Grafy_zlato!$D$34:$J$34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3.6999999999999998E-2</c:v>
                </c:pt>
                <c:pt idx="3">
                  <c:v>1.2999999999999999E-2</c:v>
                </c:pt>
                <c:pt idx="4">
                  <c:v>0</c:v>
                </c:pt>
                <c:pt idx="5">
                  <c:v>0</c:v>
                </c:pt>
                <c:pt idx="6">
                  <c:v>1.4E-2</c:v>
                </c:pt>
              </c:numCache>
            </c:numRef>
          </c:val>
        </c:ser>
        <c:ser>
          <c:idx val="2"/>
          <c:order val="0"/>
          <c:tx>
            <c:strRef>
              <c:f>Grafy_zlato!$B$28:$C$28</c:f>
              <c:strCache>
                <c:ptCount val="1"/>
                <c:pt idx="0">
                  <c:v>Hor. Panónia Index (zlato)</c:v>
                </c:pt>
              </c:strCache>
            </c:strRef>
          </c:tx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Grafy_zlato!$D$28:$J$28</c:f>
              <c:numCache>
                <c:formatCode>0.000</c:formatCode>
                <c:ptCount val="7"/>
                <c:pt idx="0">
                  <c:v>1E-3</c:v>
                </c:pt>
                <c:pt idx="1">
                  <c:v>1.6E-2</c:v>
                </c:pt>
                <c:pt idx="2">
                  <c:v>0.69</c:v>
                </c:pt>
                <c:pt idx="3">
                  <c:v>1.9E-2</c:v>
                </c:pt>
                <c:pt idx="4">
                  <c:v>1.0999999999999999E-2</c:v>
                </c:pt>
                <c:pt idx="5">
                  <c:v>0.01</c:v>
                </c:pt>
                <c:pt idx="6">
                  <c:v>2.1999999999999999E-2</c:v>
                </c:pt>
              </c:numCache>
            </c:numRef>
          </c:val>
        </c:ser>
        <c:ser>
          <c:idx val="3"/>
          <c:order val="1"/>
          <c:tx>
            <c:strRef>
              <c:f>Grafy_zlato!$B$29:$C$29</c:f>
              <c:strCache>
                <c:ptCount val="1"/>
                <c:pt idx="0">
                  <c:v>Hor. Panónia Index (zlato - celkový)</c:v>
                </c:pt>
              </c:strCache>
            </c:strRef>
          </c:tx>
          <c:spPr>
            <a:ln>
              <a:solidFill>
                <a:srgbClr val="7030A0"/>
              </a:solidFill>
              <a:prstDash val="lgDashDot"/>
            </a:ln>
          </c:spPr>
          <c:marker>
            <c:symbol val="none"/>
          </c:marker>
          <c:cat>
            <c:strRef>
              <c:f>Grafy_zlato!$D$27:$J$27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Grafy_zlato!$D$29:$J$29</c:f>
              <c:numCache>
                <c:formatCode>0.000</c:formatCode>
                <c:ptCount val="7"/>
                <c:pt idx="0">
                  <c:v>1E-3</c:v>
                </c:pt>
                <c:pt idx="1">
                  <c:v>4.0000000000000001E-3</c:v>
                </c:pt>
                <c:pt idx="2">
                  <c:v>3.1E-2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3.0000000000000001E-3</c:v>
                </c:pt>
              </c:numCache>
            </c:numRef>
          </c:val>
        </c:ser>
        <c:marker val="1"/>
        <c:axId val="143183232"/>
        <c:axId val="143201408"/>
      </c:lineChart>
      <c:catAx>
        <c:axId val="143183232"/>
        <c:scaling>
          <c:orientation val="minMax"/>
        </c:scaling>
        <c:axPos val="b"/>
        <c:majorTickMark val="none"/>
        <c:tickLblPos val="nextTo"/>
        <c:crossAx val="143201408"/>
        <c:crosses val="autoZero"/>
        <c:auto val="1"/>
        <c:lblAlgn val="ctr"/>
        <c:lblOffset val="100"/>
      </c:catAx>
      <c:valAx>
        <c:axId val="1432014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400"/>
              </a:p>
            </c:rich>
          </c:tx>
        </c:title>
        <c:numFmt formatCode="0.000" sourceLinked="1"/>
        <c:majorTickMark val="none"/>
        <c:tickLblPos val="nextTo"/>
        <c:crossAx val="143183232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1 a 2, strieborné mince </a:t>
            </a:r>
            <a:endParaRPr lang="sk-SK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Grafy_striebro!$B$3:$C$3</c:f>
              <c:strCache>
                <c:ptCount val="1"/>
                <c:pt idx="0">
                  <c:v>Okruh 1 Index (striebro)</c:v>
                </c:pt>
              </c:strCache>
            </c:strRef>
          </c:tx>
          <c:marker>
            <c:symbol val="none"/>
          </c:marke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Grafy_striebro!$D$3:$J$3</c:f>
              <c:numCache>
                <c:formatCode>0.000</c:formatCode>
                <c:ptCount val="7"/>
                <c:pt idx="0">
                  <c:v>2.7E-2</c:v>
                </c:pt>
                <c:pt idx="1">
                  <c:v>3.1E-2</c:v>
                </c:pt>
                <c:pt idx="2">
                  <c:v>0.38800000000000001</c:v>
                </c:pt>
                <c:pt idx="3">
                  <c:v>0.248</c:v>
                </c:pt>
                <c:pt idx="4">
                  <c:v>0.29499999999999998</c:v>
                </c:pt>
                <c:pt idx="5">
                  <c:v>0.57799999999999996</c:v>
                </c:pt>
                <c:pt idx="6">
                  <c:v>0.19900000000000001</c:v>
                </c:pt>
              </c:numCache>
            </c:numRef>
          </c:val>
        </c:ser>
        <c:ser>
          <c:idx val="1"/>
          <c:order val="1"/>
          <c:tx>
            <c:strRef>
              <c:f>Grafy_striebro!$B$4:$C$4</c:f>
              <c:strCache>
                <c:ptCount val="1"/>
                <c:pt idx="0">
                  <c:v>Okruh 1 Index (striebro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Grafy_striebro!$D$4:$J$4</c:f>
              <c:numCache>
                <c:formatCode>0.000</c:formatCode>
                <c:ptCount val="7"/>
                <c:pt idx="0">
                  <c:v>0.11600000000000001</c:v>
                </c:pt>
                <c:pt idx="1">
                  <c:v>0.24399999999999999</c:v>
                </c:pt>
                <c:pt idx="2">
                  <c:v>0.443</c:v>
                </c:pt>
                <c:pt idx="3">
                  <c:v>1.363</c:v>
                </c:pt>
                <c:pt idx="4">
                  <c:v>2.2170000000000001</c:v>
                </c:pt>
                <c:pt idx="5">
                  <c:v>5.5039999999999996</c:v>
                </c:pt>
                <c:pt idx="6">
                  <c:v>6.6989999999999998</c:v>
                </c:pt>
              </c:numCache>
            </c:numRef>
          </c:val>
        </c:ser>
        <c:ser>
          <c:idx val="2"/>
          <c:order val="2"/>
          <c:tx>
            <c:strRef>
              <c:f>Grafy_striebro!$B$7:$C$7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Grafy_striebro!$D$7:$J$7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Grafy_striebro!$B$8:$C$8</c:f>
              <c:strCache>
                <c:ptCount val="1"/>
                <c:pt idx="0">
                  <c:v>Okruh 2 Index (striebro)</c:v>
                </c:pt>
              </c:strCache>
            </c:strRef>
          </c:tx>
          <c:marker>
            <c:symbol val="none"/>
          </c:marke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Grafy_striebro!$D$8:$J$8</c:f>
              <c:numCache>
                <c:formatCode>0.000</c:formatCode>
                <c:ptCount val="7"/>
                <c:pt idx="0">
                  <c:v>0</c:v>
                </c:pt>
                <c:pt idx="1">
                  <c:v>7.9000000000000001E-2</c:v>
                </c:pt>
                <c:pt idx="2">
                  <c:v>0.32500000000000001</c:v>
                </c:pt>
                <c:pt idx="3">
                  <c:v>0.317</c:v>
                </c:pt>
                <c:pt idx="4">
                  <c:v>0.52400000000000002</c:v>
                </c:pt>
                <c:pt idx="5">
                  <c:v>0.85199999999999998</c:v>
                </c:pt>
                <c:pt idx="6">
                  <c:v>0.41299999999999998</c:v>
                </c:pt>
              </c:numCache>
            </c:numRef>
          </c:val>
        </c:ser>
        <c:ser>
          <c:idx val="4"/>
          <c:order val="4"/>
          <c:tx>
            <c:strRef>
              <c:f>Grafy_striebro!$B$9:$C$9</c:f>
              <c:strCache>
                <c:ptCount val="1"/>
                <c:pt idx="0">
                  <c:v>Okruh 2 Index (striebro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Grafy_striebro!$D$2:$J$2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Grafy_striebro!$D$9:$J$9</c:f>
              <c:numCache>
                <c:formatCode>0.000</c:formatCode>
                <c:ptCount val="7"/>
                <c:pt idx="0">
                  <c:v>0</c:v>
                </c:pt>
                <c:pt idx="1">
                  <c:v>0.28999999999999998</c:v>
                </c:pt>
                <c:pt idx="2">
                  <c:v>0.26500000000000001</c:v>
                </c:pt>
                <c:pt idx="3">
                  <c:v>2.3260000000000001</c:v>
                </c:pt>
                <c:pt idx="4">
                  <c:v>2.3079999999999998</c:v>
                </c:pt>
                <c:pt idx="5">
                  <c:v>3.75</c:v>
                </c:pt>
                <c:pt idx="6">
                  <c:v>9.0909999999999993</c:v>
                </c:pt>
              </c:numCache>
            </c:numRef>
          </c:val>
        </c:ser>
        <c:marker val="1"/>
        <c:axId val="143291904"/>
        <c:axId val="143293440"/>
      </c:lineChart>
      <c:catAx>
        <c:axId val="143291904"/>
        <c:scaling>
          <c:orientation val="minMax"/>
        </c:scaling>
        <c:axPos val="b"/>
        <c:majorTickMark val="none"/>
        <c:tickLblPos val="nextTo"/>
        <c:crossAx val="143293440"/>
        <c:crosses val="autoZero"/>
        <c:auto val="1"/>
        <c:lblAlgn val="ctr"/>
        <c:lblOffset val="100"/>
      </c:catAx>
      <c:valAx>
        <c:axId val="1432934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Hodnota indexu</a:t>
                </a:r>
              </a:p>
            </c:rich>
          </c:tx>
          <c:layout/>
        </c:title>
        <c:numFmt formatCode="0.000" sourceLinked="1"/>
        <c:majorTickMark val="none"/>
        <c:tickLblPos val="nextTo"/>
        <c:crossAx val="143291904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3 a 4, strieborné mince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Grafy_striebro!$B$13:$C$13</c:f>
              <c:strCache>
                <c:ptCount val="1"/>
                <c:pt idx="0">
                  <c:v>Okruh 3 Index (striebro)</c:v>
                </c:pt>
              </c:strCache>
            </c:strRef>
          </c:tx>
          <c:marker>
            <c:symbol val="none"/>
          </c:marke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Grafy_striebro!$D$13:$J$13</c:f>
              <c:numCache>
                <c:formatCode>0.000</c:formatCode>
                <c:ptCount val="7"/>
                <c:pt idx="0">
                  <c:v>8.0000000000000002E-3</c:v>
                </c:pt>
                <c:pt idx="1">
                  <c:v>2.3E-2</c:v>
                </c:pt>
                <c:pt idx="2">
                  <c:v>0.23699999999999999</c:v>
                </c:pt>
                <c:pt idx="3">
                  <c:v>0.37176465069368703</c:v>
                </c:pt>
                <c:pt idx="4">
                  <c:v>0.57099999999999995</c:v>
                </c:pt>
                <c:pt idx="5">
                  <c:v>1.0223261357905835</c:v>
                </c:pt>
                <c:pt idx="6">
                  <c:v>1.1739999999999999</c:v>
                </c:pt>
              </c:numCache>
            </c:numRef>
          </c:val>
        </c:ser>
        <c:ser>
          <c:idx val="1"/>
          <c:order val="1"/>
          <c:tx>
            <c:strRef>
              <c:f>Grafy_striebro!$B$14:$C$14</c:f>
              <c:strCache>
                <c:ptCount val="1"/>
                <c:pt idx="0">
                  <c:v>Okruh 3 Index (striebro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Grafy_striebro!$D$14:$J$14</c:f>
              <c:numCache>
                <c:formatCode>0.000</c:formatCode>
                <c:ptCount val="7"/>
                <c:pt idx="0">
                  <c:v>0.222</c:v>
                </c:pt>
                <c:pt idx="1">
                  <c:v>0.44800000000000001</c:v>
                </c:pt>
                <c:pt idx="2">
                  <c:v>0.45500000000000002</c:v>
                </c:pt>
                <c:pt idx="3">
                  <c:v>2.0308796207316289</c:v>
                </c:pt>
                <c:pt idx="4">
                  <c:v>3.2490000000000001</c:v>
                </c:pt>
                <c:pt idx="5">
                  <c:v>8.8915470494417868</c:v>
                </c:pt>
                <c:pt idx="6">
                  <c:v>6.0229999999999997</c:v>
                </c:pt>
              </c:numCache>
            </c:numRef>
          </c:val>
        </c:ser>
        <c:ser>
          <c:idx val="2"/>
          <c:order val="2"/>
          <c:tx>
            <c:strRef>
              <c:f>Grafy_striebro!$B$17:$C$17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Grafy_striebro!$D$17:$J$17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Grafy_striebro!$B$18:$C$18</c:f>
              <c:strCache>
                <c:ptCount val="1"/>
                <c:pt idx="0">
                  <c:v>Okruh 4 Index (striebro)</c:v>
                </c:pt>
              </c:strCache>
            </c:strRef>
          </c:tx>
          <c:marker>
            <c:symbol val="none"/>
          </c:marke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Grafy_striebro!$D$18:$J$18</c:f>
              <c:numCache>
                <c:formatCode>0.000</c:formatCode>
                <c:ptCount val="7"/>
                <c:pt idx="0">
                  <c:v>2E-3</c:v>
                </c:pt>
                <c:pt idx="1">
                  <c:v>1.0999999999999999E-2</c:v>
                </c:pt>
                <c:pt idx="2">
                  <c:v>0.54400000000000004</c:v>
                </c:pt>
                <c:pt idx="3">
                  <c:v>0.13500000000000001</c:v>
                </c:pt>
                <c:pt idx="4">
                  <c:v>0.19800000000000001</c:v>
                </c:pt>
                <c:pt idx="5">
                  <c:v>0.48599999999999999</c:v>
                </c:pt>
                <c:pt idx="6">
                  <c:v>0.33800000000000002</c:v>
                </c:pt>
              </c:numCache>
            </c:numRef>
          </c:val>
        </c:ser>
        <c:ser>
          <c:idx val="4"/>
          <c:order val="4"/>
          <c:tx>
            <c:strRef>
              <c:f>Grafy_striebro!$B$19:$C$19</c:f>
              <c:strCache>
                <c:ptCount val="1"/>
                <c:pt idx="0">
                  <c:v>Okruh 4 Index (striebro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Grafy_striebro!$D$12:$J$12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Grafy_striebro!$D$19:$J$19</c:f>
              <c:numCache>
                <c:formatCode>0.000</c:formatCode>
                <c:ptCount val="7"/>
                <c:pt idx="0">
                  <c:v>0.222</c:v>
                </c:pt>
                <c:pt idx="1">
                  <c:v>0.63</c:v>
                </c:pt>
                <c:pt idx="2">
                  <c:v>0.61399999999999999</c:v>
                </c:pt>
                <c:pt idx="3">
                  <c:v>2</c:v>
                </c:pt>
                <c:pt idx="4">
                  <c:v>2.3359999999999999</c:v>
                </c:pt>
                <c:pt idx="5">
                  <c:v>9.0909999999999993</c:v>
                </c:pt>
                <c:pt idx="6">
                  <c:v>6.1779999999999999</c:v>
                </c:pt>
              </c:numCache>
            </c:numRef>
          </c:val>
        </c:ser>
        <c:marker val="1"/>
        <c:axId val="143424128"/>
        <c:axId val="143434112"/>
      </c:lineChart>
      <c:catAx>
        <c:axId val="143424128"/>
        <c:scaling>
          <c:orientation val="minMax"/>
        </c:scaling>
        <c:axPos val="b"/>
        <c:majorTickMark val="none"/>
        <c:tickLblPos val="nextTo"/>
        <c:crossAx val="143434112"/>
        <c:crosses val="autoZero"/>
        <c:auto val="1"/>
        <c:lblAlgn val="ctr"/>
        <c:lblOffset val="100"/>
      </c:catAx>
      <c:valAx>
        <c:axId val="1434341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  <c:layout/>
        </c:title>
        <c:numFmt formatCode="0.000" sourceLinked="1"/>
        <c:majorTickMark val="none"/>
        <c:tickLblPos val="nextTo"/>
        <c:crossAx val="143424128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Provincie - Norikum, Horná Panónia, strieborné mince </a:t>
            </a:r>
            <a:endParaRPr lang="sk-SK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Grafy_striebro!$B$23:$C$23</c:f>
              <c:strCache>
                <c:ptCount val="1"/>
                <c:pt idx="0">
                  <c:v>Norikum Index (striebro)</c:v>
                </c:pt>
              </c:strCache>
            </c:strRef>
          </c:tx>
          <c:marker>
            <c:symbol val="none"/>
          </c:marker>
          <c:cat>
            <c:strRef>
              <c:f>Grafy_striebro!$D$22:$J$22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Grafy_striebro!$D$23:$J$23</c:f>
              <c:numCache>
                <c:formatCode>0.000</c:formatCode>
                <c:ptCount val="7"/>
                <c:pt idx="0">
                  <c:v>1E-3</c:v>
                </c:pt>
                <c:pt idx="1">
                  <c:v>8.9999999999999993E-3</c:v>
                </c:pt>
                <c:pt idx="2">
                  <c:v>0.125</c:v>
                </c:pt>
                <c:pt idx="3">
                  <c:v>0.72799999999999998</c:v>
                </c:pt>
                <c:pt idx="4">
                  <c:v>0.81299999999999994</c:v>
                </c:pt>
                <c:pt idx="5">
                  <c:v>1.254</c:v>
                </c:pt>
                <c:pt idx="6">
                  <c:v>0.76600000000000001</c:v>
                </c:pt>
              </c:numCache>
            </c:numRef>
          </c:val>
        </c:ser>
        <c:ser>
          <c:idx val="1"/>
          <c:order val="1"/>
          <c:tx>
            <c:strRef>
              <c:f>Grafy_striebro!$B$24:$C$24</c:f>
              <c:strCache>
                <c:ptCount val="1"/>
                <c:pt idx="0">
                  <c:v>Norikum Index (striebro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Grafy_striebro!$D$22:$J$22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Grafy_striebro!$D$24:$J$24</c:f>
              <c:numCache>
                <c:formatCode>0.000</c:formatCode>
                <c:ptCount val="7"/>
                <c:pt idx="0">
                  <c:v>0.214</c:v>
                </c:pt>
                <c:pt idx="1">
                  <c:v>0.35</c:v>
                </c:pt>
                <c:pt idx="2">
                  <c:v>0.28399999999999997</c:v>
                </c:pt>
                <c:pt idx="3">
                  <c:v>1.944</c:v>
                </c:pt>
                <c:pt idx="4">
                  <c:v>6.0220000000000002</c:v>
                </c:pt>
                <c:pt idx="5">
                  <c:v>5.5410000000000004</c:v>
                </c:pt>
                <c:pt idx="6">
                  <c:v>6.2089999999999996</c:v>
                </c:pt>
              </c:numCache>
            </c:numRef>
          </c:val>
        </c:ser>
        <c:ser>
          <c:idx val="2"/>
          <c:order val="2"/>
          <c:tx>
            <c:strRef>
              <c:f>Grafy_striebro!$B$27:$C$27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Grafy_striebro!$D$22:$J$22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Grafy_striebro!$D$27:$J$27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Grafy_striebro!$B$28:$C$28</c:f>
              <c:strCache>
                <c:ptCount val="1"/>
                <c:pt idx="0">
                  <c:v>Hor. Panónia Index (striebro)</c:v>
                </c:pt>
              </c:strCache>
            </c:strRef>
          </c:tx>
          <c:marker>
            <c:symbol val="none"/>
          </c:marker>
          <c:cat>
            <c:strRef>
              <c:f>Grafy_striebro!$D$22:$J$22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Grafy_striebro!$D$28:$J$28</c:f>
              <c:numCache>
                <c:formatCode>0.000</c:formatCode>
                <c:ptCount val="7"/>
                <c:pt idx="0">
                  <c:v>4.0000000000000001E-3</c:v>
                </c:pt>
                <c:pt idx="1">
                  <c:v>2.7E-2</c:v>
                </c:pt>
                <c:pt idx="2">
                  <c:v>0.14099999999999999</c:v>
                </c:pt>
                <c:pt idx="3">
                  <c:v>0.64900000000000002</c:v>
                </c:pt>
                <c:pt idx="4">
                  <c:v>0.40899999999999997</c:v>
                </c:pt>
                <c:pt idx="5">
                  <c:v>1.218</c:v>
                </c:pt>
                <c:pt idx="6">
                  <c:v>1.079</c:v>
                </c:pt>
              </c:numCache>
            </c:numRef>
          </c:val>
        </c:ser>
        <c:ser>
          <c:idx val="4"/>
          <c:order val="4"/>
          <c:tx>
            <c:strRef>
              <c:f>Grafy_striebro!$B$29:$C$29</c:f>
              <c:strCache>
                <c:ptCount val="1"/>
                <c:pt idx="0">
                  <c:v>Hor. Panónia Index (striebro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Grafy_striebro!$D$22:$J$22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Grafy_striebro!$D$29:$J$29</c:f>
              <c:numCache>
                <c:formatCode>0.000</c:formatCode>
                <c:ptCount val="7"/>
                <c:pt idx="0">
                  <c:v>0.21199999999999999</c:v>
                </c:pt>
                <c:pt idx="1">
                  <c:v>0.33300000000000002</c:v>
                </c:pt>
                <c:pt idx="2">
                  <c:v>0.27600000000000002</c:v>
                </c:pt>
                <c:pt idx="3">
                  <c:v>1.8819999999999999</c:v>
                </c:pt>
                <c:pt idx="4">
                  <c:v>3.8820000000000001</c:v>
                </c:pt>
                <c:pt idx="5">
                  <c:v>5.5140000000000002</c:v>
                </c:pt>
                <c:pt idx="6">
                  <c:v>6.1950000000000003</c:v>
                </c:pt>
              </c:numCache>
            </c:numRef>
          </c:val>
        </c:ser>
        <c:marker val="1"/>
        <c:axId val="143360000"/>
        <c:axId val="143361536"/>
      </c:lineChart>
      <c:catAx>
        <c:axId val="143360000"/>
        <c:scaling>
          <c:orientation val="minMax"/>
        </c:scaling>
        <c:axPos val="b"/>
        <c:majorTickMark val="none"/>
        <c:tickLblPos val="nextTo"/>
        <c:crossAx val="143361536"/>
        <c:crosses val="autoZero"/>
        <c:auto val="1"/>
        <c:lblAlgn val="ctr"/>
        <c:lblOffset val="100"/>
      </c:catAx>
      <c:valAx>
        <c:axId val="1433615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</c:title>
        <c:numFmt formatCode="0.000" sourceLinked="1"/>
        <c:majorTickMark val="none"/>
        <c:tickLblPos val="nextTo"/>
        <c:crossAx val="143360000"/>
        <c:crosses val="autoZero"/>
        <c:crossBetween val="between"/>
      </c:valAx>
    </c:plotArea>
    <c:legend>
      <c:legendPos val="r"/>
      <c:legendEntry>
        <c:idx val="2"/>
        <c:delete val="1"/>
      </c:legendEntry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Provincie - Horná Panónia, Dolná Panónia, strieborné mince 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Grafy_striebro!$B$28:$C$28</c:f>
              <c:strCache>
                <c:ptCount val="1"/>
                <c:pt idx="0">
                  <c:v>Hor. Panónia Index (striebro)</c:v>
                </c:pt>
              </c:strCache>
            </c:strRef>
          </c:tx>
          <c:marker>
            <c:symbol val="none"/>
          </c:marker>
          <c:cat>
            <c:strRef>
              <c:f>Grafy_striebro!$D$27:$J$27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Grafy_striebro!$D$28:$J$28</c:f>
              <c:numCache>
                <c:formatCode>0.000</c:formatCode>
                <c:ptCount val="7"/>
                <c:pt idx="0">
                  <c:v>4.0000000000000001E-3</c:v>
                </c:pt>
                <c:pt idx="1">
                  <c:v>2.7E-2</c:v>
                </c:pt>
                <c:pt idx="2">
                  <c:v>0.14099999999999999</c:v>
                </c:pt>
                <c:pt idx="3">
                  <c:v>0.64900000000000002</c:v>
                </c:pt>
                <c:pt idx="4">
                  <c:v>0.40899999999999997</c:v>
                </c:pt>
                <c:pt idx="5">
                  <c:v>1.218</c:v>
                </c:pt>
                <c:pt idx="6">
                  <c:v>1.079</c:v>
                </c:pt>
              </c:numCache>
            </c:numRef>
          </c:val>
        </c:ser>
        <c:ser>
          <c:idx val="1"/>
          <c:order val="1"/>
          <c:tx>
            <c:strRef>
              <c:f>Grafy_striebro!$B$29:$C$29</c:f>
              <c:strCache>
                <c:ptCount val="1"/>
                <c:pt idx="0">
                  <c:v>Hor. Panónia Index (striebro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Grafy_striebro!$D$27:$J$27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Grafy_striebro!$D$29:$J$29</c:f>
              <c:numCache>
                <c:formatCode>0.000</c:formatCode>
                <c:ptCount val="7"/>
                <c:pt idx="0">
                  <c:v>0.21199999999999999</c:v>
                </c:pt>
                <c:pt idx="1">
                  <c:v>0.33300000000000002</c:v>
                </c:pt>
                <c:pt idx="2">
                  <c:v>0.27600000000000002</c:v>
                </c:pt>
                <c:pt idx="3">
                  <c:v>1.8819999999999999</c:v>
                </c:pt>
                <c:pt idx="4">
                  <c:v>3.8820000000000001</c:v>
                </c:pt>
                <c:pt idx="5">
                  <c:v>5.5140000000000002</c:v>
                </c:pt>
                <c:pt idx="6">
                  <c:v>6.1950000000000003</c:v>
                </c:pt>
              </c:numCache>
            </c:numRef>
          </c:val>
        </c:ser>
        <c:ser>
          <c:idx val="2"/>
          <c:order val="2"/>
          <c:tx>
            <c:strRef>
              <c:f>Grafy_striebro!$B$32:$C$32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Grafy_striebro!$D$27:$J$27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Grafy_striebro!$D$32:$J$32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Grafy_striebro!$B$33:$C$33</c:f>
              <c:strCache>
                <c:ptCount val="1"/>
                <c:pt idx="0">
                  <c:v>Dol. Panónia Index (striebro)</c:v>
                </c:pt>
              </c:strCache>
            </c:strRef>
          </c:tx>
          <c:marker>
            <c:symbol val="none"/>
          </c:marker>
          <c:cat>
            <c:strRef>
              <c:f>Grafy_striebro!$D$27:$J$27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Grafy_striebro!$D$33:$J$33</c:f>
              <c:numCache>
                <c:formatCode>General</c:formatCode>
                <c:ptCount val="7"/>
                <c:pt idx="0">
                  <c:v>1E-3</c:v>
                </c:pt>
                <c:pt idx="1">
                  <c:v>8.0000000000000002E-3</c:v>
                </c:pt>
                <c:pt idx="2">
                  <c:v>7.1999999999999995E-2</c:v>
                </c:pt>
                <c:pt idx="3">
                  <c:v>0.42599999999999999</c:v>
                </c:pt>
                <c:pt idx="4">
                  <c:v>1.2509999999999999</c:v>
                </c:pt>
                <c:pt idx="5">
                  <c:v>0.97199999999999998</c:v>
                </c:pt>
                <c:pt idx="6">
                  <c:v>1.9610000000000001</c:v>
                </c:pt>
              </c:numCache>
            </c:numRef>
          </c:val>
        </c:ser>
        <c:ser>
          <c:idx val="4"/>
          <c:order val="4"/>
          <c:tx>
            <c:strRef>
              <c:f>Grafy_striebro!$B$34:$C$34</c:f>
              <c:strCache>
                <c:ptCount val="1"/>
                <c:pt idx="0">
                  <c:v>Dol. Panónia Index (striebro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Grafy_striebro!$D$27:$J$27</c:f>
              <c:strCache>
                <c:ptCount val="7"/>
                <c:pt idx="0">
                  <c:v>Perióda Ia (510 pr. Kr. – 44 pr. Kr.)</c:v>
                </c:pt>
                <c:pt idx="1">
                  <c:v>Perióda Ib (44 pr. Kr. – 54 po Kr.)</c:v>
                </c:pt>
                <c:pt idx="2">
                  <c:v>Perióda II. (54 – 193 po Kr.)</c:v>
                </c:pt>
                <c:pt idx="3">
                  <c:v>Perióda IIIa (193 – 238 po Kr.)</c:v>
                </c:pt>
                <c:pt idx="4">
                  <c:v>Perióda IIIb (238 – 253 po Kr.)</c:v>
                </c:pt>
                <c:pt idx="5">
                  <c:v>Perióda IIIc (253 – 270 po Kr.)</c:v>
                </c:pt>
                <c:pt idx="6">
                  <c:v>Perióda IIId (270 - 285 po Kr.)</c:v>
                </c:pt>
              </c:strCache>
            </c:strRef>
          </c:cat>
          <c:val>
            <c:numRef>
              <c:f>Grafy_striebro!$D$34:$J$34</c:f>
              <c:numCache>
                <c:formatCode>General</c:formatCode>
                <c:ptCount val="7"/>
                <c:pt idx="0">
                  <c:v>0.214</c:v>
                </c:pt>
                <c:pt idx="1">
                  <c:v>0.24299999999999999</c:v>
                </c:pt>
                <c:pt idx="2">
                  <c:v>0.19600000000000001</c:v>
                </c:pt>
                <c:pt idx="3">
                  <c:v>1.7709999999999999</c:v>
                </c:pt>
                <c:pt idx="4">
                  <c:v>4.8250000000000002</c:v>
                </c:pt>
                <c:pt idx="5">
                  <c:v>4.2069999999999999</c:v>
                </c:pt>
                <c:pt idx="6">
                  <c:v>6.2290000000000001</c:v>
                </c:pt>
              </c:numCache>
            </c:numRef>
          </c:val>
        </c:ser>
        <c:marker val="1"/>
        <c:axId val="143467648"/>
        <c:axId val="143469184"/>
      </c:lineChart>
      <c:catAx>
        <c:axId val="143467648"/>
        <c:scaling>
          <c:orientation val="minMax"/>
        </c:scaling>
        <c:axPos val="b"/>
        <c:majorTickMark val="none"/>
        <c:tickLblPos val="nextTo"/>
        <c:crossAx val="143469184"/>
        <c:crosses val="autoZero"/>
        <c:auto val="1"/>
        <c:lblAlgn val="ctr"/>
        <c:lblOffset val="100"/>
      </c:catAx>
      <c:valAx>
        <c:axId val="1434691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</c:title>
        <c:numFmt formatCode="0.000" sourceLinked="1"/>
        <c:majorTickMark val="none"/>
        <c:tickLblPos val="nextTo"/>
        <c:crossAx val="143467648"/>
        <c:crosses val="autoZero"/>
        <c:crossBetween val="between"/>
      </c:valAx>
    </c:plotArea>
    <c:legend>
      <c:legendPos val="r"/>
      <c:legendEntry>
        <c:idx val="2"/>
        <c:delete val="1"/>
      </c:legendEntry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1800" b="1" i="0" baseline="0"/>
              <a:t>Barbarikum - Okruh 1 a 2, bronzové mince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Grafy_bronz!$B$3:$C$3</c:f>
              <c:strCache>
                <c:ptCount val="1"/>
                <c:pt idx="0">
                  <c:v>Okruh 1 Index (bronz)</c:v>
                </c:pt>
              </c:strCache>
            </c:strRef>
          </c:tx>
          <c:marker>
            <c:symbol val="none"/>
          </c:marke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Grafy_bronz!$D$3:$J$3</c:f>
              <c:numCache>
                <c:formatCode>0.000</c:formatCode>
                <c:ptCount val="7"/>
                <c:pt idx="0">
                  <c:v>0</c:v>
                </c:pt>
                <c:pt idx="1">
                  <c:v>0.158</c:v>
                </c:pt>
                <c:pt idx="2">
                  <c:v>0.42899999999999999</c:v>
                </c:pt>
                <c:pt idx="3">
                  <c:v>0.16400000000000001</c:v>
                </c:pt>
                <c:pt idx="4">
                  <c:v>0.47</c:v>
                </c:pt>
                <c:pt idx="5">
                  <c:v>6.9000000000000006E-2</c:v>
                </c:pt>
                <c:pt idx="6">
                  <c:v>0.13500000000000001</c:v>
                </c:pt>
              </c:numCache>
            </c:numRef>
          </c:val>
        </c:ser>
        <c:ser>
          <c:idx val="1"/>
          <c:order val="1"/>
          <c:tx>
            <c:strRef>
              <c:f>Grafy_bronz!$B$4:$C$4</c:f>
              <c:strCache>
                <c:ptCount val="1"/>
                <c:pt idx="0">
                  <c:v>Okruh 1 Index (bronz - celkový)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Grafy_bronz!$D$4:$J$4</c:f>
              <c:numCache>
                <c:formatCode>0.000</c:formatCode>
                <c:ptCount val="7"/>
                <c:pt idx="0">
                  <c:v>0</c:v>
                </c:pt>
                <c:pt idx="1">
                  <c:v>0.52</c:v>
                </c:pt>
                <c:pt idx="2">
                  <c:v>0.20699999999999999</c:v>
                </c:pt>
                <c:pt idx="3">
                  <c:v>0.38100000000000001</c:v>
                </c:pt>
                <c:pt idx="4">
                  <c:v>1.4930000000000001</c:v>
                </c:pt>
                <c:pt idx="5">
                  <c:v>0.28000000000000003</c:v>
                </c:pt>
                <c:pt idx="6">
                  <c:v>1.9139999999999999</c:v>
                </c:pt>
              </c:numCache>
            </c:numRef>
          </c:val>
        </c:ser>
        <c:ser>
          <c:idx val="2"/>
          <c:order val="2"/>
          <c:tx>
            <c:strRef>
              <c:f>Grafy_bronz!$B$7:$C$7</c:f>
              <c:strCache>
                <c:ptCount val="1"/>
                <c:pt idx="0">
                  <c:v>Oblasť</c:v>
                </c:pt>
              </c:strCache>
            </c:strRef>
          </c:tx>
          <c:marker>
            <c:symbol val="none"/>
          </c:marke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Grafy_bronz!$D$7:$J$7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Grafy_bronz!$B$8:$C$8</c:f>
              <c:strCache>
                <c:ptCount val="1"/>
                <c:pt idx="0">
                  <c:v>Okruh 2 Index (bronz)</c:v>
                </c:pt>
              </c:strCache>
            </c:strRef>
          </c:tx>
          <c:marker>
            <c:symbol val="none"/>
          </c:marke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Grafy_bronz!$D$8:$J$8</c:f>
              <c:numCache>
                <c:formatCode>0.000</c:formatCode>
                <c:ptCount val="7"/>
                <c:pt idx="0">
                  <c:v>0</c:v>
                </c:pt>
                <c:pt idx="1">
                  <c:v>4.5999999999999999E-2</c:v>
                </c:pt>
                <c:pt idx="2">
                  <c:v>0.52600000000000002</c:v>
                </c:pt>
                <c:pt idx="3">
                  <c:v>0</c:v>
                </c:pt>
                <c:pt idx="4">
                  <c:v>0.40500000000000003</c:v>
                </c:pt>
                <c:pt idx="5">
                  <c:v>0.65800000000000003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Grafy_bronz!$B$9:$C$9</c:f>
              <c:strCache>
                <c:ptCount val="1"/>
                <c:pt idx="0">
                  <c:v>Okruh 2 Index (bronz - celkový)</c:v>
                </c:pt>
              </c:strCache>
            </c:strRef>
          </c:tx>
          <c:spPr>
            <a:ln>
              <a:solidFill>
                <a:srgbClr val="00B050"/>
              </a:solidFill>
              <a:prstDash val="lgDashDot"/>
            </a:ln>
          </c:spPr>
          <c:marker>
            <c:symbol val="none"/>
          </c:marker>
          <c:cat>
            <c:strRef>
              <c:f>Grafy_bronz!$D$2:$J$2</c:f>
              <c:strCache>
                <c:ptCount val="7"/>
                <c:pt idx="0">
                  <c:v>Perióda Ia (510 pr. Kr. – 60 pr. Kr.)</c:v>
                </c:pt>
                <c:pt idx="1">
                  <c:v>Perióda Ib (60 pr. Kr. – 54 po Kr.)</c:v>
                </c:pt>
                <c:pt idx="2">
                  <c:v>Perióda II. (54 – 193 po Kr.)</c:v>
                </c:pt>
                <c:pt idx="3">
                  <c:v>Perióda IIIa (193 – 235 po Kr.)</c:v>
                </c:pt>
                <c:pt idx="4">
                  <c:v>Perióda IIIb (235 – 260 po Kr.)</c:v>
                </c:pt>
                <c:pt idx="5">
                  <c:v>Perióda IIIc (260 – 275 po Kr.)</c:v>
                </c:pt>
                <c:pt idx="6">
                  <c:v>Perióda IIId (275 - 285 po Kr.)</c:v>
                </c:pt>
              </c:strCache>
            </c:strRef>
          </c:cat>
          <c:val>
            <c:numRef>
              <c:f>Grafy_bronz!$D$9:$J$9</c:f>
              <c:numCache>
                <c:formatCode>0.000</c:formatCode>
                <c:ptCount val="7"/>
                <c:pt idx="0">
                  <c:v>0</c:v>
                </c:pt>
                <c:pt idx="1">
                  <c:v>0.14499999999999999</c:v>
                </c:pt>
                <c:pt idx="2">
                  <c:v>0.37</c:v>
                </c:pt>
                <c:pt idx="3">
                  <c:v>0</c:v>
                </c:pt>
                <c:pt idx="4">
                  <c:v>1.538</c:v>
                </c:pt>
                <c:pt idx="5">
                  <c:v>2.5</c:v>
                </c:pt>
                <c:pt idx="6">
                  <c:v>0</c:v>
                </c:pt>
              </c:numCache>
            </c:numRef>
          </c:val>
        </c:ser>
        <c:marker val="1"/>
        <c:axId val="143583872"/>
        <c:axId val="143593856"/>
      </c:lineChart>
      <c:catAx>
        <c:axId val="143583872"/>
        <c:scaling>
          <c:orientation val="minMax"/>
        </c:scaling>
        <c:axPos val="b"/>
        <c:majorTickMark val="none"/>
        <c:tickLblPos val="nextTo"/>
        <c:crossAx val="143593856"/>
        <c:crosses val="autoZero"/>
        <c:auto val="1"/>
        <c:lblAlgn val="ctr"/>
        <c:lblOffset val="100"/>
      </c:catAx>
      <c:valAx>
        <c:axId val="1435938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 sz="1000" b="1" i="0" baseline="0"/>
                  <a:t>Hodnota indexu</a:t>
                </a:r>
                <a:endParaRPr lang="sk-SK" sz="1000"/>
              </a:p>
            </c:rich>
          </c:tx>
          <c:layout/>
        </c:title>
        <c:numFmt formatCode="0.000" sourceLinked="1"/>
        <c:majorTickMark val="none"/>
        <c:tickLblPos val="nextTo"/>
        <c:crossAx val="143583872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20410</xdr:colOff>
      <xdr:row>37</xdr:row>
      <xdr:rowOff>31750</xdr:rowOff>
    </xdr:from>
    <xdr:to>
      <xdr:col>6</xdr:col>
      <xdr:colOff>1206500</xdr:colOff>
      <xdr:row>56</xdr:row>
      <xdr:rowOff>167821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612320</xdr:colOff>
      <xdr:row>59</xdr:row>
      <xdr:rowOff>136070</xdr:rowOff>
    </xdr:from>
    <xdr:to>
      <xdr:col>6</xdr:col>
      <xdr:colOff>1347107</xdr:colOff>
      <xdr:row>79</xdr:row>
      <xdr:rowOff>122463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81641</xdr:colOff>
      <xdr:row>82</xdr:row>
      <xdr:rowOff>27214</xdr:rowOff>
    </xdr:from>
    <xdr:to>
      <xdr:col>6</xdr:col>
      <xdr:colOff>1442357</xdr:colOff>
      <xdr:row>126</xdr:row>
      <xdr:rowOff>81644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104776</xdr:colOff>
      <xdr:row>82</xdr:row>
      <xdr:rowOff>40822</xdr:rowOff>
    </xdr:from>
    <xdr:to>
      <xdr:col>13</xdr:col>
      <xdr:colOff>40821</xdr:colOff>
      <xdr:row>126</xdr:row>
      <xdr:rowOff>104776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35</xdr:row>
      <xdr:rowOff>163286</xdr:rowOff>
    </xdr:from>
    <xdr:to>
      <xdr:col>6</xdr:col>
      <xdr:colOff>1632857</xdr:colOff>
      <xdr:row>66</xdr:row>
      <xdr:rowOff>122464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122463</xdr:colOff>
      <xdr:row>35</xdr:row>
      <xdr:rowOff>163286</xdr:rowOff>
    </xdr:from>
    <xdr:to>
      <xdr:col>15</xdr:col>
      <xdr:colOff>462643</xdr:colOff>
      <xdr:row>66</xdr:row>
      <xdr:rowOff>108857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108856</xdr:colOff>
      <xdr:row>68</xdr:row>
      <xdr:rowOff>176894</xdr:rowOff>
    </xdr:from>
    <xdr:to>
      <xdr:col>6</xdr:col>
      <xdr:colOff>1768928</xdr:colOff>
      <xdr:row>96</xdr:row>
      <xdr:rowOff>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503463</xdr:colOff>
      <xdr:row>69</xdr:row>
      <xdr:rowOff>0</xdr:rowOff>
    </xdr:from>
    <xdr:to>
      <xdr:col>16</xdr:col>
      <xdr:colOff>244929</xdr:colOff>
      <xdr:row>95</xdr:row>
      <xdr:rowOff>176893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571499</xdr:colOff>
      <xdr:row>35</xdr:row>
      <xdr:rowOff>15875</xdr:rowOff>
    </xdr:from>
    <xdr:to>
      <xdr:col>7</xdr:col>
      <xdr:colOff>1127125</xdr:colOff>
      <xdr:row>68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1412874</xdr:colOff>
      <xdr:row>35</xdr:row>
      <xdr:rowOff>0</xdr:rowOff>
    </xdr:from>
    <xdr:to>
      <xdr:col>20</xdr:col>
      <xdr:colOff>428624</xdr:colOff>
      <xdr:row>68</xdr:row>
      <xdr:rowOff>111125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587375</xdr:colOff>
      <xdr:row>70</xdr:row>
      <xdr:rowOff>79375</xdr:rowOff>
    </xdr:from>
    <xdr:to>
      <xdr:col>7</xdr:col>
      <xdr:colOff>1111250</xdr:colOff>
      <xdr:row>102</xdr:row>
      <xdr:rowOff>47625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1409700</xdr:colOff>
      <xdr:row>70</xdr:row>
      <xdr:rowOff>63500</xdr:rowOff>
    </xdr:from>
    <xdr:to>
      <xdr:col>20</xdr:col>
      <xdr:colOff>438151</xdr:colOff>
      <xdr:row>102</xdr:row>
      <xdr:rowOff>47625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28575</xdr:rowOff>
    </xdr:from>
    <xdr:to>
      <xdr:col>17</xdr:col>
      <xdr:colOff>392906</xdr:colOff>
      <xdr:row>23</xdr:row>
      <xdr:rowOff>95250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595313</xdr:colOff>
      <xdr:row>47</xdr:row>
      <xdr:rowOff>190499</xdr:rowOff>
    </xdr:from>
    <xdr:to>
      <xdr:col>17</xdr:col>
      <xdr:colOff>404812</xdr:colOff>
      <xdr:row>68</xdr:row>
      <xdr:rowOff>154780</xdr:rowOff>
    </xdr:to>
    <xdr:graphicFrame macro="">
      <xdr:nvGraphicFramePr>
        <xdr:cNvPr id="17" name="Graf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595311</xdr:colOff>
      <xdr:row>24</xdr:row>
      <xdr:rowOff>107156</xdr:rowOff>
    </xdr:from>
    <xdr:to>
      <xdr:col>17</xdr:col>
      <xdr:colOff>392906</xdr:colOff>
      <xdr:row>46</xdr:row>
      <xdr:rowOff>59532</xdr:rowOff>
    </xdr:to>
    <xdr:graphicFrame macro="">
      <xdr:nvGraphicFramePr>
        <xdr:cNvPr id="16" name="Graf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15</xdr:col>
      <xdr:colOff>116909</xdr:colOff>
      <xdr:row>21</xdr:row>
      <xdr:rowOff>136071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15</xdr:col>
      <xdr:colOff>116909</xdr:colOff>
      <xdr:row>43</xdr:row>
      <xdr:rowOff>136071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16</xdr:col>
      <xdr:colOff>187100</xdr:colOff>
      <xdr:row>65</xdr:row>
      <xdr:rowOff>176893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16</xdr:col>
      <xdr:colOff>187100</xdr:colOff>
      <xdr:row>87</xdr:row>
      <xdr:rowOff>176893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6"/>
  <sheetViews>
    <sheetView zoomScale="80" zoomScaleNormal="80" workbookViewId="0">
      <selection activeCell="A4" sqref="A4:XFD4"/>
    </sheetView>
  </sheetViews>
  <sheetFormatPr defaultRowHeight="15"/>
  <cols>
    <col min="2" max="2" width="30.7109375" bestFit="1" customWidth="1"/>
    <col min="4" max="4" width="12.140625" bestFit="1" customWidth="1"/>
    <col min="5" max="5" width="14.7109375" bestFit="1" customWidth="1"/>
    <col min="7" max="7" width="12.140625" bestFit="1" customWidth="1"/>
    <col min="8" max="8" width="14.7109375" bestFit="1" customWidth="1"/>
    <col min="10" max="10" width="12.140625" bestFit="1" customWidth="1"/>
    <col min="11" max="11" width="14.7109375" bestFit="1" customWidth="1"/>
    <col min="13" max="13" width="12.140625" bestFit="1" customWidth="1"/>
    <col min="14" max="14" width="14.7109375" bestFit="1" customWidth="1"/>
    <col min="16" max="16" width="30.7109375" bestFit="1" customWidth="1"/>
    <col min="17" max="17" width="9.42578125" bestFit="1" customWidth="1"/>
    <col min="18" max="18" width="13.42578125" bestFit="1" customWidth="1"/>
    <col min="19" max="19" width="15.7109375" bestFit="1" customWidth="1"/>
    <col min="20" max="20" width="15.85546875" bestFit="1" customWidth="1"/>
    <col min="21" max="21" width="13.42578125" bestFit="1" customWidth="1"/>
    <col min="22" max="22" width="15.7109375" bestFit="1" customWidth="1"/>
    <col min="23" max="23" width="15.85546875" bestFit="1" customWidth="1"/>
    <col min="24" max="24" width="13.42578125" bestFit="1" customWidth="1"/>
    <col min="25" max="25" width="15.7109375" bestFit="1" customWidth="1"/>
  </cols>
  <sheetData>
    <row r="2" spans="2:25">
      <c r="B2" s="1"/>
      <c r="C2" s="2" t="s">
        <v>0</v>
      </c>
      <c r="D2" s="2" t="s">
        <v>22</v>
      </c>
      <c r="E2" s="2" t="s">
        <v>21</v>
      </c>
      <c r="F2" s="2" t="s">
        <v>1</v>
      </c>
      <c r="G2" s="2" t="s">
        <v>22</v>
      </c>
      <c r="H2" s="2" t="s">
        <v>21</v>
      </c>
      <c r="I2" s="2" t="s">
        <v>2</v>
      </c>
      <c r="J2" s="2" t="s">
        <v>22</v>
      </c>
      <c r="K2" s="2" t="s">
        <v>21</v>
      </c>
      <c r="L2" s="2" t="s">
        <v>3</v>
      </c>
      <c r="M2" s="2" t="s">
        <v>22</v>
      </c>
      <c r="N2" s="2" t="s">
        <v>21</v>
      </c>
      <c r="P2" s="1"/>
      <c r="Q2" s="2" t="s">
        <v>4</v>
      </c>
      <c r="R2" s="2" t="s">
        <v>22</v>
      </c>
      <c r="S2" s="2" t="s">
        <v>21</v>
      </c>
      <c r="T2" s="2" t="s">
        <v>5</v>
      </c>
      <c r="U2" s="2" t="s">
        <v>22</v>
      </c>
      <c r="V2" s="2" t="s">
        <v>21</v>
      </c>
      <c r="W2" s="2" t="s">
        <v>6</v>
      </c>
      <c r="X2" s="2" t="s">
        <v>22</v>
      </c>
      <c r="Y2" s="2" t="s">
        <v>21</v>
      </c>
    </row>
    <row r="3" spans="2:25">
      <c r="B3" s="3" t="s">
        <v>7</v>
      </c>
      <c r="C3" s="4">
        <v>0</v>
      </c>
      <c r="D3" s="8">
        <f>0</f>
        <v>0</v>
      </c>
      <c r="E3" s="9">
        <f>0</f>
        <v>0</v>
      </c>
      <c r="F3" s="4">
        <v>0</v>
      </c>
      <c r="G3" s="8">
        <f>0</f>
        <v>0</v>
      </c>
      <c r="H3" s="9">
        <f>0</f>
        <v>0</v>
      </c>
      <c r="I3" s="4">
        <v>0</v>
      </c>
      <c r="J3" s="8">
        <f>0</f>
        <v>0</v>
      </c>
      <c r="K3" s="9">
        <f>0</f>
        <v>0</v>
      </c>
      <c r="L3" s="4">
        <v>0</v>
      </c>
      <c r="M3" s="8">
        <f>0</f>
        <v>0</v>
      </c>
      <c r="N3" s="9">
        <f>0</f>
        <v>0</v>
      </c>
      <c r="P3" s="3" t="s">
        <v>8</v>
      </c>
      <c r="Q3" s="4">
        <v>0</v>
      </c>
      <c r="R3" s="8">
        <f>0</f>
        <v>0</v>
      </c>
      <c r="S3" s="9">
        <f>0</f>
        <v>0</v>
      </c>
      <c r="T3" s="4">
        <v>2</v>
      </c>
      <c r="U3" s="8">
        <f>T3/467/T10*100</f>
        <v>7.3966411852377837E-4</v>
      </c>
      <c r="V3" s="9">
        <f>T3/467/502*100</f>
        <v>8.5311857495073246E-4</v>
      </c>
      <c r="W3" s="4">
        <v>0</v>
      </c>
      <c r="X3" s="8">
        <f>0</f>
        <v>0</v>
      </c>
      <c r="Y3" s="9">
        <f>0</f>
        <v>0</v>
      </c>
    </row>
    <row r="4" spans="2:25">
      <c r="B4" s="3" t="s">
        <v>9</v>
      </c>
      <c r="C4" s="4">
        <v>2</v>
      </c>
      <c r="D4" s="8">
        <f>C4/115/C10*100</f>
        <v>0.15810276679841898</v>
      </c>
      <c r="E4" s="9">
        <f>C4/115/82*100</f>
        <v>2.1208907741251327E-2</v>
      </c>
      <c r="F4" s="4">
        <v>2</v>
      </c>
      <c r="G4" s="8">
        <f>F4/115/F10*100</f>
        <v>0.86956521739130432</v>
      </c>
      <c r="H4" s="9">
        <f>F4/115/6*100</f>
        <v>0.28985507246376813</v>
      </c>
      <c r="I4" s="4">
        <v>0</v>
      </c>
      <c r="J4" s="8">
        <v>0</v>
      </c>
      <c r="K4" s="9">
        <v>0</v>
      </c>
      <c r="L4" s="4">
        <v>0</v>
      </c>
      <c r="M4" s="8">
        <v>0</v>
      </c>
      <c r="N4" s="9">
        <v>0</v>
      </c>
      <c r="P4" s="3" t="s">
        <v>10</v>
      </c>
      <c r="Q4" s="4">
        <v>0</v>
      </c>
      <c r="R4" s="8">
        <v>0</v>
      </c>
      <c r="S4" s="9">
        <v>0</v>
      </c>
      <c r="T4" s="4">
        <v>9</v>
      </c>
      <c r="U4" s="8">
        <f>T4/99/T10*100</f>
        <v>1.5701051970482025E-2</v>
      </c>
      <c r="V4" s="9">
        <f>T4/99/2086*100</f>
        <v>4.3580580493332178E-3</v>
      </c>
      <c r="W4" s="4">
        <v>0</v>
      </c>
      <c r="X4" s="8">
        <v>0</v>
      </c>
      <c r="Y4" s="9">
        <v>0</v>
      </c>
    </row>
    <row r="5" spans="2:25">
      <c r="B5" s="3" t="s">
        <v>11</v>
      </c>
      <c r="C5" s="4">
        <v>4</v>
      </c>
      <c r="D5" s="8">
        <f>C5/140/C10*100</f>
        <v>0.25974025974025972</v>
      </c>
      <c r="E5" s="9">
        <f>C5/140/559*100</f>
        <v>5.1111679018655759E-3</v>
      </c>
      <c r="F5" s="4">
        <v>0</v>
      </c>
      <c r="G5" s="8">
        <v>0</v>
      </c>
      <c r="H5" s="9">
        <v>0</v>
      </c>
      <c r="I5" s="4">
        <v>12</v>
      </c>
      <c r="J5" s="8">
        <f>I5/140/I10*100</f>
        <v>0.65934065934065933</v>
      </c>
      <c r="K5" s="9">
        <f>I5/140/1031*100</f>
        <v>8.3137037550228641E-3</v>
      </c>
      <c r="L5" s="4">
        <v>11</v>
      </c>
      <c r="M5" s="8">
        <f>L5/140/L10*100</f>
        <v>0.7142857142857143</v>
      </c>
      <c r="N5" s="9">
        <f>L5/140/1409*100</f>
        <v>5.5763966338842142E-3</v>
      </c>
      <c r="P5" s="3" t="s">
        <v>11</v>
      </c>
      <c r="Q5" s="4">
        <v>117</v>
      </c>
      <c r="R5" s="8">
        <f>Q5/140/Q10*100</f>
        <v>0.67944250871080136</v>
      </c>
      <c r="S5" s="9">
        <f>Q5/140/4398*100</f>
        <v>1.9002143831611772E-2</v>
      </c>
      <c r="T5" s="4">
        <v>559</v>
      </c>
      <c r="U5" s="8">
        <f>T5/140/T10*100</f>
        <v>0.68961263261781403</v>
      </c>
      <c r="V5" s="9">
        <f>T5/140/12988*100</f>
        <v>3.0742663557569626E-2</v>
      </c>
      <c r="W5" s="4">
        <v>108</v>
      </c>
      <c r="X5" s="8">
        <f>W5/140/W10*100</f>
        <v>0.64285714285714279</v>
      </c>
      <c r="Y5" s="9">
        <f>W5/140/2058*100</f>
        <v>3.7484381507705125E-2</v>
      </c>
    </row>
    <row r="6" spans="2:25">
      <c r="B6" s="3" t="s">
        <v>12</v>
      </c>
      <c r="C6" s="4">
        <v>2</v>
      </c>
      <c r="D6" s="8">
        <f>C6/43/C10*100</f>
        <v>0.42283298097251587</v>
      </c>
      <c r="E6" s="9">
        <f>C6/43/116*100</f>
        <v>4.0096230954290296E-2</v>
      </c>
      <c r="F6" s="4">
        <v>0</v>
      </c>
      <c r="G6" s="8">
        <v>0</v>
      </c>
      <c r="H6" s="9">
        <v>0</v>
      </c>
      <c r="I6" s="4">
        <v>0</v>
      </c>
      <c r="J6" s="8">
        <v>0</v>
      </c>
      <c r="K6" s="9">
        <v>0</v>
      </c>
      <c r="L6" s="4">
        <v>0</v>
      </c>
      <c r="M6" s="8">
        <v>0</v>
      </c>
      <c r="N6" s="9">
        <v>0</v>
      </c>
      <c r="P6" s="3" t="s">
        <v>13</v>
      </c>
      <c r="Q6" s="4">
        <v>1</v>
      </c>
      <c r="R6" s="8">
        <f>Q6/46/Q10*100</f>
        <v>1.7674089784376106E-2</v>
      </c>
      <c r="S6" s="9">
        <f>Q6/46/3732*100</f>
        <v>5.8250617456545042E-4</v>
      </c>
      <c r="T6" s="4">
        <v>5</v>
      </c>
      <c r="U6" s="8">
        <f>T6/46/T10*100</f>
        <v>1.8772996921228503E-2</v>
      </c>
      <c r="V6" s="9">
        <f>T6/46/8766*100</f>
        <v>1.2399686535924373E-3</v>
      </c>
      <c r="W6" s="4">
        <v>8</v>
      </c>
      <c r="X6" s="8">
        <f>W6/46/W10*100</f>
        <v>0.14492753623188406</v>
      </c>
      <c r="Y6" s="9">
        <f>W6/46/1342*100</f>
        <v>1.2959243180198275E-2</v>
      </c>
    </row>
    <row r="7" spans="2:25">
      <c r="B7" s="3" t="s">
        <v>14</v>
      </c>
      <c r="C7" s="4">
        <v>1</v>
      </c>
      <c r="D7" s="8">
        <f>C7/26/C10*100</f>
        <v>0.34965034965034963</v>
      </c>
      <c r="E7" s="9">
        <f>C7/26/85*100</f>
        <v>4.5248868778280542E-2</v>
      </c>
      <c r="F7" s="4">
        <v>0</v>
      </c>
      <c r="G7" s="8">
        <v>0</v>
      </c>
      <c r="H7" s="9">
        <v>0</v>
      </c>
      <c r="I7" s="4">
        <v>1</v>
      </c>
      <c r="J7" s="8">
        <f>I7/26/I10*100</f>
        <v>0.29585798816568049</v>
      </c>
      <c r="K7" s="9">
        <f>I7/26/348/100</f>
        <v>1.1052166224580019E-6</v>
      </c>
      <c r="L7" s="4">
        <v>0</v>
      </c>
      <c r="M7" s="8">
        <v>0</v>
      </c>
      <c r="N7" s="9">
        <v>0</v>
      </c>
      <c r="P7" s="3" t="s">
        <v>15</v>
      </c>
      <c r="Q7" s="4">
        <v>0</v>
      </c>
      <c r="R7" s="8">
        <v>0</v>
      </c>
      <c r="S7" s="9">
        <v>0</v>
      </c>
      <c r="T7" s="4">
        <v>1</v>
      </c>
      <c r="U7" s="8">
        <f>T7/16/T10*100</f>
        <v>1.079447322970639E-2</v>
      </c>
      <c r="V7" s="9">
        <f>T7/16/2676*100</f>
        <v>2.3355754857997011E-3</v>
      </c>
      <c r="W7" s="4">
        <v>0</v>
      </c>
      <c r="X7" s="8">
        <v>0</v>
      </c>
      <c r="Y7" s="9">
        <v>0</v>
      </c>
    </row>
    <row r="8" spans="2:25">
      <c r="B8" s="3" t="s">
        <v>16</v>
      </c>
      <c r="C8" s="4">
        <v>2</v>
      </c>
      <c r="D8" s="8">
        <f>C8/16/C10*100</f>
        <v>1.1363636363636365</v>
      </c>
      <c r="E8" s="9">
        <f>C8/16/67*100</f>
        <v>0.18656716417910446</v>
      </c>
      <c r="F8" s="4">
        <v>0</v>
      </c>
      <c r="G8" s="8">
        <v>0</v>
      </c>
      <c r="H8" s="9">
        <v>0</v>
      </c>
      <c r="I8" s="4">
        <v>0</v>
      </c>
      <c r="J8" s="8">
        <v>0</v>
      </c>
      <c r="K8" s="9">
        <v>0</v>
      </c>
      <c r="L8" s="4">
        <v>0</v>
      </c>
      <c r="M8" s="8">
        <v>0</v>
      </c>
      <c r="N8" s="9">
        <v>0</v>
      </c>
      <c r="P8" s="3" t="s">
        <v>17</v>
      </c>
      <c r="Q8" s="4">
        <v>1</v>
      </c>
      <c r="R8" s="8">
        <f>Q8/18/Q10*100</f>
        <v>4.5167118337850046E-2</v>
      </c>
      <c r="S8" s="9">
        <f>Q8/18/2254*100</f>
        <v>2.4647540175490486E-3</v>
      </c>
      <c r="T8" s="4">
        <v>1</v>
      </c>
      <c r="U8" s="8">
        <f>T8/18/T10*100</f>
        <v>9.5950873152945686E-3</v>
      </c>
      <c r="V8" s="9">
        <f>T8/18/5611*100</f>
        <v>9.9011861621022186E-4</v>
      </c>
      <c r="W8" s="4">
        <v>0</v>
      </c>
      <c r="X8" s="8">
        <v>0</v>
      </c>
      <c r="Y8" s="9">
        <v>0</v>
      </c>
    </row>
    <row r="9" spans="2:25">
      <c r="B9" s="3" t="s">
        <v>18</v>
      </c>
      <c r="C9" s="4">
        <v>0</v>
      </c>
      <c r="D9" s="8">
        <v>0</v>
      </c>
      <c r="E9" s="9">
        <v>0</v>
      </c>
      <c r="F9" s="4">
        <v>0</v>
      </c>
      <c r="G9" s="8">
        <v>0</v>
      </c>
      <c r="H9" s="9">
        <v>0</v>
      </c>
      <c r="I9" s="4">
        <v>0</v>
      </c>
      <c r="J9" s="8">
        <v>0</v>
      </c>
      <c r="K9" s="9">
        <v>0</v>
      </c>
      <c r="L9" s="4">
        <v>0</v>
      </c>
      <c r="M9" s="8">
        <v>0</v>
      </c>
      <c r="N9" s="9">
        <v>0</v>
      </c>
      <c r="P9" s="3" t="s">
        <v>19</v>
      </c>
      <c r="Q9" s="4">
        <v>4</v>
      </c>
      <c r="R9" s="8">
        <f>Q9/16/Q10*100</f>
        <v>0.20325203252032523</v>
      </c>
      <c r="S9" s="9">
        <f>Q9/16/1229*100</f>
        <v>2.034174125305126E-2</v>
      </c>
      <c r="T9" s="4">
        <v>2</v>
      </c>
      <c r="U9" s="8">
        <f>T9/16/T10*100</f>
        <v>2.158894645941278E-2</v>
      </c>
      <c r="V9" s="9">
        <f>T9/16/4425*100</f>
        <v>2.8248587570621469E-3</v>
      </c>
      <c r="W9" s="4">
        <v>4</v>
      </c>
      <c r="X9" s="8">
        <f>W9/16/W10*100</f>
        <v>0.20833333333333334</v>
      </c>
      <c r="Y9" s="9">
        <f>W9/16/1757*100</f>
        <v>1.4228799089356859E-2</v>
      </c>
    </row>
    <row r="10" spans="2:25">
      <c r="B10" s="5" t="s">
        <v>20</v>
      </c>
      <c r="C10" s="4">
        <f>SUM(C3:C9)</f>
        <v>11</v>
      </c>
      <c r="D10" s="8"/>
      <c r="E10" s="9"/>
      <c r="F10" s="4">
        <f>SUM(F3:F9)</f>
        <v>2</v>
      </c>
      <c r="G10" s="8"/>
      <c r="H10" s="9"/>
      <c r="I10" s="4">
        <f>SUM(I3:I9)</f>
        <v>13</v>
      </c>
      <c r="J10" s="8"/>
      <c r="K10" s="9"/>
      <c r="L10" s="4">
        <f>SUM(L3:L9)</f>
        <v>11</v>
      </c>
      <c r="M10" s="8"/>
      <c r="N10" s="9"/>
      <c r="P10" s="5" t="s">
        <v>20</v>
      </c>
      <c r="Q10" s="4">
        <f>SUM(Q3:Q9)</f>
        <v>123</v>
      </c>
      <c r="R10" s="8"/>
      <c r="S10" s="9"/>
      <c r="T10" s="4">
        <f>SUM(T3:T9)</f>
        <v>579</v>
      </c>
      <c r="U10" s="8"/>
      <c r="V10" s="9"/>
      <c r="W10" s="4">
        <f>SUM(W3:W9)</f>
        <v>120</v>
      </c>
      <c r="X10" s="8"/>
      <c r="Y10" s="9"/>
    </row>
    <row r="16" spans="2:25" ht="23.25">
      <c r="I16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34"/>
  <sheetViews>
    <sheetView topLeftCell="B55" zoomScale="80" zoomScaleNormal="80" workbookViewId="0">
      <selection activeCell="C34" sqref="C34"/>
    </sheetView>
  </sheetViews>
  <sheetFormatPr defaultRowHeight="15"/>
  <cols>
    <col min="2" max="2" width="12.28515625" bestFit="1" customWidth="1"/>
    <col min="3" max="3" width="22.42578125" bestFit="1" customWidth="1"/>
    <col min="4" max="4" width="30.7109375" bestFit="1" customWidth="1"/>
    <col min="5" max="5" width="29.7109375" bestFit="1" customWidth="1"/>
    <col min="6" max="6" width="24.7109375" bestFit="1" customWidth="1"/>
    <col min="7" max="7" width="27.140625" bestFit="1" customWidth="1"/>
    <col min="8" max="8" width="27.28515625" bestFit="1" customWidth="1"/>
    <col min="9" max="10" width="31.140625" bestFit="1" customWidth="1"/>
  </cols>
  <sheetData>
    <row r="2" spans="2:10">
      <c r="B2" s="19" t="s">
        <v>25</v>
      </c>
      <c r="C2" s="20"/>
      <c r="D2" s="10" t="s">
        <v>7</v>
      </c>
      <c r="E2" s="10" t="s">
        <v>9</v>
      </c>
      <c r="F2" s="10" t="s">
        <v>11</v>
      </c>
      <c r="G2" s="10" t="s">
        <v>12</v>
      </c>
      <c r="H2" s="10" t="s">
        <v>14</v>
      </c>
      <c r="I2" s="10" t="s">
        <v>27</v>
      </c>
      <c r="J2" s="10" t="s">
        <v>28</v>
      </c>
    </row>
    <row r="3" spans="2:10">
      <c r="B3" s="17" t="s">
        <v>0</v>
      </c>
      <c r="C3" s="13" t="s">
        <v>22</v>
      </c>
      <c r="D3" s="14">
        <v>0</v>
      </c>
      <c r="E3" s="14">
        <v>0.158</v>
      </c>
      <c r="F3" s="14">
        <v>0.26</v>
      </c>
      <c r="G3" s="14">
        <v>0.42299999999999999</v>
      </c>
      <c r="H3" s="14">
        <v>0.35</v>
      </c>
      <c r="I3" s="14">
        <v>1.1359999999999999</v>
      </c>
      <c r="J3" s="14">
        <v>0</v>
      </c>
    </row>
    <row r="4" spans="2:10">
      <c r="B4" s="18"/>
      <c r="C4" s="12" t="s">
        <v>33</v>
      </c>
      <c r="D4" s="9">
        <v>0</v>
      </c>
      <c r="E4" s="9">
        <v>2.1000000000000001E-2</v>
      </c>
      <c r="F4" s="9">
        <v>5.0000000000000001E-3</v>
      </c>
      <c r="G4" s="9">
        <v>0.04</v>
      </c>
      <c r="H4" s="9">
        <v>4.4999999999999998E-2</v>
      </c>
      <c r="I4" s="9">
        <v>0.187</v>
      </c>
      <c r="J4" s="9">
        <v>0</v>
      </c>
    </row>
    <row r="7" spans="2:10">
      <c r="B7" s="19" t="s">
        <v>25</v>
      </c>
      <c r="C7" s="20"/>
      <c r="D7" s="10" t="s">
        <v>7</v>
      </c>
      <c r="E7" s="10" t="s">
        <v>9</v>
      </c>
      <c r="F7" s="10" t="s">
        <v>11</v>
      </c>
      <c r="G7" s="10" t="s">
        <v>12</v>
      </c>
      <c r="H7" s="10" t="s">
        <v>14</v>
      </c>
      <c r="I7" s="10" t="s">
        <v>27</v>
      </c>
      <c r="J7" s="10" t="s">
        <v>28</v>
      </c>
    </row>
    <row r="8" spans="2:10">
      <c r="B8" s="17" t="s">
        <v>1</v>
      </c>
      <c r="C8" s="13" t="s">
        <v>22</v>
      </c>
      <c r="D8" s="14">
        <v>0</v>
      </c>
      <c r="E8" s="14">
        <v>0.87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</row>
    <row r="9" spans="2:10">
      <c r="B9" s="18"/>
      <c r="C9" s="12" t="s">
        <v>33</v>
      </c>
      <c r="D9" s="9">
        <v>0</v>
      </c>
      <c r="E9" s="9">
        <v>0.28999999999999998</v>
      </c>
      <c r="F9" s="9">
        <v>0</v>
      </c>
      <c r="G9" s="9">
        <v>0</v>
      </c>
      <c r="H9" s="9">
        <v>0</v>
      </c>
      <c r="I9" s="9">
        <v>0</v>
      </c>
      <c r="J9" s="9">
        <v>0</v>
      </c>
    </row>
    <row r="12" spans="2:10">
      <c r="B12" s="19" t="s">
        <v>25</v>
      </c>
      <c r="C12" s="20"/>
      <c r="D12" s="10" t="s">
        <v>7</v>
      </c>
      <c r="E12" s="10" t="s">
        <v>9</v>
      </c>
      <c r="F12" s="10" t="s">
        <v>11</v>
      </c>
      <c r="G12" s="10" t="s">
        <v>12</v>
      </c>
      <c r="H12" s="10" t="s">
        <v>14</v>
      </c>
      <c r="I12" s="10" t="s">
        <v>26</v>
      </c>
      <c r="J12" s="10" t="s">
        <v>19</v>
      </c>
    </row>
    <row r="13" spans="2:10">
      <c r="B13" s="17" t="s">
        <v>2</v>
      </c>
      <c r="C13" s="13" t="s">
        <v>22</v>
      </c>
      <c r="D13" s="14">
        <v>0</v>
      </c>
      <c r="E13" s="14">
        <v>0</v>
      </c>
      <c r="F13" s="15">
        <v>0.65900000000000003</v>
      </c>
      <c r="G13" s="14">
        <v>0</v>
      </c>
      <c r="H13" s="15">
        <v>0.29599999999999999</v>
      </c>
      <c r="I13" s="14">
        <v>0</v>
      </c>
      <c r="J13" s="14">
        <v>0</v>
      </c>
    </row>
    <row r="14" spans="2:10">
      <c r="B14" s="18"/>
      <c r="C14" s="12" t="s">
        <v>33</v>
      </c>
      <c r="D14" s="9">
        <v>0</v>
      </c>
      <c r="E14" s="9">
        <v>0</v>
      </c>
      <c r="F14" s="16">
        <v>8.0000000000000002E-3</v>
      </c>
      <c r="G14" s="9">
        <v>0</v>
      </c>
      <c r="H14" s="9">
        <v>0</v>
      </c>
      <c r="I14" s="9">
        <v>0</v>
      </c>
      <c r="J14" s="9">
        <v>0</v>
      </c>
    </row>
    <row r="17" spans="2:10">
      <c r="B17" s="19" t="s">
        <v>25</v>
      </c>
      <c r="C17" s="20"/>
      <c r="D17" s="10" t="s">
        <v>7</v>
      </c>
      <c r="E17" s="10" t="s">
        <v>9</v>
      </c>
      <c r="F17" s="10" t="s">
        <v>11</v>
      </c>
      <c r="G17" s="10" t="s">
        <v>12</v>
      </c>
      <c r="H17" s="10" t="s">
        <v>14</v>
      </c>
      <c r="I17" s="10" t="s">
        <v>26</v>
      </c>
      <c r="J17" s="10" t="s">
        <v>19</v>
      </c>
    </row>
    <row r="18" spans="2:10">
      <c r="B18" s="17" t="s">
        <v>3</v>
      </c>
      <c r="C18" s="13" t="s">
        <v>22</v>
      </c>
      <c r="D18" s="14">
        <v>0</v>
      </c>
      <c r="E18" s="14">
        <v>0</v>
      </c>
      <c r="F18" s="14">
        <v>0.71399999999999997</v>
      </c>
      <c r="G18" s="14">
        <v>0</v>
      </c>
      <c r="H18" s="14">
        <v>0</v>
      </c>
      <c r="I18" s="14">
        <v>0</v>
      </c>
      <c r="J18" s="14">
        <v>0</v>
      </c>
    </row>
    <row r="19" spans="2:10">
      <c r="B19" s="18"/>
      <c r="C19" s="12" t="s">
        <v>33</v>
      </c>
      <c r="D19" s="9">
        <v>0</v>
      </c>
      <c r="E19" s="9">
        <v>0</v>
      </c>
      <c r="F19" s="9">
        <v>6.0000000000000001E-3</v>
      </c>
      <c r="G19" s="9">
        <v>0</v>
      </c>
      <c r="H19" s="9">
        <v>0</v>
      </c>
      <c r="I19" s="9">
        <v>0</v>
      </c>
      <c r="J19" s="9">
        <v>0</v>
      </c>
    </row>
    <row r="22" spans="2:10">
      <c r="B22" s="19" t="s">
        <v>25</v>
      </c>
      <c r="C22" s="20"/>
      <c r="D22" s="10" t="s">
        <v>8</v>
      </c>
      <c r="E22" s="10" t="s">
        <v>10</v>
      </c>
      <c r="F22" s="10" t="s">
        <v>11</v>
      </c>
      <c r="G22" s="10" t="s">
        <v>13</v>
      </c>
      <c r="H22" s="10" t="s">
        <v>15</v>
      </c>
      <c r="I22" s="10" t="s">
        <v>17</v>
      </c>
      <c r="J22" s="10" t="s">
        <v>19</v>
      </c>
    </row>
    <row r="23" spans="2:10">
      <c r="B23" s="17" t="s">
        <v>4</v>
      </c>
      <c r="C23" s="13" t="s">
        <v>22</v>
      </c>
      <c r="D23" s="14">
        <v>0</v>
      </c>
      <c r="E23" s="14">
        <v>0</v>
      </c>
      <c r="F23" s="14">
        <v>0.67900000000000005</v>
      </c>
      <c r="G23" s="14">
        <v>1.7999999999999999E-2</v>
      </c>
      <c r="H23" s="14">
        <v>0</v>
      </c>
      <c r="I23" s="14">
        <v>4.4999999999999998E-2</v>
      </c>
      <c r="J23" s="14">
        <v>0.20300000000000001</v>
      </c>
    </row>
    <row r="24" spans="2:10">
      <c r="B24" s="18"/>
      <c r="C24" s="12" t="s">
        <v>33</v>
      </c>
      <c r="D24" s="9">
        <v>0</v>
      </c>
      <c r="E24" s="9">
        <v>0</v>
      </c>
      <c r="F24" s="9">
        <v>1.9E-2</v>
      </c>
      <c r="G24" s="9">
        <v>1E-3</v>
      </c>
      <c r="H24" s="9">
        <v>0</v>
      </c>
      <c r="I24" s="9">
        <v>2E-3</v>
      </c>
      <c r="J24" s="9">
        <v>0.02</v>
      </c>
    </row>
    <row r="27" spans="2:10">
      <c r="B27" s="19" t="s">
        <v>25</v>
      </c>
      <c r="C27" s="20"/>
      <c r="D27" s="10" t="s">
        <v>8</v>
      </c>
      <c r="E27" s="10" t="s">
        <v>10</v>
      </c>
      <c r="F27" s="10" t="s">
        <v>11</v>
      </c>
      <c r="G27" s="10" t="s">
        <v>13</v>
      </c>
      <c r="H27" s="10" t="s">
        <v>15</v>
      </c>
      <c r="I27" s="10" t="s">
        <v>17</v>
      </c>
      <c r="J27" s="10" t="s">
        <v>19</v>
      </c>
    </row>
    <row r="28" spans="2:10">
      <c r="B28" s="17" t="s">
        <v>29</v>
      </c>
      <c r="C28" s="13" t="s">
        <v>22</v>
      </c>
      <c r="D28" s="14">
        <v>1E-3</v>
      </c>
      <c r="E28" s="14">
        <v>1.6E-2</v>
      </c>
      <c r="F28" s="14">
        <v>0.69</v>
      </c>
      <c r="G28" s="14">
        <v>1.9E-2</v>
      </c>
      <c r="H28" s="14">
        <v>1.0999999999999999E-2</v>
      </c>
      <c r="I28" s="14">
        <v>0.01</v>
      </c>
      <c r="J28" s="14">
        <v>2.1999999999999999E-2</v>
      </c>
    </row>
    <row r="29" spans="2:10">
      <c r="B29" s="18"/>
      <c r="C29" s="12" t="s">
        <v>33</v>
      </c>
      <c r="D29" s="9">
        <v>1E-3</v>
      </c>
      <c r="E29" s="9">
        <v>4.0000000000000001E-3</v>
      </c>
      <c r="F29" s="9">
        <v>3.1E-2</v>
      </c>
      <c r="G29" s="9">
        <v>1E-3</v>
      </c>
      <c r="H29" s="9">
        <v>2E-3</v>
      </c>
      <c r="I29" s="9">
        <v>1E-3</v>
      </c>
      <c r="J29" s="9">
        <v>3.0000000000000001E-3</v>
      </c>
    </row>
    <row r="32" spans="2:10">
      <c r="B32" s="19" t="s">
        <v>25</v>
      </c>
      <c r="C32" s="20"/>
      <c r="D32" s="10" t="s">
        <v>8</v>
      </c>
      <c r="E32" s="10" t="s">
        <v>10</v>
      </c>
      <c r="F32" s="10" t="s">
        <v>11</v>
      </c>
      <c r="G32" s="10" t="s">
        <v>13</v>
      </c>
      <c r="H32" s="10" t="s">
        <v>15</v>
      </c>
      <c r="I32" s="10" t="s">
        <v>17</v>
      </c>
      <c r="J32" s="10" t="s">
        <v>19</v>
      </c>
    </row>
    <row r="33" spans="2:10">
      <c r="B33" s="17" t="s">
        <v>30</v>
      </c>
      <c r="C33" s="13" t="s">
        <v>22</v>
      </c>
      <c r="D33" s="14">
        <v>0</v>
      </c>
      <c r="E33" s="14">
        <v>0</v>
      </c>
      <c r="F33" s="14">
        <v>0.64300000000000002</v>
      </c>
      <c r="G33" s="14">
        <v>0.14499999999999999</v>
      </c>
      <c r="H33" s="14">
        <v>0</v>
      </c>
      <c r="I33" s="14">
        <v>0</v>
      </c>
      <c r="J33" s="14">
        <v>0.20799999999999999</v>
      </c>
    </row>
    <row r="34" spans="2:10">
      <c r="B34" s="18"/>
      <c r="C34" s="12" t="s">
        <v>33</v>
      </c>
      <c r="D34" s="9">
        <v>0</v>
      </c>
      <c r="E34" s="9">
        <v>0</v>
      </c>
      <c r="F34" s="9">
        <v>3.6999999999999998E-2</v>
      </c>
      <c r="G34" s="9">
        <v>1.2999999999999999E-2</v>
      </c>
      <c r="H34" s="9">
        <v>0</v>
      </c>
      <c r="I34" s="9">
        <v>0</v>
      </c>
      <c r="J34" s="9">
        <v>1.4E-2</v>
      </c>
    </row>
  </sheetData>
  <mergeCells count="14">
    <mergeCell ref="B32:C32"/>
    <mergeCell ref="B33:B34"/>
    <mergeCell ref="B17:C17"/>
    <mergeCell ref="B18:B19"/>
    <mergeCell ref="B22:C22"/>
    <mergeCell ref="B23:B24"/>
    <mergeCell ref="B27:C27"/>
    <mergeCell ref="B28:B29"/>
    <mergeCell ref="B13:B14"/>
    <mergeCell ref="B3:B4"/>
    <mergeCell ref="B2:C2"/>
    <mergeCell ref="B7:C7"/>
    <mergeCell ref="B8:B9"/>
    <mergeCell ref="B12:C1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Y10"/>
  <sheetViews>
    <sheetView zoomScale="80" zoomScaleNormal="80" workbookViewId="0">
      <selection activeCell="K8" sqref="K8"/>
    </sheetView>
  </sheetViews>
  <sheetFormatPr defaultRowHeight="15"/>
  <cols>
    <col min="2" max="2" width="30.7109375" bestFit="1" customWidth="1"/>
    <col min="3" max="3" width="7.85546875" bestFit="1" customWidth="1"/>
    <col min="4" max="4" width="15" bestFit="1" customWidth="1"/>
    <col min="5" max="5" width="14.7109375" bestFit="1" customWidth="1"/>
    <col min="6" max="6" width="7.85546875" bestFit="1" customWidth="1"/>
    <col min="7" max="7" width="15" bestFit="1" customWidth="1"/>
    <col min="8" max="8" width="14.7109375" bestFit="1" customWidth="1"/>
    <col min="9" max="9" width="7.85546875" bestFit="1" customWidth="1"/>
    <col min="10" max="10" width="15" bestFit="1" customWidth="1"/>
    <col min="11" max="11" width="14.7109375" bestFit="1" customWidth="1"/>
    <col min="12" max="12" width="7.85546875" bestFit="1" customWidth="1"/>
    <col min="13" max="13" width="15" bestFit="1" customWidth="1"/>
    <col min="14" max="14" width="14.7109375" bestFit="1" customWidth="1"/>
    <col min="16" max="16" width="30.7109375" bestFit="1" customWidth="1"/>
    <col min="17" max="17" width="8.7109375" bestFit="1" customWidth="1"/>
    <col min="18" max="18" width="15" bestFit="1" customWidth="1"/>
    <col min="19" max="19" width="14.7109375" bestFit="1" customWidth="1"/>
    <col min="20" max="20" width="14" bestFit="1" customWidth="1"/>
    <col min="21" max="21" width="15" bestFit="1" customWidth="1"/>
    <col min="22" max="22" width="14.7109375" bestFit="1" customWidth="1"/>
    <col min="23" max="23" width="13.85546875" bestFit="1" customWidth="1"/>
    <col min="24" max="24" width="15" bestFit="1" customWidth="1"/>
    <col min="25" max="25" width="14.7109375" bestFit="1" customWidth="1"/>
  </cols>
  <sheetData>
    <row r="2" spans="2:25">
      <c r="B2" s="1"/>
      <c r="C2" s="2" t="s">
        <v>0</v>
      </c>
      <c r="D2" s="2" t="s">
        <v>23</v>
      </c>
      <c r="E2" s="2" t="s">
        <v>21</v>
      </c>
      <c r="F2" s="2" t="s">
        <v>1</v>
      </c>
      <c r="G2" s="2" t="s">
        <v>23</v>
      </c>
      <c r="H2" s="2" t="s">
        <v>21</v>
      </c>
      <c r="I2" s="2" t="s">
        <v>2</v>
      </c>
      <c r="J2" s="2" t="s">
        <v>23</v>
      </c>
      <c r="K2" s="2" t="s">
        <v>21</v>
      </c>
      <c r="L2" s="2" t="s">
        <v>3</v>
      </c>
      <c r="M2" s="2" t="s">
        <v>23</v>
      </c>
      <c r="N2" s="2" t="s">
        <v>21</v>
      </c>
      <c r="P2" s="1"/>
      <c r="Q2" s="2" t="s">
        <v>4</v>
      </c>
      <c r="R2" s="2" t="s">
        <v>23</v>
      </c>
      <c r="S2" s="2" t="s">
        <v>21</v>
      </c>
      <c r="T2" s="2" t="s">
        <v>5</v>
      </c>
      <c r="U2" s="2" t="s">
        <v>23</v>
      </c>
      <c r="V2" s="2" t="s">
        <v>21</v>
      </c>
      <c r="W2" s="2" t="s">
        <v>6</v>
      </c>
      <c r="X2" s="2" t="s">
        <v>23</v>
      </c>
      <c r="Y2" s="2" t="s">
        <v>21</v>
      </c>
    </row>
    <row r="3" spans="2:25">
      <c r="B3" s="3" t="s">
        <v>7</v>
      </c>
      <c r="C3" s="4">
        <v>78</v>
      </c>
      <c r="D3" s="8">
        <f>C3/451/C10*100</f>
        <v>2.7107994077945907E-2</v>
      </c>
      <c r="E3" s="9">
        <f>C3/451/104*100</f>
        <v>0.16629711751662971</v>
      </c>
      <c r="F3" s="4">
        <v>0</v>
      </c>
      <c r="G3" s="8">
        <v>0</v>
      </c>
      <c r="H3" s="9">
        <v>0</v>
      </c>
      <c r="I3" s="4">
        <v>68</v>
      </c>
      <c r="J3" s="8">
        <f>I3/451/I10*100</f>
        <v>7.6034318313201021E-3</v>
      </c>
      <c r="K3" s="9">
        <f>I3/451/68*100</f>
        <v>0.22172949002217296</v>
      </c>
      <c r="L3" s="4">
        <v>12</v>
      </c>
      <c r="M3" s="8">
        <f>L3/451/L10*100</f>
        <v>1.6744832474928101E-3</v>
      </c>
      <c r="N3" s="9">
        <f>L3/451/12*100</f>
        <v>0.22172949002217296</v>
      </c>
      <c r="P3" s="3" t="s">
        <v>8</v>
      </c>
      <c r="Q3" s="4">
        <v>25</v>
      </c>
      <c r="R3" s="8">
        <f>Q3/467/Q10*100</f>
        <v>5.3737392670305615E-4</v>
      </c>
      <c r="S3" s="9">
        <f>Q3/467/25*100</f>
        <v>0.21413276231263384</v>
      </c>
      <c r="T3" s="4">
        <v>496</v>
      </c>
      <c r="U3" s="8">
        <f>T3/467/T10*100</f>
        <v>4.1808317629926936E-3</v>
      </c>
      <c r="V3" s="9">
        <f>T3/467/502*100</f>
        <v>0.21157340658778165</v>
      </c>
      <c r="W3" s="4">
        <v>34</v>
      </c>
      <c r="X3" s="8">
        <f>W3/467/W10*100</f>
        <v>1.3047515983207077E-3</v>
      </c>
      <c r="Y3" s="9">
        <f>W3/467/34*100</f>
        <v>0.21413276231263381</v>
      </c>
    </row>
    <row r="4" spans="2:25">
      <c r="B4" s="3" t="s">
        <v>9</v>
      </c>
      <c r="C4" s="4">
        <v>23</v>
      </c>
      <c r="D4" s="8">
        <f>C4/115/C10*100</f>
        <v>3.1347962382445145E-2</v>
      </c>
      <c r="E4" s="9">
        <f>C4/115/82*100</f>
        <v>0.24390243902439024</v>
      </c>
      <c r="F4" s="4">
        <v>2</v>
      </c>
      <c r="G4" s="8">
        <f>F4/115/F10*100</f>
        <v>7.9051383399209488E-2</v>
      </c>
      <c r="H4" s="9">
        <f>F4/115/6*100</f>
        <v>0.28985507246376813</v>
      </c>
      <c r="I4" s="4">
        <v>52</v>
      </c>
      <c r="J4" s="8">
        <f>I4/115/I10*100</f>
        <v>2.280251704707404E-2</v>
      </c>
      <c r="K4" s="9">
        <f>I4/115/101*100</f>
        <v>0.4476969436074042</v>
      </c>
      <c r="L4" s="4">
        <v>21</v>
      </c>
      <c r="M4" s="8">
        <f>L4/115/L10*100</f>
        <v>1.1492051331162613E-2</v>
      </c>
      <c r="N4" s="9">
        <f>L4/115/29*100</f>
        <v>0.62968515742128939</v>
      </c>
      <c r="P4" s="3" t="s">
        <v>10</v>
      </c>
      <c r="Q4" s="4">
        <v>88</v>
      </c>
      <c r="R4" s="8">
        <f>Q4/99/Q10*100</f>
        <v>8.9227955118338573E-3</v>
      </c>
      <c r="S4" s="9">
        <f>Q4/99/254*100</f>
        <v>0.34995625546806647</v>
      </c>
      <c r="T4" s="4">
        <v>688</v>
      </c>
      <c r="U4" s="8">
        <f>T4/99/T10*100</f>
        <v>2.7355908319536097E-2</v>
      </c>
      <c r="V4" s="9">
        <f>T4/99/2086*100</f>
        <v>0.33314932643791706</v>
      </c>
      <c r="W4" s="4">
        <v>44</v>
      </c>
      <c r="X4" s="8">
        <f>W4/99/W10*100</f>
        <v>7.9649542015133423E-3</v>
      </c>
      <c r="Y4" s="9">
        <f>W4/99/183*100</f>
        <v>0.24286581663630841</v>
      </c>
    </row>
    <row r="5" spans="2:25">
      <c r="B5" s="3" t="s">
        <v>11</v>
      </c>
      <c r="C5" s="4">
        <v>347</v>
      </c>
      <c r="D5" s="8">
        <f>C5/140/C10*100</f>
        <v>0.38849081952530229</v>
      </c>
      <c r="E5" s="9">
        <f>C5/140/559*100</f>
        <v>0.44339381548683876</v>
      </c>
      <c r="F5" s="4">
        <v>10</v>
      </c>
      <c r="G5" s="8">
        <f>F5/140/F10*100</f>
        <v>0.32467532467532467</v>
      </c>
      <c r="H5" s="9">
        <f>F5/140/27*100</f>
        <v>0.26455026455026454</v>
      </c>
      <c r="I5" s="4">
        <v>657</v>
      </c>
      <c r="J5" s="8">
        <f>I5/140/I10*100</f>
        <v>0.2366544197103955</v>
      </c>
      <c r="K5" s="9">
        <f>I5/140/1031*100</f>
        <v>0.45517528058750178</v>
      </c>
      <c r="L5" s="4">
        <v>1211</v>
      </c>
      <c r="M5" s="8">
        <f>L5/140/L10*100</f>
        <v>0.54436752674638145</v>
      </c>
      <c r="N5" s="9">
        <f>L5/140/1409*100</f>
        <v>0.61391057487579848</v>
      </c>
      <c r="P5" s="3" t="s">
        <v>11</v>
      </c>
      <c r="Q5" s="4">
        <v>1747</v>
      </c>
      <c r="R5" s="8">
        <f>Q5/140/Q10*100</f>
        <v>0.12526170877907478</v>
      </c>
      <c r="S5" s="9">
        <f>Q5/140/4398*100</f>
        <v>0.28373286558825439</v>
      </c>
      <c r="T5" s="4">
        <v>5014</v>
      </c>
      <c r="U5" s="8">
        <f>T5/140/T10*100</f>
        <v>0.14097892345412422</v>
      </c>
      <c r="V5" s="9">
        <f>T5/140/12988*100</f>
        <v>0.27574904307272652</v>
      </c>
      <c r="W5" s="4">
        <v>565</v>
      </c>
      <c r="X5" s="8">
        <f>W5/140/W10*100</f>
        <v>7.232462877624167E-2</v>
      </c>
      <c r="Y5" s="9">
        <f>W5/140/2058*100</f>
        <v>0.19609884770234623</v>
      </c>
    </row>
    <row r="6" spans="2:25">
      <c r="B6" s="3" t="s">
        <v>12</v>
      </c>
      <c r="C6" s="4">
        <v>68</v>
      </c>
      <c r="D6" s="8">
        <f>C6/43/C10*100</f>
        <v>0.24786760953561274</v>
      </c>
      <c r="E6" s="9">
        <f>C6/43/116*100</f>
        <v>1.36327185244587</v>
      </c>
      <c r="F6" s="4">
        <v>3</v>
      </c>
      <c r="G6" s="8">
        <f>F6/43/F10*100</f>
        <v>0.31712473572938688</v>
      </c>
      <c r="H6" s="9">
        <f>F6/43/3*100</f>
        <v>2.3255813953488373</v>
      </c>
      <c r="I6" s="4">
        <v>317</v>
      </c>
      <c r="J6" s="8">
        <f>I6/43/I10*100</f>
        <v>0.37176465069368703</v>
      </c>
      <c r="K6" s="9">
        <f>I6/43/363*100</f>
        <v>2.0308796207316289</v>
      </c>
      <c r="L6" s="4">
        <v>92</v>
      </c>
      <c r="M6" s="8">
        <f>L6/43/L10*100</f>
        <v>0.13464662578482883</v>
      </c>
      <c r="N6" s="9">
        <f>L6/43/107*100</f>
        <v>1.9995653118887198</v>
      </c>
      <c r="P6" s="3" t="s">
        <v>13</v>
      </c>
      <c r="Q6" s="4">
        <v>3337</v>
      </c>
      <c r="R6" s="8">
        <f>Q6/46/Q10*100</f>
        <v>0.72820195001876697</v>
      </c>
      <c r="S6" s="9">
        <f>Q6/46/3732*100</f>
        <v>1.9438231045249079</v>
      </c>
      <c r="T6" s="4">
        <v>7589</v>
      </c>
      <c r="U6" s="8">
        <f>T6/46/T10*100</f>
        <v>0.64941844146419947</v>
      </c>
      <c r="V6" s="9">
        <f>T6/46/8766*100</f>
        <v>1.8820244224226013</v>
      </c>
      <c r="W6" s="4">
        <v>1093</v>
      </c>
      <c r="X6" s="8">
        <f>W6/46/W10*100</f>
        <v>0.42582203521894962</v>
      </c>
      <c r="Y6" s="9">
        <f>W6/46/1342*100</f>
        <v>1.7705565994945895</v>
      </c>
    </row>
    <row r="7" spans="2:25">
      <c r="B7" s="3" t="s">
        <v>14</v>
      </c>
      <c r="C7" s="4">
        <v>49</v>
      </c>
      <c r="D7" s="8">
        <f>C7/26/C10*100</f>
        <v>0.29539426091150228</v>
      </c>
      <c r="E7" s="9">
        <f>C7/26/85*100</f>
        <v>2.2171945701357467</v>
      </c>
      <c r="F7" s="4">
        <v>3</v>
      </c>
      <c r="G7" s="8">
        <f>F7/26/F10*100</f>
        <v>0.52447552447552448</v>
      </c>
      <c r="H7" s="9">
        <f>F7/26/5*100</f>
        <v>2.3076923076923079</v>
      </c>
      <c r="I7" s="4">
        <v>294</v>
      </c>
      <c r="J7" s="8">
        <f>I7/26/I10*100</f>
        <v>0.57023158384731754</v>
      </c>
      <c r="K7" s="9">
        <f>I7/26/348*100</f>
        <v>3.2493368700265259</v>
      </c>
      <c r="L7" s="4">
        <v>82</v>
      </c>
      <c r="M7" s="8">
        <f>L7/26/L10*100</f>
        <v>0.19847993416275356</v>
      </c>
      <c r="N7" s="9">
        <f>L7/26/135*100</f>
        <v>2.3361823361823362</v>
      </c>
      <c r="P7" s="3" t="s">
        <v>15</v>
      </c>
      <c r="Q7" s="4">
        <v>1296</v>
      </c>
      <c r="R7" s="8">
        <f>Q7/16/Q10*100</f>
        <v>0.81308974101586029</v>
      </c>
      <c r="S7" s="9">
        <f>Q7/16/1345*100</f>
        <v>6.0223048327137549</v>
      </c>
      <c r="T7" s="4">
        <v>1662</v>
      </c>
      <c r="U7" s="8">
        <f>T7/16/T10*100</f>
        <v>0.40889230042512992</v>
      </c>
      <c r="V7" s="9">
        <f>T7/16/2676*100</f>
        <v>3.881726457399103</v>
      </c>
      <c r="W7" s="4">
        <v>1117</v>
      </c>
      <c r="X7" s="8">
        <f>W7/16/W10*100</f>
        <v>1.2511200716845878</v>
      </c>
      <c r="Y7" s="9">
        <f>W7/16/1447*100</f>
        <v>4.8246371803731858</v>
      </c>
    </row>
    <row r="8" spans="2:25">
      <c r="B8" s="3" t="s">
        <v>16</v>
      </c>
      <c r="C8" s="4">
        <v>59</v>
      </c>
      <c r="D8" s="8">
        <f>C8/16/C10*100</f>
        <v>0.57797805642633227</v>
      </c>
      <c r="E8" s="9">
        <f>C8/16/67*100</f>
        <v>5.5037313432835822</v>
      </c>
      <c r="F8" s="4">
        <v>3</v>
      </c>
      <c r="G8" s="8">
        <f>F8/16/F10*100</f>
        <v>0.85227272727272718</v>
      </c>
      <c r="H8" s="9">
        <f>F8/16/5*100</f>
        <v>3.75</v>
      </c>
      <c r="I8" s="4">
        <v>223</v>
      </c>
      <c r="J8" s="8">
        <f>I8/11/I10*100</f>
        <v>1.0223261357905835</v>
      </c>
      <c r="K8" s="9">
        <f>I8/11/228*100</f>
        <v>8.8915470494417868</v>
      </c>
      <c r="L8" s="4">
        <v>85</v>
      </c>
      <c r="M8" s="8">
        <f>L8/11/L10*100</f>
        <v>0.48629784312603697</v>
      </c>
      <c r="N8" s="9">
        <f>L8/11/85*100</f>
        <v>9.0909090909090917</v>
      </c>
      <c r="P8" s="3" t="s">
        <v>17</v>
      </c>
      <c r="Q8" s="4">
        <v>2248</v>
      </c>
      <c r="R8" s="8">
        <f>Q8/18/Q10*100</f>
        <v>1.2536527694126569</v>
      </c>
      <c r="S8" s="9">
        <f>Q8/18/2254*100</f>
        <v>5.5407670314502608</v>
      </c>
      <c r="T8" s="4">
        <v>5569</v>
      </c>
      <c r="U8" s="8">
        <f>T8/18/T10*100</f>
        <v>1.217874700397138</v>
      </c>
      <c r="V8" s="9">
        <f>T8/18/5611*100</f>
        <v>5.5139705736747269</v>
      </c>
      <c r="W8" s="4">
        <v>976</v>
      </c>
      <c r="X8" s="8">
        <f>W8/18/W10*100</f>
        <v>0.97172441258462761</v>
      </c>
      <c r="Y8" s="9">
        <f>W8/18/1289*100</f>
        <v>4.2065339194896989</v>
      </c>
    </row>
    <row r="9" spans="2:25">
      <c r="B9" s="3" t="s">
        <v>18</v>
      </c>
      <c r="C9" s="4">
        <v>14</v>
      </c>
      <c r="D9" s="8">
        <f>C9/11/C10*100</f>
        <v>0.19948703334283271</v>
      </c>
      <c r="E9" s="9">
        <f>C9/11/19*100</f>
        <v>6.6985645933014357</v>
      </c>
      <c r="F9" s="4">
        <v>1</v>
      </c>
      <c r="G9" s="8">
        <f>F9/11/F10*100</f>
        <v>0.41322314049586778</v>
      </c>
      <c r="H9" s="9">
        <f>F9/11/1*100</f>
        <v>9.0909090909090917</v>
      </c>
      <c r="I9" s="4">
        <v>372</v>
      </c>
      <c r="J9" s="8">
        <f>I9/16/I10*100</f>
        <v>1.172465960665658</v>
      </c>
      <c r="K9" s="9">
        <f>I9/16/386*100</f>
        <v>6.0233160621761659</v>
      </c>
      <c r="L9" s="4">
        <v>86</v>
      </c>
      <c r="M9" s="8">
        <f>L9/16/L10*100</f>
        <v>0.3382630585273757</v>
      </c>
      <c r="N9" s="9">
        <f>L9/16/87*100</f>
        <v>6.1781609195402298</v>
      </c>
      <c r="P9" s="3" t="s">
        <v>19</v>
      </c>
      <c r="Q9" s="4">
        <v>1221</v>
      </c>
      <c r="R9" s="8">
        <f>Q9/16/Q10*100</f>
        <v>0.76603593655892388</v>
      </c>
      <c r="S9" s="9">
        <f>Q9/16/1229*100</f>
        <v>6.2093165174938969</v>
      </c>
      <c r="T9" s="4">
        <v>4386</v>
      </c>
      <c r="U9" s="8">
        <f>T9/16/T10*100</f>
        <v>1.079062352385451</v>
      </c>
      <c r="V9" s="9">
        <f>T9/16/4425*100</f>
        <v>6.1949152542372881</v>
      </c>
      <c r="W9" s="4">
        <v>1751</v>
      </c>
      <c r="X9" s="8">
        <f>W9/16/W10*100</f>
        <v>1.9612455197132617</v>
      </c>
      <c r="Y9" s="9">
        <f>W9/16/1757*100</f>
        <v>6.2286568013659647</v>
      </c>
    </row>
    <row r="10" spans="2:25">
      <c r="B10" s="5" t="s">
        <v>20</v>
      </c>
      <c r="C10" s="4">
        <f>SUM(C3:C9)</f>
        <v>638</v>
      </c>
      <c r="D10" s="8"/>
      <c r="E10" s="9"/>
      <c r="F10" s="4">
        <f>SUM(F3:F9)</f>
        <v>22</v>
      </c>
      <c r="G10" s="8"/>
      <c r="H10" s="9"/>
      <c r="I10" s="4">
        <f>SUM(I3:I9)</f>
        <v>1983</v>
      </c>
      <c r="J10" s="8"/>
      <c r="K10" s="9"/>
      <c r="L10" s="4">
        <f>SUM(L3:L9)</f>
        <v>1589</v>
      </c>
      <c r="M10" s="8"/>
      <c r="N10" s="9"/>
      <c r="P10" s="5" t="s">
        <v>20</v>
      </c>
      <c r="Q10" s="4">
        <f>SUM(Q3:Q9)</f>
        <v>9962</v>
      </c>
      <c r="R10" s="8"/>
      <c r="S10" s="9"/>
      <c r="T10" s="4">
        <f>SUM(T3:T9)</f>
        <v>25404</v>
      </c>
      <c r="U10" s="8"/>
      <c r="V10" s="9"/>
      <c r="W10" s="4">
        <f>SUM(W3:W9)</f>
        <v>5580</v>
      </c>
      <c r="X10" s="8"/>
      <c r="Y10" s="9"/>
    </row>
  </sheetData>
  <sheetProtection password="F834" sheet="1" objects="1" scenarios="1" selectLockedCells="1" selectUn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J34"/>
  <sheetViews>
    <sheetView zoomScale="70" zoomScaleNormal="70" workbookViewId="0">
      <selection activeCell="I14" sqref="I14"/>
    </sheetView>
  </sheetViews>
  <sheetFormatPr defaultRowHeight="15"/>
  <cols>
    <col min="2" max="2" width="12.28515625" bestFit="1" customWidth="1"/>
    <col min="3" max="3" width="23.5703125" customWidth="1"/>
    <col min="4" max="4" width="31.140625" bestFit="1" customWidth="1"/>
    <col min="5" max="5" width="30" bestFit="1" customWidth="1"/>
    <col min="6" max="6" width="25.140625" bestFit="1" customWidth="1"/>
    <col min="7" max="7" width="27.140625" bestFit="1" customWidth="1"/>
    <col min="8" max="8" width="27.28515625" bestFit="1" customWidth="1"/>
    <col min="9" max="10" width="27" bestFit="1" customWidth="1"/>
  </cols>
  <sheetData>
    <row r="2" spans="2:10">
      <c r="B2" s="19" t="s">
        <v>25</v>
      </c>
      <c r="C2" s="20"/>
      <c r="D2" s="10" t="s">
        <v>7</v>
      </c>
      <c r="E2" s="10" t="s">
        <v>9</v>
      </c>
      <c r="F2" s="10" t="s">
        <v>11</v>
      </c>
      <c r="G2" s="10" t="s">
        <v>12</v>
      </c>
      <c r="H2" s="10" t="s">
        <v>14</v>
      </c>
      <c r="I2" s="10" t="s">
        <v>27</v>
      </c>
      <c r="J2" s="10" t="s">
        <v>28</v>
      </c>
    </row>
    <row r="3" spans="2:10">
      <c r="B3" s="17" t="s">
        <v>0</v>
      </c>
      <c r="C3" s="13" t="s">
        <v>23</v>
      </c>
      <c r="D3" s="14">
        <v>2.7E-2</v>
      </c>
      <c r="E3" s="14">
        <v>3.1E-2</v>
      </c>
      <c r="F3" s="14">
        <v>0.38800000000000001</v>
      </c>
      <c r="G3" s="14">
        <v>0.248</v>
      </c>
      <c r="H3" s="14">
        <v>0.29499999999999998</v>
      </c>
      <c r="I3" s="14">
        <v>0.57799999999999996</v>
      </c>
      <c r="J3" s="14">
        <v>0.19900000000000001</v>
      </c>
    </row>
    <row r="4" spans="2:10">
      <c r="B4" s="18"/>
      <c r="C4" s="12" t="s">
        <v>32</v>
      </c>
      <c r="D4" s="9">
        <v>0.11600000000000001</v>
      </c>
      <c r="E4" s="9">
        <v>0.24399999999999999</v>
      </c>
      <c r="F4" s="9">
        <v>0.443</v>
      </c>
      <c r="G4" s="9">
        <v>1.363</v>
      </c>
      <c r="H4" s="9">
        <v>2.2170000000000001</v>
      </c>
      <c r="I4" s="9">
        <v>5.5039999999999996</v>
      </c>
      <c r="J4" s="9">
        <v>6.6989999999999998</v>
      </c>
    </row>
    <row r="7" spans="2:10">
      <c r="B7" s="19" t="s">
        <v>25</v>
      </c>
      <c r="C7" s="20"/>
      <c r="D7" s="10" t="s">
        <v>7</v>
      </c>
      <c r="E7" s="10" t="s">
        <v>9</v>
      </c>
      <c r="F7" s="10" t="s">
        <v>11</v>
      </c>
      <c r="G7" s="10" t="s">
        <v>12</v>
      </c>
      <c r="H7" s="10" t="s">
        <v>14</v>
      </c>
      <c r="I7" s="10" t="s">
        <v>27</v>
      </c>
      <c r="J7" s="10" t="s">
        <v>28</v>
      </c>
    </row>
    <row r="8" spans="2:10">
      <c r="B8" s="17" t="s">
        <v>1</v>
      </c>
      <c r="C8" s="13" t="s">
        <v>23</v>
      </c>
      <c r="D8" s="14">
        <v>0</v>
      </c>
      <c r="E8" s="14">
        <v>7.9000000000000001E-2</v>
      </c>
      <c r="F8" s="14">
        <v>0.32500000000000001</v>
      </c>
      <c r="G8" s="14">
        <v>0.317</v>
      </c>
      <c r="H8" s="14">
        <v>0.52400000000000002</v>
      </c>
      <c r="I8" s="14">
        <v>0.85199999999999998</v>
      </c>
      <c r="J8" s="14">
        <v>0.41299999999999998</v>
      </c>
    </row>
    <row r="9" spans="2:10">
      <c r="B9" s="18"/>
      <c r="C9" s="12" t="s">
        <v>32</v>
      </c>
      <c r="D9" s="9">
        <v>0</v>
      </c>
      <c r="E9" s="9">
        <v>0.28999999999999998</v>
      </c>
      <c r="F9" s="9">
        <v>0.26500000000000001</v>
      </c>
      <c r="G9" s="9">
        <v>2.3260000000000001</v>
      </c>
      <c r="H9" s="9">
        <v>2.3079999999999998</v>
      </c>
      <c r="I9" s="9">
        <v>3.75</v>
      </c>
      <c r="J9" s="9">
        <v>9.0909999999999993</v>
      </c>
    </row>
    <row r="12" spans="2:10">
      <c r="B12" s="19" t="s">
        <v>25</v>
      </c>
      <c r="C12" s="20"/>
      <c r="D12" s="10" t="s">
        <v>7</v>
      </c>
      <c r="E12" s="10" t="s">
        <v>9</v>
      </c>
      <c r="F12" s="10" t="s">
        <v>11</v>
      </c>
      <c r="G12" s="10" t="s">
        <v>12</v>
      </c>
      <c r="H12" s="10" t="s">
        <v>14</v>
      </c>
      <c r="I12" s="10" t="s">
        <v>26</v>
      </c>
      <c r="J12" s="10" t="s">
        <v>19</v>
      </c>
    </row>
    <row r="13" spans="2:10">
      <c r="B13" s="17" t="s">
        <v>2</v>
      </c>
      <c r="C13" s="13" t="s">
        <v>23</v>
      </c>
      <c r="D13" s="14">
        <v>8.0000000000000002E-3</v>
      </c>
      <c r="E13" s="14">
        <v>2.3E-2</v>
      </c>
      <c r="F13" s="14">
        <v>0.23699999999999999</v>
      </c>
      <c r="G13" s="14">
        <v>0.37176465069368703</v>
      </c>
      <c r="H13" s="14">
        <v>0.57099999999999995</v>
      </c>
      <c r="I13" s="14">
        <v>1.0223261357905835</v>
      </c>
      <c r="J13" s="14">
        <v>1.1739999999999999</v>
      </c>
    </row>
    <row r="14" spans="2:10">
      <c r="B14" s="18"/>
      <c r="C14" s="12" t="s">
        <v>32</v>
      </c>
      <c r="D14" s="9">
        <v>0.222</v>
      </c>
      <c r="E14" s="9">
        <v>0.44800000000000001</v>
      </c>
      <c r="F14" s="9">
        <v>0.45500000000000002</v>
      </c>
      <c r="G14" s="9">
        <v>2.0308796207316289</v>
      </c>
      <c r="H14" s="9">
        <v>3.2490000000000001</v>
      </c>
      <c r="I14" s="9">
        <v>8.8915470494417868</v>
      </c>
      <c r="J14" s="9">
        <v>6.0229999999999997</v>
      </c>
    </row>
    <row r="17" spans="2:10">
      <c r="B17" s="19" t="s">
        <v>25</v>
      </c>
      <c r="C17" s="20"/>
      <c r="D17" s="10" t="s">
        <v>7</v>
      </c>
      <c r="E17" s="10" t="s">
        <v>9</v>
      </c>
      <c r="F17" s="10" t="s">
        <v>11</v>
      </c>
      <c r="G17" s="10" t="s">
        <v>12</v>
      </c>
      <c r="H17" s="10" t="s">
        <v>14</v>
      </c>
      <c r="I17" s="10" t="s">
        <v>26</v>
      </c>
      <c r="J17" s="10" t="s">
        <v>19</v>
      </c>
    </row>
    <row r="18" spans="2:10">
      <c r="B18" s="17" t="s">
        <v>3</v>
      </c>
      <c r="C18" s="13" t="s">
        <v>23</v>
      </c>
      <c r="D18" s="14">
        <v>2E-3</v>
      </c>
      <c r="E18" s="14">
        <v>1.0999999999999999E-2</v>
      </c>
      <c r="F18" s="14">
        <v>0.54400000000000004</v>
      </c>
      <c r="G18" s="14">
        <v>0.13500000000000001</v>
      </c>
      <c r="H18" s="14">
        <v>0.19800000000000001</v>
      </c>
      <c r="I18" s="14">
        <v>0.48599999999999999</v>
      </c>
      <c r="J18" s="14">
        <v>0.33800000000000002</v>
      </c>
    </row>
    <row r="19" spans="2:10">
      <c r="B19" s="18"/>
      <c r="C19" s="12" t="s">
        <v>32</v>
      </c>
      <c r="D19" s="9">
        <v>0.222</v>
      </c>
      <c r="E19" s="9">
        <v>0.63</v>
      </c>
      <c r="F19" s="9">
        <v>0.61399999999999999</v>
      </c>
      <c r="G19" s="9">
        <v>2</v>
      </c>
      <c r="H19" s="9">
        <v>2.3359999999999999</v>
      </c>
      <c r="I19" s="9">
        <v>9.0909999999999993</v>
      </c>
      <c r="J19" s="9">
        <v>6.1779999999999999</v>
      </c>
    </row>
    <row r="22" spans="2:10">
      <c r="B22" s="19" t="s">
        <v>25</v>
      </c>
      <c r="C22" s="20"/>
      <c r="D22" s="10" t="s">
        <v>8</v>
      </c>
      <c r="E22" s="10" t="s">
        <v>10</v>
      </c>
      <c r="F22" s="10" t="s">
        <v>11</v>
      </c>
      <c r="G22" s="10" t="s">
        <v>13</v>
      </c>
      <c r="H22" s="10" t="s">
        <v>15</v>
      </c>
      <c r="I22" s="10" t="s">
        <v>17</v>
      </c>
      <c r="J22" s="10" t="s">
        <v>19</v>
      </c>
    </row>
    <row r="23" spans="2:10">
      <c r="B23" s="17" t="s">
        <v>4</v>
      </c>
      <c r="C23" s="13" t="s">
        <v>23</v>
      </c>
      <c r="D23" s="14">
        <v>1E-3</v>
      </c>
      <c r="E23" s="14">
        <v>8.9999999999999993E-3</v>
      </c>
      <c r="F23" s="14">
        <v>0.125</v>
      </c>
      <c r="G23" s="14">
        <v>0.72799999999999998</v>
      </c>
      <c r="H23" s="14">
        <v>0.81299999999999994</v>
      </c>
      <c r="I23" s="14">
        <v>1.254</v>
      </c>
      <c r="J23" s="14">
        <v>0.76600000000000001</v>
      </c>
    </row>
    <row r="24" spans="2:10">
      <c r="B24" s="18"/>
      <c r="C24" s="12" t="s">
        <v>32</v>
      </c>
      <c r="D24" s="9">
        <v>0.214</v>
      </c>
      <c r="E24" s="9">
        <v>0.35</v>
      </c>
      <c r="F24" s="9">
        <v>0.28399999999999997</v>
      </c>
      <c r="G24" s="9">
        <v>1.944</v>
      </c>
      <c r="H24" s="9">
        <v>6.0220000000000002</v>
      </c>
      <c r="I24" s="9">
        <v>5.5410000000000004</v>
      </c>
      <c r="J24" s="9">
        <v>6.2089999999999996</v>
      </c>
    </row>
    <row r="27" spans="2:10">
      <c r="B27" s="19" t="s">
        <v>25</v>
      </c>
      <c r="C27" s="20"/>
      <c r="D27" s="10" t="s">
        <v>8</v>
      </c>
      <c r="E27" s="10" t="s">
        <v>10</v>
      </c>
      <c r="F27" s="10" t="s">
        <v>11</v>
      </c>
      <c r="G27" s="10" t="s">
        <v>13</v>
      </c>
      <c r="H27" s="10" t="s">
        <v>15</v>
      </c>
      <c r="I27" s="10" t="s">
        <v>17</v>
      </c>
      <c r="J27" s="10" t="s">
        <v>19</v>
      </c>
    </row>
    <row r="28" spans="2:10">
      <c r="B28" s="17" t="s">
        <v>29</v>
      </c>
      <c r="C28" s="13" t="s">
        <v>23</v>
      </c>
      <c r="D28" s="14">
        <v>4.0000000000000001E-3</v>
      </c>
      <c r="E28" s="14">
        <v>2.7E-2</v>
      </c>
      <c r="F28" s="14">
        <v>0.14099999999999999</v>
      </c>
      <c r="G28" s="14">
        <v>0.64900000000000002</v>
      </c>
      <c r="H28" s="14">
        <v>0.40899999999999997</v>
      </c>
      <c r="I28" s="14">
        <v>1.218</v>
      </c>
      <c r="J28" s="14">
        <v>1.079</v>
      </c>
    </row>
    <row r="29" spans="2:10">
      <c r="B29" s="18"/>
      <c r="C29" s="12" t="s">
        <v>32</v>
      </c>
      <c r="D29" s="9">
        <v>0.21199999999999999</v>
      </c>
      <c r="E29" s="9">
        <v>0.33300000000000002</v>
      </c>
      <c r="F29" s="9">
        <v>0.27600000000000002</v>
      </c>
      <c r="G29" s="9">
        <v>1.8819999999999999</v>
      </c>
      <c r="H29" s="9">
        <v>3.8820000000000001</v>
      </c>
      <c r="I29" s="9">
        <v>5.5140000000000002</v>
      </c>
      <c r="J29" s="9">
        <v>6.1950000000000003</v>
      </c>
    </row>
    <row r="32" spans="2:10">
      <c r="B32" s="19" t="s">
        <v>25</v>
      </c>
      <c r="C32" s="20"/>
      <c r="D32" s="10" t="s">
        <v>8</v>
      </c>
      <c r="E32" s="10" t="s">
        <v>10</v>
      </c>
      <c r="F32" s="10" t="s">
        <v>11</v>
      </c>
      <c r="G32" s="10" t="s">
        <v>13</v>
      </c>
      <c r="H32" s="10" t="s">
        <v>15</v>
      </c>
      <c r="I32" s="10" t="s">
        <v>17</v>
      </c>
      <c r="J32" s="10" t="s">
        <v>19</v>
      </c>
    </row>
    <row r="33" spans="2:10">
      <c r="B33" s="17" t="s">
        <v>30</v>
      </c>
      <c r="C33" s="13" t="s">
        <v>23</v>
      </c>
      <c r="D33" s="15">
        <v>1E-3</v>
      </c>
      <c r="E33" s="15">
        <v>8.0000000000000002E-3</v>
      </c>
      <c r="F33" s="15">
        <v>7.1999999999999995E-2</v>
      </c>
      <c r="G33" s="15">
        <v>0.42599999999999999</v>
      </c>
      <c r="H33" s="15">
        <v>1.2509999999999999</v>
      </c>
      <c r="I33" s="15">
        <v>0.97199999999999998</v>
      </c>
      <c r="J33" s="15">
        <v>1.9610000000000001</v>
      </c>
    </row>
    <row r="34" spans="2:10">
      <c r="B34" s="18"/>
      <c r="C34" s="12" t="s">
        <v>32</v>
      </c>
      <c r="D34" s="16">
        <v>0.214</v>
      </c>
      <c r="E34" s="16">
        <v>0.24299999999999999</v>
      </c>
      <c r="F34" s="16">
        <v>0.19600000000000001</v>
      </c>
      <c r="G34" s="16">
        <v>1.7709999999999999</v>
      </c>
      <c r="H34" s="16">
        <v>4.8250000000000002</v>
      </c>
      <c r="I34" s="16">
        <v>4.2069999999999999</v>
      </c>
      <c r="J34" s="16">
        <v>6.2290000000000001</v>
      </c>
    </row>
  </sheetData>
  <sheetProtection password="F834" sheet="1" objects="1" scenarios="1" selectLockedCells="1" selectUnlockedCells="1"/>
  <mergeCells count="14">
    <mergeCell ref="B32:C32"/>
    <mergeCell ref="B33:B34"/>
    <mergeCell ref="B17:C17"/>
    <mergeCell ref="B18:B19"/>
    <mergeCell ref="B22:C22"/>
    <mergeCell ref="B23:B24"/>
    <mergeCell ref="B27:C27"/>
    <mergeCell ref="B28:B29"/>
    <mergeCell ref="B13:B14"/>
    <mergeCell ref="B2:C2"/>
    <mergeCell ref="B3:B4"/>
    <mergeCell ref="B7:C7"/>
    <mergeCell ref="B8:B9"/>
    <mergeCell ref="B12:C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Y10"/>
  <sheetViews>
    <sheetView zoomScale="80" zoomScaleNormal="80" workbookViewId="0">
      <selection activeCell="Y8" sqref="Y8"/>
    </sheetView>
  </sheetViews>
  <sheetFormatPr defaultRowHeight="15"/>
  <cols>
    <col min="2" max="2" width="30.7109375" bestFit="1" customWidth="1"/>
    <col min="4" max="4" width="13.85546875" bestFit="1" customWidth="1"/>
    <col min="5" max="5" width="14.7109375" bestFit="1" customWidth="1"/>
    <col min="7" max="7" width="12.85546875" bestFit="1" customWidth="1"/>
    <col min="8" max="8" width="14.7109375" bestFit="1" customWidth="1"/>
    <col min="10" max="10" width="12.85546875" bestFit="1" customWidth="1"/>
    <col min="11" max="11" width="14.7109375" bestFit="1" customWidth="1"/>
    <col min="13" max="13" width="12.85546875" bestFit="1" customWidth="1"/>
    <col min="14" max="14" width="14.7109375" bestFit="1" customWidth="1"/>
    <col min="16" max="16" width="30.7109375" bestFit="1" customWidth="1"/>
    <col min="18" max="18" width="12.85546875" bestFit="1" customWidth="1"/>
    <col min="19" max="19" width="14.7109375" bestFit="1" customWidth="1"/>
    <col min="20" max="20" width="14" bestFit="1" customWidth="1"/>
    <col min="21" max="21" width="12.85546875" bestFit="1" customWidth="1"/>
    <col min="22" max="22" width="14.7109375" bestFit="1" customWidth="1"/>
    <col min="23" max="23" width="13.85546875" bestFit="1" customWidth="1"/>
    <col min="24" max="24" width="12.85546875" bestFit="1" customWidth="1"/>
    <col min="25" max="25" width="14.7109375" bestFit="1" customWidth="1"/>
  </cols>
  <sheetData>
    <row r="2" spans="2:25">
      <c r="B2" s="1"/>
      <c r="C2" s="2" t="s">
        <v>0</v>
      </c>
      <c r="D2" s="2" t="s">
        <v>24</v>
      </c>
      <c r="E2" s="2" t="s">
        <v>21</v>
      </c>
      <c r="F2" s="2" t="s">
        <v>1</v>
      </c>
      <c r="G2" s="2" t="s">
        <v>24</v>
      </c>
      <c r="H2" s="2" t="s">
        <v>21</v>
      </c>
      <c r="I2" s="2" t="s">
        <v>2</v>
      </c>
      <c r="J2" s="2" t="s">
        <v>24</v>
      </c>
      <c r="K2" s="2" t="s">
        <v>21</v>
      </c>
      <c r="L2" s="2" t="s">
        <v>3</v>
      </c>
      <c r="M2" s="2" t="s">
        <v>24</v>
      </c>
      <c r="N2" s="2" t="s">
        <v>21</v>
      </c>
      <c r="P2" s="1"/>
      <c r="Q2" s="2" t="s">
        <v>4</v>
      </c>
      <c r="R2" s="2" t="s">
        <v>24</v>
      </c>
      <c r="S2" s="2" t="s">
        <v>21</v>
      </c>
      <c r="T2" s="2" t="s">
        <v>5</v>
      </c>
      <c r="U2" s="2" t="s">
        <v>24</v>
      </c>
      <c r="V2" s="2" t="s">
        <v>21</v>
      </c>
      <c r="W2" s="2" t="s">
        <v>6</v>
      </c>
      <c r="X2" s="2" t="s">
        <v>24</v>
      </c>
      <c r="Y2" s="2" t="s">
        <v>21</v>
      </c>
    </row>
    <row r="3" spans="2:25">
      <c r="B3" s="3" t="s">
        <v>7</v>
      </c>
      <c r="C3" s="4">
        <v>0</v>
      </c>
      <c r="D3" s="8">
        <v>0</v>
      </c>
      <c r="E3" s="9">
        <v>0</v>
      </c>
      <c r="F3" s="4">
        <v>0</v>
      </c>
      <c r="G3" s="8">
        <v>0</v>
      </c>
      <c r="H3" s="9">
        <v>0</v>
      </c>
      <c r="I3" s="4">
        <v>0</v>
      </c>
      <c r="J3" s="8">
        <v>0</v>
      </c>
      <c r="K3" s="9">
        <v>0</v>
      </c>
      <c r="L3" s="4">
        <v>0</v>
      </c>
      <c r="M3" s="8">
        <v>0</v>
      </c>
      <c r="N3" s="9">
        <v>0</v>
      </c>
      <c r="P3" s="3" t="s">
        <v>8</v>
      </c>
      <c r="Q3" s="4">
        <v>0</v>
      </c>
      <c r="R3" s="8">
        <v>0</v>
      </c>
      <c r="S3" s="9">
        <v>0</v>
      </c>
      <c r="T3" s="4">
        <v>4</v>
      </c>
      <c r="U3" s="8">
        <f>T3/467/T10*100</f>
        <v>7.8264898506079619E-5</v>
      </c>
      <c r="V3" s="9">
        <f>T3/467/502*100</f>
        <v>1.7062371499014649E-3</v>
      </c>
      <c r="W3" s="4">
        <v>0</v>
      </c>
      <c r="X3" s="8">
        <v>0</v>
      </c>
      <c r="Y3" s="9">
        <v>0</v>
      </c>
    </row>
    <row r="4" spans="2:25">
      <c r="B4" s="3" t="s">
        <v>9</v>
      </c>
      <c r="C4" s="4">
        <v>49</v>
      </c>
      <c r="D4" s="8">
        <f>C4/115/C10*100</f>
        <v>0.1578099838969404</v>
      </c>
      <c r="E4" s="9">
        <f>C4/115/82*100</f>
        <v>0.51961823966065745</v>
      </c>
      <c r="F4" s="4">
        <v>1</v>
      </c>
      <c r="G4" s="8">
        <f>F4/115/F10*100</f>
        <v>4.5766590389016024E-2</v>
      </c>
      <c r="H4" s="9">
        <f>F4/115/6*100</f>
        <v>0.14492753623188406</v>
      </c>
      <c r="I4" s="4">
        <v>42</v>
      </c>
      <c r="J4" s="8">
        <f>I4/115/I10*100</f>
        <v>8.6749974181555306E-2</v>
      </c>
      <c r="K4" s="9">
        <f>I4/115/101*100</f>
        <v>0.36160137752905724</v>
      </c>
      <c r="L4" s="4">
        <v>6</v>
      </c>
      <c r="M4" s="8">
        <f>L4/115/L10*100</f>
        <v>2.1382751247327154E-2</v>
      </c>
      <c r="N4" s="9">
        <f>L4/115/29*100</f>
        <v>0.17991004497751123</v>
      </c>
      <c r="P4" s="3" t="s">
        <v>10</v>
      </c>
      <c r="Q4" s="4">
        <v>165</v>
      </c>
      <c r="R4" s="8">
        <f>Q4/99/Q10*100</f>
        <v>5.3197148632833285E-2</v>
      </c>
      <c r="S4" s="9">
        <f>Q4/99/254*100</f>
        <v>0.65616797900262469</v>
      </c>
      <c r="T4" s="4">
        <v>1383</v>
      </c>
      <c r="U4" s="8">
        <f>T4/99/T10*100</f>
        <v>0.12764708488392698</v>
      </c>
      <c r="V4" s="9">
        <f>T4/99/2086*100</f>
        <v>0.66968825358087103</v>
      </c>
      <c r="W4" s="4">
        <v>139</v>
      </c>
      <c r="X4" s="8">
        <f>W4/99/W10*100</f>
        <v>6.772987959673922E-2</v>
      </c>
      <c r="Y4" s="9">
        <f>W4/99/183*100</f>
        <v>0.76723519346470159</v>
      </c>
    </row>
    <row r="5" spans="2:25">
      <c r="B5" s="3" t="s">
        <v>11</v>
      </c>
      <c r="C5" s="4">
        <v>162</v>
      </c>
      <c r="D5" s="8">
        <f>C5/140/C10*100</f>
        <v>0.4285714285714286</v>
      </c>
      <c r="E5" s="9">
        <f>C5/140/559*100</f>
        <v>0.20700230002555584</v>
      </c>
      <c r="F5" s="4">
        <v>14</v>
      </c>
      <c r="G5" s="8">
        <f>F5/140/F10*100</f>
        <v>0.52631578947368418</v>
      </c>
      <c r="H5" s="9">
        <f>F5/140/27*100</f>
        <v>0.37037037037037041</v>
      </c>
      <c r="I5" s="4">
        <v>292</v>
      </c>
      <c r="J5" s="8">
        <f>I5/140/I10*100</f>
        <v>0.49541907024092302</v>
      </c>
      <c r="K5" s="9">
        <f>I5/140/1031*100</f>
        <v>0.20230012470555636</v>
      </c>
      <c r="L5" s="4">
        <v>175</v>
      </c>
      <c r="M5" s="8">
        <f>L5/140/L10*100</f>
        <v>0.51229508196721307</v>
      </c>
      <c r="N5" s="9">
        <f>L5/140/1409*100</f>
        <v>8.8715400993612484E-2</v>
      </c>
      <c r="P5" s="3" t="s">
        <v>11</v>
      </c>
      <c r="Q5" s="4">
        <v>2519</v>
      </c>
      <c r="R5" s="8">
        <f>Q5/140/Q10*100</f>
        <v>0.57430121745474449</v>
      </c>
      <c r="S5" s="9">
        <f>Q5/140/4398*100</f>
        <v>0.40911453257974401</v>
      </c>
      <c r="T5" s="6">
        <v>7351</v>
      </c>
      <c r="U5" s="8">
        <f>T5/140/T10*100</f>
        <v>0.47978017961570596</v>
      </c>
      <c r="V5" s="9">
        <f>T5/140/12988*100</f>
        <v>0.40427427515508824</v>
      </c>
      <c r="W5" s="4">
        <v>1360</v>
      </c>
      <c r="X5" s="8">
        <f>W5/140/W10*100</f>
        <v>0.46861001998483909</v>
      </c>
      <c r="Y5" s="9">
        <f>W5/140/2058*100</f>
        <v>0.47202554491184223</v>
      </c>
    </row>
    <row r="6" spans="2:25">
      <c r="B6" s="3" t="s">
        <v>12</v>
      </c>
      <c r="C6" s="4">
        <v>19</v>
      </c>
      <c r="D6" s="8">
        <f>C6/43/C10*100</f>
        <v>0.16365202411714042</v>
      </c>
      <c r="E6" s="9">
        <f>C6/43/116*100</f>
        <v>0.38091419406575783</v>
      </c>
      <c r="F6" s="4">
        <v>0</v>
      </c>
      <c r="G6" s="8">
        <v>0</v>
      </c>
      <c r="H6" s="9">
        <v>0</v>
      </c>
      <c r="I6" s="4">
        <v>40</v>
      </c>
      <c r="J6" s="8">
        <f>I6/43/I10*100</f>
        <v>0.22095785228967574</v>
      </c>
      <c r="K6" s="9">
        <f>I6/43/363*100</f>
        <v>0.25626241271061567</v>
      </c>
      <c r="L6" s="4">
        <v>14</v>
      </c>
      <c r="M6" s="8">
        <f>L6/43/L10*100</f>
        <v>0.13343499809378576</v>
      </c>
      <c r="N6" s="9">
        <f>L6/43/107*100</f>
        <v>0.30428167789610955</v>
      </c>
      <c r="P6" s="3" t="s">
        <v>13</v>
      </c>
      <c r="Q6" s="4">
        <v>394</v>
      </c>
      <c r="R6" s="8">
        <f>Q6/46/Q10*100</f>
        <v>0.27338708558264757</v>
      </c>
      <c r="S6" s="9">
        <f>Q6/46/3732*100</f>
        <v>0.22950743277878743</v>
      </c>
      <c r="T6" s="4">
        <v>1162</v>
      </c>
      <c r="U6" s="8">
        <f>T6/46/T10*100</f>
        <v>0.23081934909738111</v>
      </c>
      <c r="V6" s="9">
        <f>T6/46/8766*100</f>
        <v>0.2881687150948824</v>
      </c>
      <c r="W6" s="4">
        <v>234</v>
      </c>
      <c r="X6" s="8">
        <f>W6/46/W10*100</f>
        <v>0.24539105266469519</v>
      </c>
      <c r="Y6" s="9">
        <f>W6/46/1342*100</f>
        <v>0.37905786302079963</v>
      </c>
    </row>
    <row r="7" spans="2:25">
      <c r="B7" s="3" t="s">
        <v>14</v>
      </c>
      <c r="C7" s="4">
        <v>33</v>
      </c>
      <c r="D7" s="8">
        <f>C7/26/C10*100</f>
        <v>0.47008547008547008</v>
      </c>
      <c r="E7" s="9">
        <f>C7/26/85*100</f>
        <v>1.4932126696832577</v>
      </c>
      <c r="F7" s="4">
        <v>2</v>
      </c>
      <c r="G7" s="8">
        <f>F7/26/F10*100</f>
        <v>0.40485829959514169</v>
      </c>
      <c r="H7" s="9">
        <f>F7/26/5*100</f>
        <v>1.5384615384615385</v>
      </c>
      <c r="I7" s="4">
        <v>35</v>
      </c>
      <c r="J7" s="8">
        <f>I7/26/I10*100</f>
        <v>0.3197515073999635</v>
      </c>
      <c r="K7" s="9">
        <f>I7/26/348*100</f>
        <v>0.38682581786030062</v>
      </c>
      <c r="L7" s="4">
        <v>49</v>
      </c>
      <c r="M7" s="8">
        <f>L7/26/L10*100</f>
        <v>0.77238335435056749</v>
      </c>
      <c r="N7" s="9">
        <f>L7/26/135*100</f>
        <v>1.396011396011396</v>
      </c>
      <c r="P7" s="3" t="s">
        <v>15</v>
      </c>
      <c r="Q7" s="4">
        <v>49</v>
      </c>
      <c r="R7" s="8">
        <f>Q7/16/Q10*100</f>
        <v>9.7749760612831152E-2</v>
      </c>
      <c r="S7" s="9">
        <f>Q7/16/1345*100</f>
        <v>0.22769516728624534</v>
      </c>
      <c r="T7" s="4">
        <v>1000</v>
      </c>
      <c r="U7" s="8">
        <f>T7/16/T10*100</f>
        <v>0.57108918128654973</v>
      </c>
      <c r="V7" s="9">
        <f>T7/16/2676*100</f>
        <v>2.3355754857997009</v>
      </c>
      <c r="W7" s="4">
        <v>327</v>
      </c>
      <c r="X7" s="8">
        <f>W7/16/W10*100</f>
        <v>0.98589001447178004</v>
      </c>
      <c r="Y7" s="9">
        <f>W7/16/1447*100</f>
        <v>1.412404975812025</v>
      </c>
    </row>
    <row r="8" spans="2:25">
      <c r="B8" s="3" t="s">
        <v>16</v>
      </c>
      <c r="C8" s="4">
        <v>3</v>
      </c>
      <c r="D8" s="8">
        <f>C8/16/C10*100</f>
        <v>6.9444444444444448E-2</v>
      </c>
      <c r="E8" s="9">
        <f>C8/16/67*100</f>
        <v>0.27985074626865669</v>
      </c>
      <c r="F8" s="4">
        <v>2</v>
      </c>
      <c r="G8" s="8">
        <f>F8/16/F10*100</f>
        <v>0.6578947368421052</v>
      </c>
      <c r="H8" s="9">
        <f>F8/16/5*100</f>
        <v>2.5</v>
      </c>
      <c r="I8" s="4">
        <v>2</v>
      </c>
      <c r="J8" s="8">
        <f>I8/11/I10*100</f>
        <v>4.3187216583891172E-2</v>
      </c>
      <c r="K8" s="9">
        <f>I8/11/228*100</f>
        <v>7.9744816586921854E-2</v>
      </c>
      <c r="L8" s="4">
        <v>0</v>
      </c>
      <c r="M8" s="8">
        <v>0</v>
      </c>
      <c r="N8" s="9">
        <v>0</v>
      </c>
      <c r="P8" s="3" t="s">
        <v>17</v>
      </c>
      <c r="Q8" s="4">
        <v>4</v>
      </c>
      <c r="R8" s="8">
        <f>Q8/18/Q10*100</f>
        <v>7.0929531510444364E-3</v>
      </c>
      <c r="S8" s="9">
        <f>Q8/18/2254*100</f>
        <v>9.8590160701961943E-3</v>
      </c>
      <c r="T8" s="4">
        <v>34</v>
      </c>
      <c r="U8" s="8">
        <f>T8/18/T10*100</f>
        <v>1.7259584145549057E-2</v>
      </c>
      <c r="V8" s="9">
        <f>T8/18/5611*100</f>
        <v>3.3664032951147546E-2</v>
      </c>
      <c r="W8" s="4">
        <v>13</v>
      </c>
      <c r="X8" s="8">
        <f>W8/18/W10*100</f>
        <v>3.4839470440049307E-2</v>
      </c>
      <c r="Y8" s="9">
        <f>W8/18/1289*100</f>
        <v>5.602965261615378E-2</v>
      </c>
    </row>
    <row r="9" spans="2:25">
      <c r="B9" s="3" t="s">
        <v>18</v>
      </c>
      <c r="C9" s="4">
        <v>4</v>
      </c>
      <c r="D9" s="8">
        <f>C9/11/C10*100</f>
        <v>0.13468013468013468</v>
      </c>
      <c r="E9" s="9">
        <f>C9/11/19*100</f>
        <v>1.9138755980861244</v>
      </c>
      <c r="F9" s="4">
        <v>0</v>
      </c>
      <c r="G9" s="8">
        <v>0</v>
      </c>
      <c r="H9" s="9">
        <v>0</v>
      </c>
      <c r="I9" s="4">
        <v>10</v>
      </c>
      <c r="J9" s="8">
        <f>I9/16/I10*100</f>
        <v>0.14845605700712589</v>
      </c>
      <c r="K9" s="9">
        <f>I9/16/386*100</f>
        <v>0.16191709844559585</v>
      </c>
      <c r="L9" s="4">
        <v>0</v>
      </c>
      <c r="M9" s="8">
        <v>0</v>
      </c>
      <c r="N9" s="9">
        <v>0</v>
      </c>
      <c r="P9" s="3" t="s">
        <v>19</v>
      </c>
      <c r="Q9" s="4">
        <v>2</v>
      </c>
      <c r="R9" s="8">
        <f>Q9/16/Q10*100</f>
        <v>3.9897861474624957E-3</v>
      </c>
      <c r="S9" s="9">
        <f>Q9/16/1229*100</f>
        <v>1.017087062652563E-2</v>
      </c>
      <c r="T9" s="4">
        <v>10</v>
      </c>
      <c r="U9" s="8">
        <f>T9/16/T10*100</f>
        <v>5.7108918128654963E-3</v>
      </c>
      <c r="V9" s="9">
        <f>T9/16/4425*100</f>
        <v>1.4124293785310734E-2</v>
      </c>
      <c r="W9" s="4">
        <v>0</v>
      </c>
      <c r="X9" s="8">
        <v>0</v>
      </c>
      <c r="Y9" s="9">
        <v>0</v>
      </c>
    </row>
    <row r="10" spans="2:25">
      <c r="B10" s="5" t="s">
        <v>20</v>
      </c>
      <c r="C10" s="4">
        <f>SUM(C3:C9)</f>
        <v>270</v>
      </c>
      <c r="D10" s="8"/>
      <c r="E10" s="9"/>
      <c r="F10" s="4">
        <f>SUM(F3:F9)</f>
        <v>19</v>
      </c>
      <c r="G10" s="8"/>
      <c r="H10" s="9"/>
      <c r="I10" s="4">
        <f>SUM(I3:I9)</f>
        <v>421</v>
      </c>
      <c r="J10" s="8"/>
      <c r="K10" s="9"/>
      <c r="L10" s="4">
        <f>SUM(L3:L9)</f>
        <v>244</v>
      </c>
      <c r="M10" s="8"/>
      <c r="N10" s="9"/>
      <c r="P10" s="5" t="s">
        <v>20</v>
      </c>
      <c r="Q10" s="4">
        <f>SUM(Q3:Q9)</f>
        <v>3133</v>
      </c>
      <c r="R10" s="8"/>
      <c r="S10" s="9"/>
      <c r="T10" s="4">
        <f>SUM(T3:T9)</f>
        <v>10944</v>
      </c>
      <c r="U10" s="8"/>
      <c r="V10" s="9"/>
      <c r="W10" s="4">
        <f>SUM(W3:W9)</f>
        <v>2073</v>
      </c>
      <c r="X10" s="8"/>
      <c r="Y10" s="9"/>
    </row>
  </sheetData>
  <sheetProtection password="F834" sheet="1" objects="1" scenarios="1" selectLockedCells="1" selectUnlockedCell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34"/>
  <sheetViews>
    <sheetView zoomScale="70" zoomScaleNormal="70" workbookViewId="0">
      <selection activeCell="A3" sqref="A3"/>
    </sheetView>
  </sheetViews>
  <sheetFormatPr defaultRowHeight="15"/>
  <cols>
    <col min="2" max="2" width="13.7109375" bestFit="1" customWidth="1"/>
    <col min="3" max="3" width="21.5703125" bestFit="1" customWidth="1"/>
    <col min="4" max="4" width="31.140625" bestFit="1" customWidth="1"/>
    <col min="5" max="5" width="30" bestFit="1" customWidth="1"/>
    <col min="6" max="6" width="25.140625" bestFit="1" customWidth="1"/>
    <col min="7" max="7" width="27.140625" bestFit="1" customWidth="1"/>
    <col min="8" max="8" width="27.28515625" bestFit="1" customWidth="1"/>
    <col min="9" max="10" width="27" bestFit="1" customWidth="1"/>
  </cols>
  <sheetData>
    <row r="2" spans="2:10">
      <c r="B2" s="19" t="s">
        <v>25</v>
      </c>
      <c r="C2" s="20"/>
      <c r="D2" s="10" t="s">
        <v>7</v>
      </c>
      <c r="E2" s="10" t="s">
        <v>9</v>
      </c>
      <c r="F2" s="10" t="s">
        <v>11</v>
      </c>
      <c r="G2" s="10" t="s">
        <v>12</v>
      </c>
      <c r="H2" s="10" t="s">
        <v>14</v>
      </c>
      <c r="I2" s="10" t="s">
        <v>27</v>
      </c>
      <c r="J2" s="10" t="s">
        <v>28</v>
      </c>
    </row>
    <row r="3" spans="2:10">
      <c r="B3" s="17" t="s">
        <v>0</v>
      </c>
      <c r="C3" s="11" t="s">
        <v>24</v>
      </c>
      <c r="D3" s="8">
        <v>0</v>
      </c>
      <c r="E3" s="8">
        <v>0.158</v>
      </c>
      <c r="F3" s="8">
        <v>0.42899999999999999</v>
      </c>
      <c r="G3" s="8">
        <v>0.16400000000000001</v>
      </c>
      <c r="H3" s="8">
        <v>0.47</v>
      </c>
      <c r="I3" s="8">
        <v>6.9000000000000006E-2</v>
      </c>
      <c r="J3" s="8">
        <v>0.13500000000000001</v>
      </c>
    </row>
    <row r="4" spans="2:10">
      <c r="B4" s="18"/>
      <c r="C4" s="12" t="s">
        <v>31</v>
      </c>
      <c r="D4" s="9">
        <v>0</v>
      </c>
      <c r="E4" s="9">
        <v>0.52</v>
      </c>
      <c r="F4" s="9">
        <v>0.20699999999999999</v>
      </c>
      <c r="G4" s="9">
        <v>0.38100000000000001</v>
      </c>
      <c r="H4" s="9">
        <v>1.4930000000000001</v>
      </c>
      <c r="I4" s="9">
        <v>0.28000000000000003</v>
      </c>
      <c r="J4" s="9">
        <v>1.9139999999999999</v>
      </c>
    </row>
    <row r="7" spans="2:10">
      <c r="B7" s="19" t="s">
        <v>25</v>
      </c>
      <c r="C7" s="20"/>
      <c r="D7" s="10" t="s">
        <v>7</v>
      </c>
      <c r="E7" s="10" t="s">
        <v>9</v>
      </c>
      <c r="F7" s="10" t="s">
        <v>11</v>
      </c>
      <c r="G7" s="10" t="s">
        <v>12</v>
      </c>
      <c r="H7" s="10" t="s">
        <v>14</v>
      </c>
      <c r="I7" s="10" t="s">
        <v>27</v>
      </c>
      <c r="J7" s="10" t="s">
        <v>28</v>
      </c>
    </row>
    <row r="8" spans="2:10">
      <c r="B8" s="17" t="s">
        <v>1</v>
      </c>
      <c r="C8" s="13" t="s">
        <v>24</v>
      </c>
      <c r="D8" s="14">
        <v>0</v>
      </c>
      <c r="E8" s="14">
        <v>4.5999999999999999E-2</v>
      </c>
      <c r="F8" s="14">
        <v>0.52600000000000002</v>
      </c>
      <c r="G8" s="14">
        <v>0</v>
      </c>
      <c r="H8" s="14">
        <v>0.40500000000000003</v>
      </c>
      <c r="I8" s="14">
        <v>0.65800000000000003</v>
      </c>
      <c r="J8" s="14">
        <v>0</v>
      </c>
    </row>
    <row r="9" spans="2:10">
      <c r="B9" s="18"/>
      <c r="C9" s="12" t="s">
        <v>31</v>
      </c>
      <c r="D9" s="9">
        <v>0</v>
      </c>
      <c r="E9" s="9">
        <v>0.14499999999999999</v>
      </c>
      <c r="F9" s="9">
        <v>0.37</v>
      </c>
      <c r="G9" s="9">
        <v>0</v>
      </c>
      <c r="H9" s="9">
        <v>1.538</v>
      </c>
      <c r="I9" s="9">
        <v>2.5</v>
      </c>
      <c r="J9" s="9">
        <v>0</v>
      </c>
    </row>
    <row r="12" spans="2:10">
      <c r="B12" s="19" t="s">
        <v>25</v>
      </c>
      <c r="C12" s="20"/>
      <c r="D12" s="10" t="s">
        <v>7</v>
      </c>
      <c r="E12" s="10" t="s">
        <v>9</v>
      </c>
      <c r="F12" s="10" t="s">
        <v>11</v>
      </c>
      <c r="G12" s="10" t="s">
        <v>12</v>
      </c>
      <c r="H12" s="10" t="s">
        <v>14</v>
      </c>
      <c r="I12" s="10" t="s">
        <v>26</v>
      </c>
      <c r="J12" s="10" t="s">
        <v>19</v>
      </c>
    </row>
    <row r="13" spans="2:10">
      <c r="B13" s="17" t="s">
        <v>2</v>
      </c>
      <c r="C13" s="13" t="s">
        <v>24</v>
      </c>
      <c r="D13" s="14">
        <v>0</v>
      </c>
      <c r="E13" s="14">
        <v>8.6999999999999994E-2</v>
      </c>
      <c r="F13" s="14">
        <v>0.495</v>
      </c>
      <c r="G13" s="14">
        <v>0.221</v>
      </c>
      <c r="H13" s="14">
        <v>0.32</v>
      </c>
      <c r="I13" s="14">
        <v>4.2999999999999997E-2</v>
      </c>
      <c r="J13" s="14">
        <v>0.14799999999999999</v>
      </c>
    </row>
    <row r="14" spans="2:10">
      <c r="B14" s="18"/>
      <c r="C14" s="12" t="s">
        <v>31</v>
      </c>
      <c r="D14" s="9">
        <v>0</v>
      </c>
      <c r="E14" s="9">
        <v>0.36199999999999999</v>
      </c>
      <c r="F14" s="9">
        <v>0.20200000000000001</v>
      </c>
      <c r="G14" s="9">
        <v>0.25600000000000001</v>
      </c>
      <c r="H14" s="9">
        <v>0.38700000000000001</v>
      </c>
      <c r="I14" s="9">
        <v>0.08</v>
      </c>
      <c r="J14" s="9">
        <v>0.16200000000000001</v>
      </c>
    </row>
    <row r="17" spans="2:10">
      <c r="B17" s="19" t="s">
        <v>25</v>
      </c>
      <c r="C17" s="20"/>
      <c r="D17" s="10" t="s">
        <v>7</v>
      </c>
      <c r="E17" s="10" t="s">
        <v>9</v>
      </c>
      <c r="F17" s="10" t="s">
        <v>11</v>
      </c>
      <c r="G17" s="10" t="s">
        <v>12</v>
      </c>
      <c r="H17" s="10" t="s">
        <v>14</v>
      </c>
      <c r="I17" s="10" t="s">
        <v>26</v>
      </c>
      <c r="J17" s="10" t="s">
        <v>19</v>
      </c>
    </row>
    <row r="18" spans="2:10">
      <c r="B18" s="17" t="s">
        <v>3</v>
      </c>
      <c r="C18" s="13" t="s">
        <v>24</v>
      </c>
      <c r="D18" s="14">
        <v>0</v>
      </c>
      <c r="E18" s="14">
        <v>2.1000000000000001E-2</v>
      </c>
      <c r="F18" s="14">
        <v>0.51200000000000001</v>
      </c>
      <c r="G18" s="14">
        <v>0.13300000000000001</v>
      </c>
      <c r="H18" s="14">
        <v>0.77200000000000002</v>
      </c>
      <c r="I18" s="14">
        <v>0</v>
      </c>
      <c r="J18" s="14">
        <v>0</v>
      </c>
    </row>
    <row r="19" spans="2:10">
      <c r="B19" s="18"/>
      <c r="C19" s="12" t="s">
        <v>31</v>
      </c>
      <c r="D19" s="9">
        <v>0</v>
      </c>
      <c r="E19" s="9">
        <v>0.18</v>
      </c>
      <c r="F19" s="9">
        <v>8.8999999999999996E-2</v>
      </c>
      <c r="G19" s="9">
        <v>0.30399999999999999</v>
      </c>
      <c r="H19" s="9">
        <v>1.3959999999999999</v>
      </c>
      <c r="I19" s="9">
        <v>0</v>
      </c>
      <c r="J19" s="9">
        <v>0</v>
      </c>
    </row>
    <row r="22" spans="2:10">
      <c r="B22" s="19" t="s">
        <v>25</v>
      </c>
      <c r="C22" s="20"/>
      <c r="D22" s="10" t="s">
        <v>8</v>
      </c>
      <c r="E22" s="10" t="s">
        <v>10</v>
      </c>
      <c r="F22" s="10" t="s">
        <v>11</v>
      </c>
      <c r="G22" s="10" t="s">
        <v>13</v>
      </c>
      <c r="H22" s="10" t="s">
        <v>15</v>
      </c>
      <c r="I22" s="10" t="s">
        <v>17</v>
      </c>
      <c r="J22" s="10" t="s">
        <v>19</v>
      </c>
    </row>
    <row r="23" spans="2:10">
      <c r="B23" s="17" t="s">
        <v>4</v>
      </c>
      <c r="C23" s="13" t="s">
        <v>24</v>
      </c>
      <c r="D23" s="14">
        <v>0</v>
      </c>
      <c r="E23" s="14">
        <v>5.2999999999999999E-2</v>
      </c>
      <c r="F23" s="14">
        <v>0.57399999999999995</v>
      </c>
      <c r="G23" s="14">
        <v>0.27300000000000002</v>
      </c>
      <c r="H23" s="14">
        <v>9.8000000000000004E-2</v>
      </c>
      <c r="I23" s="14">
        <v>7.0000000000000001E-3</v>
      </c>
      <c r="J23" s="14">
        <v>4.0000000000000001E-3</v>
      </c>
    </row>
    <row r="24" spans="2:10">
      <c r="B24" s="18"/>
      <c r="C24" s="12" t="s">
        <v>31</v>
      </c>
      <c r="D24" s="9">
        <v>0</v>
      </c>
      <c r="E24" s="9">
        <v>0.65600000000000003</v>
      </c>
      <c r="F24" s="9">
        <v>0.40899999999999997</v>
      </c>
      <c r="G24" s="9">
        <v>0.23</v>
      </c>
      <c r="H24" s="9">
        <v>0.22800000000000001</v>
      </c>
      <c r="I24" s="9">
        <v>0.01</v>
      </c>
      <c r="J24" s="9">
        <v>0.01</v>
      </c>
    </row>
    <row r="27" spans="2:10">
      <c r="B27" s="19" t="s">
        <v>25</v>
      </c>
      <c r="C27" s="20"/>
      <c r="D27" s="10" t="s">
        <v>8</v>
      </c>
      <c r="E27" s="10" t="s">
        <v>10</v>
      </c>
      <c r="F27" s="10" t="s">
        <v>11</v>
      </c>
      <c r="G27" s="10" t="s">
        <v>13</v>
      </c>
      <c r="H27" s="10" t="s">
        <v>15</v>
      </c>
      <c r="I27" s="10" t="s">
        <v>17</v>
      </c>
      <c r="J27" s="10" t="s">
        <v>19</v>
      </c>
    </row>
    <row r="28" spans="2:10">
      <c r="B28" s="17" t="s">
        <v>29</v>
      </c>
      <c r="C28" s="13" t="s">
        <v>24</v>
      </c>
      <c r="D28" s="14">
        <v>0</v>
      </c>
      <c r="E28" s="14">
        <v>0.128</v>
      </c>
      <c r="F28" s="14">
        <v>0.48</v>
      </c>
      <c r="G28" s="14">
        <v>0.23100000000000001</v>
      </c>
      <c r="H28" s="14">
        <v>0.57099999999999995</v>
      </c>
      <c r="I28" s="14">
        <v>1.7000000000000001E-2</v>
      </c>
      <c r="J28" s="14">
        <v>6.0000000000000001E-3</v>
      </c>
    </row>
    <row r="29" spans="2:10">
      <c r="B29" s="18"/>
      <c r="C29" s="12" t="s">
        <v>31</v>
      </c>
      <c r="D29" s="9">
        <v>2E-3</v>
      </c>
      <c r="E29" s="9">
        <v>0.67</v>
      </c>
      <c r="F29" s="9">
        <v>0.40400000000000003</v>
      </c>
      <c r="G29" s="9">
        <v>0.28799999999999998</v>
      </c>
      <c r="H29" s="9">
        <v>2.3359999999999999</v>
      </c>
      <c r="I29" s="9">
        <v>3.4000000000000002E-2</v>
      </c>
      <c r="J29" s="9">
        <v>1.4E-2</v>
      </c>
    </row>
    <row r="32" spans="2:10">
      <c r="B32" s="19" t="s">
        <v>25</v>
      </c>
      <c r="C32" s="20"/>
      <c r="D32" s="10" t="s">
        <v>8</v>
      </c>
      <c r="E32" s="10" t="s">
        <v>10</v>
      </c>
      <c r="F32" s="10" t="s">
        <v>11</v>
      </c>
      <c r="G32" s="10" t="s">
        <v>13</v>
      </c>
      <c r="H32" s="10" t="s">
        <v>15</v>
      </c>
      <c r="I32" s="10" t="s">
        <v>17</v>
      </c>
      <c r="J32" s="10" t="s">
        <v>19</v>
      </c>
    </row>
    <row r="33" spans="2:10">
      <c r="B33" s="17" t="s">
        <v>30</v>
      </c>
      <c r="C33" s="13" t="s">
        <v>24</v>
      </c>
      <c r="D33" s="14">
        <v>0</v>
      </c>
      <c r="E33" s="14">
        <v>6.8000000000000005E-2</v>
      </c>
      <c r="F33" s="14">
        <v>0.46899999999999997</v>
      </c>
      <c r="G33" s="14">
        <v>0.245</v>
      </c>
      <c r="H33" s="14">
        <v>0.98599999999999999</v>
      </c>
      <c r="I33" s="14">
        <v>3.5000000000000003E-2</v>
      </c>
      <c r="J33" s="14">
        <v>0</v>
      </c>
    </row>
    <row r="34" spans="2:10">
      <c r="B34" s="18"/>
      <c r="C34" s="12" t="s">
        <v>31</v>
      </c>
      <c r="D34" s="9">
        <v>0</v>
      </c>
      <c r="E34" s="9">
        <v>0.76700000000000002</v>
      </c>
      <c r="F34" s="9">
        <v>0.47199999999999998</v>
      </c>
      <c r="G34" s="9">
        <v>0.379</v>
      </c>
      <c r="H34" s="9">
        <v>1.4119999999999999</v>
      </c>
      <c r="I34" s="9">
        <v>5.6000000000000001E-2</v>
      </c>
      <c r="J34" s="9">
        <v>0</v>
      </c>
    </row>
  </sheetData>
  <sheetProtection password="F834" sheet="1" objects="1" scenarios="1" selectLockedCells="1" selectUnlockedCells="1"/>
  <mergeCells count="14">
    <mergeCell ref="B32:C32"/>
    <mergeCell ref="B33:B34"/>
    <mergeCell ref="B17:C17"/>
    <mergeCell ref="B18:B19"/>
    <mergeCell ref="B22:C22"/>
    <mergeCell ref="B23:B24"/>
    <mergeCell ref="B27:C27"/>
    <mergeCell ref="B28:B29"/>
    <mergeCell ref="B13:B14"/>
    <mergeCell ref="B2:C2"/>
    <mergeCell ref="B3:B4"/>
    <mergeCell ref="B7:C7"/>
    <mergeCell ref="B8:B9"/>
    <mergeCell ref="B12:C1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zoomScale="80" zoomScaleNormal="80" workbookViewId="0">
      <selection activeCell="U14" sqref="U14"/>
    </sheetView>
  </sheetViews>
  <sheetFormatPr defaultRowHeight="15"/>
  <sheetData/>
  <sheetProtection password="F834" sheet="1" objects="1" scenarios="1" selectLockedCells="1" selectUn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P12" sqref="P12"/>
    </sheetView>
  </sheetViews>
  <sheetFormatPr defaultRowHeight="15"/>
  <sheetData/>
  <sheetProtection password="F834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8</vt:i4>
      </vt:variant>
    </vt:vector>
  </HeadingPairs>
  <TitlesOfParts>
    <vt:vector size="8" baseType="lpstr">
      <vt:lpstr>Zlato</vt:lpstr>
      <vt:lpstr>Grafy_zlato</vt:lpstr>
      <vt:lpstr>Striebro</vt:lpstr>
      <vt:lpstr>Grafy_striebro</vt:lpstr>
      <vt:lpstr>Bronzy</vt:lpstr>
      <vt:lpstr>Grafy_bronz</vt:lpstr>
      <vt:lpstr>Peňažný provinciálny obeh</vt:lpstr>
      <vt:lpstr>Peňažný obeh v barbariku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2020-03-31T18:24:01Z</dcterms:modified>
</cp:coreProperties>
</file>