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acda0caa1e55c2/Рабочий стол/"/>
    </mc:Choice>
  </mc:AlternateContent>
  <xr:revisionPtr revIDLastSave="8142" documentId="8_{DFD0A691-E728-436F-A696-81CCB10161E5}" xr6:coauthVersionLast="46" xr6:coauthVersionMax="46" xr10:uidLastSave="{6AF5EC7D-85C3-403A-AECD-50516B1BAD4D}"/>
  <bookViews>
    <workbookView xWindow="-110" yWindow="-110" windowWidth="19420" windowHeight="10420" tabRatio="608" firstSheet="3" activeTab="4" xr2:uid="{FD76D0A4-5F8A-4E3A-8EA0-DFBDC7A80C6A}"/>
  </bookViews>
  <sheets>
    <sheet name="ROE" sheetId="1" r:id="rId1"/>
    <sheet name="Debt-to-Equity" sheetId="2" r:id="rId2"/>
    <sheet name="WACC" sheetId="9" r:id="rId3"/>
    <sheet name="FCFF" sheetId="3" r:id="rId4"/>
    <sheet name="FCFE" sheetId="5" r:id="rId5"/>
    <sheet name="Price-to-Earnings" sheetId="11" r:id="rId6"/>
    <sheet name="Price-to-Book Value" sheetId="19" r:id="rId7"/>
    <sheet name="Price-to-Sales" sheetId="20" r:id="rId8"/>
    <sheet name="Price-to-Cash Flow" sheetId="22" r:id="rId9"/>
  </sheets>
  <definedNames>
    <definedName name="_ftn1" localSheetId="3">FCFF!$A$88</definedName>
    <definedName name="_ftnref1" localSheetId="3">FCFF!$C$76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K13" i="3" s="1"/>
  <c r="E5" i="22"/>
  <c r="F5" i="22" s="1"/>
  <c r="E6" i="22"/>
  <c r="F6" i="22" s="1"/>
  <c r="E7" i="22"/>
  <c r="F7" i="22" s="1"/>
  <c r="E4" i="22"/>
  <c r="F4" i="22" s="1"/>
  <c r="E7" i="20"/>
  <c r="F7" i="20" s="1"/>
  <c r="E6" i="20"/>
  <c r="F6" i="20" s="1"/>
  <c r="E5" i="20"/>
  <c r="F5" i="20" s="1"/>
  <c r="E4" i="20"/>
  <c r="F4" i="20" s="1"/>
  <c r="H26" i="19"/>
  <c r="H27" i="19" s="1"/>
  <c r="D8" i="19" s="1"/>
  <c r="H20" i="19"/>
  <c r="H21" i="19" s="1"/>
  <c r="D7" i="19" s="1"/>
  <c r="H13" i="19"/>
  <c r="H14" i="19" s="1"/>
  <c r="D6" i="19" s="1"/>
  <c r="K5" i="9"/>
  <c r="H6" i="19"/>
  <c r="H7" i="19" s="1"/>
  <c r="D5" i="19" s="1"/>
  <c r="D7" i="11"/>
  <c r="D6" i="11"/>
  <c r="D5" i="11"/>
  <c r="D4" i="11"/>
  <c r="K19" i="9"/>
  <c r="H28" i="9"/>
  <c r="B27" i="9" s="1"/>
  <c r="K12" i="9"/>
  <c r="I5" i="5"/>
  <c r="D5" i="2"/>
  <c r="D6" i="2"/>
  <c r="D7" i="2"/>
  <c r="D8" i="2"/>
  <c r="D9" i="2"/>
  <c r="D10" i="2"/>
  <c r="D11" i="2"/>
  <c r="D12" i="2"/>
  <c r="D13" i="2"/>
  <c r="D14" i="2"/>
  <c r="I55" i="3"/>
  <c r="I38" i="3"/>
  <c r="I21" i="3"/>
  <c r="I5" i="3"/>
  <c r="I21" i="5"/>
  <c r="I37" i="5"/>
  <c r="I54" i="5"/>
  <c r="F37" i="5"/>
  <c r="H21" i="9"/>
  <c r="B20" i="9" s="1"/>
  <c r="H14" i="9"/>
  <c r="F21" i="5" s="1"/>
  <c r="H7" i="9"/>
  <c r="F5" i="5" s="1"/>
  <c r="K29" i="5"/>
  <c r="K62" i="5"/>
  <c r="C46" i="5"/>
  <c r="D46" i="5"/>
  <c r="E46" i="5"/>
  <c r="F46" i="5"/>
  <c r="G46" i="5"/>
  <c r="H46" i="5"/>
  <c r="I46" i="5"/>
  <c r="J46" i="5"/>
  <c r="K46" i="5"/>
  <c r="B46" i="5"/>
  <c r="E27" i="9"/>
  <c r="B25" i="9" s="1"/>
  <c r="E6" i="9"/>
  <c r="B4" i="9" s="1"/>
  <c r="E13" i="9"/>
  <c r="B11" i="9" s="1"/>
  <c r="E20" i="9"/>
  <c r="B18" i="9" s="1"/>
  <c r="AC9" i="3"/>
  <c r="AC11" i="3" s="1"/>
  <c r="AC13" i="3" s="1"/>
  <c r="AC15" i="3" s="1"/>
  <c r="AC16" i="3" s="1"/>
  <c r="J10" i="3" s="1"/>
  <c r="J13" i="3" s="1"/>
  <c r="AD9" i="3"/>
  <c r="AD11" i="3" s="1"/>
  <c r="AD13" i="3" s="1"/>
  <c r="AD59" i="3"/>
  <c r="AD61" i="3" s="1"/>
  <c r="AD63" i="3" s="1"/>
  <c r="AD65" i="3" s="1"/>
  <c r="AD66" i="3" s="1"/>
  <c r="AC59" i="3"/>
  <c r="AC61" i="3" s="1"/>
  <c r="AC63" i="3" s="1"/>
  <c r="AC65" i="3" s="1"/>
  <c r="AC66" i="3" s="1"/>
  <c r="AB59" i="3"/>
  <c r="AB61" i="3" s="1"/>
  <c r="AB63" i="3" s="1"/>
  <c r="AB65" i="3" s="1"/>
  <c r="AA59" i="3"/>
  <c r="AA61" i="3" s="1"/>
  <c r="AA63" i="3" s="1"/>
  <c r="AA65" i="3" s="1"/>
  <c r="Z59" i="3"/>
  <c r="Z61" i="3" s="1"/>
  <c r="Z63" i="3" s="1"/>
  <c r="Z65" i="3" s="1"/>
  <c r="Z66" i="3" s="1"/>
  <c r="Y59" i="3"/>
  <c r="Y61" i="3" s="1"/>
  <c r="Y63" i="3" s="1"/>
  <c r="Y65" i="3" s="1"/>
  <c r="Y66" i="3" s="1"/>
  <c r="X59" i="3"/>
  <c r="X61" i="3" s="1"/>
  <c r="X63" i="3" s="1"/>
  <c r="X65" i="3" s="1"/>
  <c r="W59" i="3"/>
  <c r="W61" i="3" s="1"/>
  <c r="W63" i="3" s="1"/>
  <c r="W65" i="3" s="1"/>
  <c r="V59" i="3"/>
  <c r="V61" i="3" s="1"/>
  <c r="V63" i="3" s="1"/>
  <c r="V65" i="3" s="1"/>
  <c r="V66" i="3" s="1"/>
  <c r="U59" i="3"/>
  <c r="U61" i="3" s="1"/>
  <c r="U63" i="3" s="1"/>
  <c r="U65" i="3" s="1"/>
  <c r="U66" i="3" s="1"/>
  <c r="U43" i="3"/>
  <c r="U45" i="3" s="1"/>
  <c r="U47" i="3" s="1"/>
  <c r="U49" i="3" s="1"/>
  <c r="V43" i="3"/>
  <c r="V45" i="3" s="1"/>
  <c r="V47" i="3" s="1"/>
  <c r="V49" i="3" s="1"/>
  <c r="W43" i="3"/>
  <c r="W45" i="3" s="1"/>
  <c r="W47" i="3" s="1"/>
  <c r="W49" i="3" s="1"/>
  <c r="W50" i="3" s="1"/>
  <c r="X43" i="3"/>
  <c r="X45" i="3" s="1"/>
  <c r="X47" i="3" s="1"/>
  <c r="X49" i="3" s="1"/>
  <c r="Y43" i="3"/>
  <c r="Y45" i="3" s="1"/>
  <c r="Y47" i="3" s="1"/>
  <c r="Y49" i="3" s="1"/>
  <c r="Y50" i="3" s="1"/>
  <c r="Z43" i="3"/>
  <c r="Z45" i="3" s="1"/>
  <c r="Z47" i="3" s="1"/>
  <c r="Z49" i="3" s="1"/>
  <c r="AA43" i="3"/>
  <c r="AA45" i="3" s="1"/>
  <c r="AA47" i="3" s="1"/>
  <c r="AA49" i="3" s="1"/>
  <c r="AA50" i="3" s="1"/>
  <c r="AB43" i="3"/>
  <c r="AB45" i="3" s="1"/>
  <c r="AB47" i="3" s="1"/>
  <c r="AB49" i="3" s="1"/>
  <c r="AC43" i="3"/>
  <c r="AC45" i="3" s="1"/>
  <c r="AC47" i="3" s="1"/>
  <c r="AC49" i="3" s="1"/>
  <c r="AC50" i="3" s="1"/>
  <c r="AD43" i="3"/>
  <c r="AD45" i="3" s="1"/>
  <c r="AD47" i="3" s="1"/>
  <c r="AD49" i="3" s="1"/>
  <c r="AD26" i="3"/>
  <c r="AD28" i="3" s="1"/>
  <c r="AD30" i="3" s="1"/>
  <c r="AD32" i="3" s="1"/>
  <c r="AD33" i="3" s="1"/>
  <c r="K27" i="3" s="1"/>
  <c r="K30" i="3" s="1"/>
  <c r="AC26" i="3"/>
  <c r="AC28" i="3" s="1"/>
  <c r="AC30" i="3" s="1"/>
  <c r="AC32" i="3" s="1"/>
  <c r="AC33" i="3" s="1"/>
  <c r="J27" i="3" s="1"/>
  <c r="J30" i="3" s="1"/>
  <c r="AB26" i="3"/>
  <c r="AB28" i="3" s="1"/>
  <c r="AB30" i="3" s="1"/>
  <c r="AB32" i="3" s="1"/>
  <c r="AB33" i="3" s="1"/>
  <c r="I27" i="3" s="1"/>
  <c r="I30" i="3" s="1"/>
  <c r="AA26" i="3"/>
  <c r="AA28" i="3" s="1"/>
  <c r="AA30" i="3" s="1"/>
  <c r="AA32" i="3" s="1"/>
  <c r="AA33" i="3" s="1"/>
  <c r="H27" i="3" s="1"/>
  <c r="H30" i="3" s="1"/>
  <c r="Z26" i="3"/>
  <c r="Z28" i="3" s="1"/>
  <c r="Z30" i="3" s="1"/>
  <c r="Z32" i="3" s="1"/>
  <c r="Z33" i="3" s="1"/>
  <c r="G27" i="3" s="1"/>
  <c r="G30" i="3" s="1"/>
  <c r="Y26" i="3"/>
  <c r="Y28" i="3" s="1"/>
  <c r="Y30" i="3" s="1"/>
  <c r="Y32" i="3" s="1"/>
  <c r="Y33" i="3" s="1"/>
  <c r="F27" i="3" s="1"/>
  <c r="F30" i="3" s="1"/>
  <c r="X26" i="3"/>
  <c r="X28" i="3" s="1"/>
  <c r="X30" i="3" s="1"/>
  <c r="X32" i="3" s="1"/>
  <c r="X33" i="3" s="1"/>
  <c r="E27" i="3" s="1"/>
  <c r="E30" i="3" s="1"/>
  <c r="W26" i="3"/>
  <c r="W28" i="3" s="1"/>
  <c r="W30" i="3" s="1"/>
  <c r="W32" i="3" s="1"/>
  <c r="W33" i="3" s="1"/>
  <c r="D27" i="3" s="1"/>
  <c r="D30" i="3" s="1"/>
  <c r="V26" i="3"/>
  <c r="V28" i="3" s="1"/>
  <c r="V30" i="3" s="1"/>
  <c r="V32" i="3" s="1"/>
  <c r="V33" i="3" s="1"/>
  <c r="C27" i="3" s="1"/>
  <c r="C30" i="3" s="1"/>
  <c r="U26" i="3"/>
  <c r="U28" i="3" s="1"/>
  <c r="U30" i="3" s="1"/>
  <c r="U32" i="3" s="1"/>
  <c r="U33" i="3" s="1"/>
  <c r="B27" i="3" s="1"/>
  <c r="B30" i="3" s="1"/>
  <c r="AB9" i="3"/>
  <c r="AB11" i="3" s="1"/>
  <c r="AA9" i="3"/>
  <c r="AA11" i="3" s="1"/>
  <c r="Z9" i="3"/>
  <c r="Z11" i="3" s="1"/>
  <c r="Z13" i="3" s="1"/>
  <c r="Y9" i="3"/>
  <c r="Y11" i="3" s="1"/>
  <c r="X9" i="3"/>
  <c r="X11" i="3" s="1"/>
  <c r="W9" i="3"/>
  <c r="W11" i="3" s="1"/>
  <c r="V9" i="3"/>
  <c r="V11" i="3" s="1"/>
  <c r="V13" i="3" s="1"/>
  <c r="U9" i="3"/>
  <c r="U11" i="3" s="1"/>
  <c r="U13" i="3" s="1"/>
  <c r="J62" i="5"/>
  <c r="I62" i="5"/>
  <c r="H62" i="5"/>
  <c r="G62" i="5"/>
  <c r="F62" i="5"/>
  <c r="E62" i="5"/>
  <c r="D62" i="5"/>
  <c r="C62" i="5"/>
  <c r="B62" i="5"/>
  <c r="C29" i="5"/>
  <c r="D29" i="5"/>
  <c r="E29" i="5"/>
  <c r="F29" i="5"/>
  <c r="G29" i="5"/>
  <c r="H29" i="5"/>
  <c r="I29" i="5"/>
  <c r="J29" i="5"/>
  <c r="B29" i="5"/>
  <c r="C13" i="5"/>
  <c r="D13" i="5"/>
  <c r="E13" i="5"/>
  <c r="F13" i="5"/>
  <c r="G13" i="5"/>
  <c r="H13" i="5"/>
  <c r="I13" i="5"/>
  <c r="J13" i="5"/>
  <c r="K13" i="5"/>
  <c r="B13" i="5"/>
  <c r="D28" i="2"/>
  <c r="D27" i="2"/>
  <c r="D26" i="2"/>
  <c r="D25" i="2"/>
  <c r="D24" i="2"/>
  <c r="D23" i="2"/>
  <c r="D22" i="2"/>
  <c r="D21" i="2"/>
  <c r="D20" i="2"/>
  <c r="D19" i="2"/>
  <c r="D56" i="2"/>
  <c r="D55" i="2"/>
  <c r="D54" i="2"/>
  <c r="D53" i="2"/>
  <c r="D52" i="2"/>
  <c r="D51" i="2"/>
  <c r="D50" i="2"/>
  <c r="D49" i="2"/>
  <c r="D48" i="2"/>
  <c r="D47" i="2"/>
  <c r="D42" i="2"/>
  <c r="D41" i="2"/>
  <c r="D40" i="2"/>
  <c r="D39" i="2"/>
  <c r="D38" i="2"/>
  <c r="D37" i="2"/>
  <c r="D36" i="2"/>
  <c r="D35" i="2"/>
  <c r="D34" i="2"/>
  <c r="D33" i="2"/>
  <c r="I56" i="1"/>
  <c r="J56" i="1" s="1"/>
  <c r="F56" i="1"/>
  <c r="D56" i="1"/>
  <c r="I55" i="1"/>
  <c r="J55" i="1" s="1"/>
  <c r="F55" i="1"/>
  <c r="D55" i="1"/>
  <c r="I54" i="1"/>
  <c r="J54" i="1" s="1"/>
  <c r="F54" i="1"/>
  <c r="D54" i="1"/>
  <c r="I53" i="1"/>
  <c r="J53" i="1" s="1"/>
  <c r="F53" i="1"/>
  <c r="D53" i="1"/>
  <c r="I52" i="1"/>
  <c r="J52" i="1" s="1"/>
  <c r="F52" i="1"/>
  <c r="D52" i="1"/>
  <c r="I51" i="1"/>
  <c r="J51" i="1" s="1"/>
  <c r="F51" i="1"/>
  <c r="D51" i="1"/>
  <c r="I50" i="1"/>
  <c r="J50" i="1" s="1"/>
  <c r="F50" i="1"/>
  <c r="D50" i="1"/>
  <c r="I49" i="1"/>
  <c r="J49" i="1" s="1"/>
  <c r="F49" i="1"/>
  <c r="D49" i="1"/>
  <c r="I48" i="1"/>
  <c r="J48" i="1" s="1"/>
  <c r="F48" i="1"/>
  <c r="D48" i="1"/>
  <c r="I47" i="1"/>
  <c r="J47" i="1" s="1"/>
  <c r="F47" i="1"/>
  <c r="D47" i="1"/>
  <c r="I42" i="1"/>
  <c r="J42" i="1" s="1"/>
  <c r="F42" i="1"/>
  <c r="D42" i="1"/>
  <c r="I41" i="1"/>
  <c r="J41" i="1" s="1"/>
  <c r="F41" i="1"/>
  <c r="D41" i="1"/>
  <c r="I40" i="1"/>
  <c r="J40" i="1" s="1"/>
  <c r="F40" i="1"/>
  <c r="D40" i="1"/>
  <c r="I39" i="1"/>
  <c r="J39" i="1" s="1"/>
  <c r="F39" i="1"/>
  <c r="D39" i="1"/>
  <c r="I38" i="1"/>
  <c r="J38" i="1" s="1"/>
  <c r="F38" i="1"/>
  <c r="D38" i="1"/>
  <c r="I37" i="1"/>
  <c r="J37" i="1" s="1"/>
  <c r="F37" i="1"/>
  <c r="D37" i="1"/>
  <c r="I36" i="1"/>
  <c r="J36" i="1" s="1"/>
  <c r="F36" i="1"/>
  <c r="D36" i="1"/>
  <c r="I35" i="1"/>
  <c r="J35" i="1" s="1"/>
  <c r="F35" i="1"/>
  <c r="D35" i="1"/>
  <c r="I34" i="1"/>
  <c r="J34" i="1" s="1"/>
  <c r="F34" i="1"/>
  <c r="D34" i="1"/>
  <c r="I33" i="1"/>
  <c r="J33" i="1" s="1"/>
  <c r="F33" i="1"/>
  <c r="D33" i="1"/>
  <c r="I14" i="1"/>
  <c r="J14" i="1" s="1"/>
  <c r="F14" i="1"/>
  <c r="D14" i="1"/>
  <c r="I13" i="1"/>
  <c r="J13" i="1" s="1"/>
  <c r="F13" i="1"/>
  <c r="D13" i="1"/>
  <c r="I12" i="1"/>
  <c r="J12" i="1" s="1"/>
  <c r="F12" i="1"/>
  <c r="D12" i="1"/>
  <c r="K12" i="1" s="1"/>
  <c r="I11" i="1"/>
  <c r="J11" i="1" s="1"/>
  <c r="F11" i="1"/>
  <c r="D11" i="1"/>
  <c r="I10" i="1"/>
  <c r="J10" i="1" s="1"/>
  <c r="F10" i="1"/>
  <c r="D10" i="1"/>
  <c r="I9" i="1"/>
  <c r="J9" i="1" s="1"/>
  <c r="F9" i="1"/>
  <c r="D9" i="1"/>
  <c r="I8" i="1"/>
  <c r="J8" i="1" s="1"/>
  <c r="F8" i="1"/>
  <c r="D8" i="1"/>
  <c r="K8" i="1" s="1"/>
  <c r="I7" i="1"/>
  <c r="J7" i="1" s="1"/>
  <c r="F7" i="1"/>
  <c r="D7" i="1"/>
  <c r="I6" i="1"/>
  <c r="J6" i="1" s="1"/>
  <c r="F6" i="1"/>
  <c r="D6" i="1"/>
  <c r="I5" i="1"/>
  <c r="J5" i="1" s="1"/>
  <c r="F5" i="1"/>
  <c r="D5" i="1"/>
  <c r="I28" i="1"/>
  <c r="J28" i="1" s="1"/>
  <c r="F28" i="1"/>
  <c r="D28" i="1"/>
  <c r="K28" i="1" s="1"/>
  <c r="I27" i="1"/>
  <c r="J27" i="1" s="1"/>
  <c r="F27" i="1"/>
  <c r="D27" i="1"/>
  <c r="I26" i="1"/>
  <c r="J26" i="1" s="1"/>
  <c r="F26" i="1"/>
  <c r="D26" i="1"/>
  <c r="I25" i="1"/>
  <c r="J25" i="1" s="1"/>
  <c r="F25" i="1"/>
  <c r="D25" i="1"/>
  <c r="I24" i="1"/>
  <c r="J24" i="1" s="1"/>
  <c r="F24" i="1"/>
  <c r="D24" i="1"/>
  <c r="K24" i="1" s="1"/>
  <c r="I23" i="1"/>
  <c r="J23" i="1" s="1"/>
  <c r="F23" i="1"/>
  <c r="D23" i="1"/>
  <c r="K23" i="1" s="1"/>
  <c r="I22" i="1"/>
  <c r="J22" i="1" s="1"/>
  <c r="F22" i="1"/>
  <c r="D22" i="1"/>
  <c r="I21" i="1"/>
  <c r="J21" i="1" s="1"/>
  <c r="F21" i="1"/>
  <c r="D21" i="1"/>
  <c r="I20" i="1"/>
  <c r="J20" i="1" s="1"/>
  <c r="F20" i="1"/>
  <c r="D20" i="1"/>
  <c r="K20" i="1" s="1"/>
  <c r="I19" i="1"/>
  <c r="J19" i="1" s="1"/>
  <c r="F19" i="1"/>
  <c r="D19" i="1"/>
  <c r="K19" i="1" s="1"/>
  <c r="AD50" i="3" l="1"/>
  <c r="K44" i="3" s="1"/>
  <c r="K47" i="3" s="1"/>
  <c r="Z50" i="3"/>
  <c r="G44" i="3" s="1"/>
  <c r="G47" i="3" s="1"/>
  <c r="V50" i="3"/>
  <c r="C44" i="3" s="1"/>
  <c r="C47" i="3" s="1"/>
  <c r="U50" i="3"/>
  <c r="B44" i="3" s="1"/>
  <c r="B47" i="3" s="1"/>
  <c r="AB66" i="3"/>
  <c r="I60" i="3" s="1"/>
  <c r="I63" i="3" s="1"/>
  <c r="X66" i="3"/>
  <c r="E60" i="3" s="1"/>
  <c r="E63" i="3" s="1"/>
  <c r="H44" i="3"/>
  <c r="H47" i="3" s="1"/>
  <c r="D44" i="3"/>
  <c r="D47" i="3" s="1"/>
  <c r="C60" i="3"/>
  <c r="C63" i="3" s="1"/>
  <c r="G60" i="3"/>
  <c r="G63" i="3" s="1"/>
  <c r="K60" i="3"/>
  <c r="K63" i="3" s="1"/>
  <c r="AB50" i="3"/>
  <c r="I44" i="3" s="1"/>
  <c r="I47" i="3" s="1"/>
  <c r="X50" i="3"/>
  <c r="E44" i="3" s="1"/>
  <c r="E47" i="3" s="1"/>
  <c r="AA66" i="3"/>
  <c r="H60" i="3" s="1"/>
  <c r="H63" i="3" s="1"/>
  <c r="W66" i="3"/>
  <c r="D60" i="3" s="1"/>
  <c r="D63" i="3" s="1"/>
  <c r="F60" i="3"/>
  <c r="F63" i="3" s="1"/>
  <c r="J60" i="3"/>
  <c r="J63" i="3" s="1"/>
  <c r="J44" i="3"/>
  <c r="J47" i="3" s="1"/>
  <c r="F44" i="3"/>
  <c r="F47" i="3" s="1"/>
  <c r="B60" i="3"/>
  <c r="B63" i="3" s="1"/>
  <c r="F54" i="5"/>
  <c r="Q62" i="5" s="1"/>
  <c r="B6" i="9"/>
  <c r="D15" i="2"/>
  <c r="D57" i="2"/>
  <c r="K21" i="1"/>
  <c r="K25" i="1"/>
  <c r="K27" i="1"/>
  <c r="K7" i="1"/>
  <c r="K15" i="1" s="1"/>
  <c r="K9" i="1"/>
  <c r="K11" i="1"/>
  <c r="K13" i="1"/>
  <c r="K26" i="1"/>
  <c r="K6" i="1"/>
  <c r="K10" i="1"/>
  <c r="K14" i="1"/>
  <c r="K22" i="1"/>
  <c r="K29" i="1" s="1"/>
  <c r="K5" i="1"/>
  <c r="AD17" i="3"/>
  <c r="K6" i="9" s="1"/>
  <c r="K7" i="9" s="1"/>
  <c r="B7" i="9" s="1"/>
  <c r="AD51" i="3"/>
  <c r="K20" i="9" s="1"/>
  <c r="K21" i="9" s="1"/>
  <c r="B21" i="9" s="1"/>
  <c r="B22" i="9" s="1"/>
  <c r="F38" i="3" s="1"/>
  <c r="B13" i="9"/>
  <c r="D43" i="2"/>
  <c r="D29" i="2"/>
  <c r="AD34" i="3"/>
  <c r="K13" i="9" s="1"/>
  <c r="K14" i="9" s="1"/>
  <c r="B14" i="9" s="1"/>
  <c r="AD67" i="3"/>
  <c r="K27" i="9" s="1"/>
  <c r="K28" i="9" s="1"/>
  <c r="B28" i="9" s="1"/>
  <c r="B29" i="9" s="1"/>
  <c r="F55" i="3" s="1"/>
  <c r="K52" i="1"/>
  <c r="K56" i="1"/>
  <c r="K38" i="1"/>
  <c r="AA13" i="3"/>
  <c r="W13" i="3"/>
  <c r="Y13" i="3"/>
  <c r="V15" i="3"/>
  <c r="V16" i="3" s="1"/>
  <c r="C10" i="3" s="1"/>
  <c r="C13" i="3" s="1"/>
  <c r="Z15" i="3"/>
  <c r="Z16" i="3" s="1"/>
  <c r="G10" i="3" s="1"/>
  <c r="G13" i="3" s="1"/>
  <c r="AB13" i="3"/>
  <c r="X13" i="3"/>
  <c r="U15" i="3"/>
  <c r="U16" i="3" s="1"/>
  <c r="B10" i="3" s="1"/>
  <c r="B13" i="3" s="1"/>
  <c r="K51" i="1"/>
  <c r="K49" i="1"/>
  <c r="K54" i="1"/>
  <c r="K50" i="1"/>
  <c r="K48" i="1"/>
  <c r="K55" i="1"/>
  <c r="K47" i="1"/>
  <c r="K53" i="1"/>
  <c r="K33" i="1"/>
  <c r="K35" i="1"/>
  <c r="K34" i="1"/>
  <c r="K39" i="1"/>
  <c r="K40" i="1"/>
  <c r="K37" i="1"/>
  <c r="K42" i="1"/>
  <c r="K36" i="1"/>
  <c r="K41" i="1"/>
  <c r="X15" i="3" l="1"/>
  <c r="X16" i="3" s="1"/>
  <c r="E10" i="3" s="1"/>
  <c r="E13" i="3" s="1"/>
  <c r="Y15" i="3"/>
  <c r="Y16" i="3" s="1"/>
  <c r="F10" i="3" s="1"/>
  <c r="F13" i="3" s="1"/>
  <c r="AA15" i="3"/>
  <c r="AA16" i="3" s="1"/>
  <c r="H10" i="3" s="1"/>
  <c r="H13" i="3" s="1"/>
  <c r="AB15" i="3"/>
  <c r="AB16" i="3" s="1"/>
  <c r="I10" i="3" s="1"/>
  <c r="I13" i="3" s="1"/>
  <c r="W15" i="3"/>
  <c r="W16" i="3" s="1"/>
  <c r="D10" i="3" s="1"/>
  <c r="D13" i="3" s="1"/>
  <c r="B8" i="9"/>
  <c r="F5" i="3" s="1"/>
  <c r="B15" i="9"/>
  <c r="F21" i="3" s="1"/>
  <c r="K43" i="1"/>
  <c r="K57" i="1"/>
  <c r="C5" i="5"/>
  <c r="L13" i="5" s="1"/>
  <c r="M13" i="5" s="1"/>
  <c r="M14" i="5" s="1"/>
  <c r="C5" i="3"/>
  <c r="L13" i="3" s="1"/>
  <c r="C21" i="3"/>
  <c r="L30" i="3" s="1"/>
  <c r="M30" i="3" s="1"/>
  <c r="N30" i="3" s="1"/>
  <c r="O30" i="3" s="1"/>
  <c r="P30" i="3" s="1"/>
  <c r="C21" i="5"/>
  <c r="L29" i="5" s="1"/>
  <c r="Q30" i="3" l="1"/>
  <c r="Q32" i="3" s="1"/>
  <c r="C55" i="3"/>
  <c r="L63" i="3" s="1"/>
  <c r="L64" i="3" s="1"/>
  <c r="C54" i="5"/>
  <c r="L62" i="5" s="1"/>
  <c r="M29" i="5"/>
  <c r="L30" i="5"/>
  <c r="C37" i="5"/>
  <c r="L46" i="5" s="1"/>
  <c r="C38" i="3"/>
  <c r="L47" i="3" s="1"/>
  <c r="M31" i="3"/>
  <c r="P31" i="3"/>
  <c r="O31" i="3"/>
  <c r="N31" i="3"/>
  <c r="N13" i="5"/>
  <c r="O13" i="5" s="1"/>
  <c r="L47" i="5"/>
  <c r="M46" i="5"/>
  <c r="L31" i="3"/>
  <c r="L14" i="5"/>
  <c r="L14" i="3"/>
  <c r="M13" i="3"/>
  <c r="M63" i="3" l="1"/>
  <c r="M64" i="3" s="1"/>
  <c r="M47" i="3"/>
  <c r="L48" i="3"/>
  <c r="L63" i="5"/>
  <c r="M62" i="5"/>
  <c r="N29" i="5"/>
  <c r="M30" i="5"/>
  <c r="Q31" i="3"/>
  <c r="Q33" i="3" s="1"/>
  <c r="Q34" i="3" s="1"/>
  <c r="N14" i="5"/>
  <c r="N46" i="5"/>
  <c r="M47" i="5"/>
  <c r="N13" i="3"/>
  <c r="M14" i="3"/>
  <c r="P13" i="5"/>
  <c r="Q13" i="5" s="1"/>
  <c r="O14" i="5"/>
  <c r="N63" i="3" l="1"/>
  <c r="M63" i="5"/>
  <c r="N62" i="5"/>
  <c r="O29" i="5"/>
  <c r="N30" i="5"/>
  <c r="N47" i="3"/>
  <c r="M48" i="3"/>
  <c r="O46" i="5"/>
  <c r="N47" i="5"/>
  <c r="N64" i="3"/>
  <c r="O63" i="3"/>
  <c r="O13" i="3"/>
  <c r="N14" i="3"/>
  <c r="Q15" i="5"/>
  <c r="P14" i="5"/>
  <c r="Q14" i="5" s="1"/>
  <c r="P29" i="5" l="1"/>
  <c r="O30" i="5"/>
  <c r="O62" i="5"/>
  <c r="N63" i="5"/>
  <c r="O47" i="3"/>
  <c r="N48" i="3"/>
  <c r="P63" i="3"/>
  <c r="Q63" i="3" s="1"/>
  <c r="O64" i="3"/>
  <c r="P46" i="5"/>
  <c r="Q46" i="5" s="1"/>
  <c r="O47" i="5"/>
  <c r="P13" i="3"/>
  <c r="Q13" i="3" s="1"/>
  <c r="O14" i="3"/>
  <c r="Q16" i="5"/>
  <c r="Q17" i="5" s="1"/>
  <c r="P62" i="5" l="1"/>
  <c r="O63" i="5"/>
  <c r="P47" i="3"/>
  <c r="Q47" i="3" s="1"/>
  <c r="O48" i="3"/>
  <c r="Q29" i="5"/>
  <c r="Q31" i="5" s="1"/>
  <c r="P30" i="5"/>
  <c r="Q30" i="5" s="1"/>
  <c r="Q65" i="3"/>
  <c r="P64" i="3"/>
  <c r="Q64" i="3" s="1"/>
  <c r="Q66" i="3" s="1"/>
  <c r="Q48" i="5"/>
  <c r="P47" i="5"/>
  <c r="Q47" i="5" s="1"/>
  <c r="Q15" i="3"/>
  <c r="P14" i="3"/>
  <c r="Q14" i="3" s="1"/>
  <c r="Q49" i="3" l="1"/>
  <c r="P48" i="3"/>
  <c r="Q48" i="3" s="1"/>
  <c r="Q32" i="5"/>
  <c r="Q33" i="5" s="1"/>
  <c r="Q64" i="5"/>
  <c r="P63" i="5"/>
  <c r="Q63" i="5" s="1"/>
  <c r="Q67" i="3"/>
  <c r="Q16" i="3"/>
  <c r="Q17" i="3" s="1"/>
  <c r="Q49" i="5"/>
  <c r="Q50" i="5" s="1"/>
  <c r="Q50" i="3" l="1"/>
  <c r="Q51" i="3" s="1"/>
  <c r="Q65" i="5"/>
  <c r="Q66" i="5" s="1"/>
</calcChain>
</file>

<file path=xl/sharedStrings.xml><?xml version="1.0" encoding="utf-8"?>
<sst xmlns="http://schemas.openxmlformats.org/spreadsheetml/2006/main" count="550" uniqueCount="165">
  <si>
    <t>Net income</t>
  </si>
  <si>
    <t>Net sales</t>
  </si>
  <si>
    <t xml:space="preserve">Profit Margin </t>
  </si>
  <si>
    <t>Total Assets</t>
  </si>
  <si>
    <t>Total Asset Turnover</t>
  </si>
  <si>
    <t>Capital stock</t>
  </si>
  <si>
    <t xml:space="preserve">Retained earnings </t>
  </si>
  <si>
    <t>Common equity</t>
  </si>
  <si>
    <t>Financial Leverage</t>
  </si>
  <si>
    <t>ROE</t>
  </si>
  <si>
    <t>Amazon</t>
  </si>
  <si>
    <t>Facebook</t>
  </si>
  <si>
    <t>Netflix</t>
  </si>
  <si>
    <t>Google (Alphabet)</t>
  </si>
  <si>
    <t>Debt-to-Equity</t>
  </si>
  <si>
    <t>FCFF</t>
  </si>
  <si>
    <t>EBIT</t>
  </si>
  <si>
    <t>Provision for Income Tax</t>
  </si>
  <si>
    <t>Total Revenue</t>
  </si>
  <si>
    <t>Cost of Revenue</t>
  </si>
  <si>
    <t>Calculation of FCFE for Facebook</t>
  </si>
  <si>
    <t>Net Income</t>
  </si>
  <si>
    <t>0</t>
  </si>
  <si>
    <t xml:space="preserve">            Purchase of Property, Plant and Equipment (CapEx)</t>
  </si>
  <si>
    <t>Change in Operating Capital (∆OWC)</t>
  </si>
  <si>
    <t>FCFE</t>
  </si>
  <si>
    <t>Calculation of FCFE for Amazon</t>
  </si>
  <si>
    <t>Calculation of FCFE for Netflix</t>
  </si>
  <si>
    <t/>
  </si>
  <si>
    <t>Calculation of FCFE for Google (Alphabet)</t>
  </si>
  <si>
    <t>Interest expense</t>
  </si>
  <si>
    <t>Operating expenses</t>
  </si>
  <si>
    <t>EBT</t>
  </si>
  <si>
    <t>Cash paid for Interest</t>
  </si>
  <si>
    <t>N/A</t>
  </si>
  <si>
    <t>Interest (1-Tax Rate)</t>
  </si>
  <si>
    <t xml:space="preserve">Calculation of FCFE for Netflix </t>
  </si>
  <si>
    <t>1,464,000,000</t>
  </si>
  <si>
    <t>-1,811,000,000</t>
  </si>
  <si>
    <t xml:space="preserve"> Interest*(1-Tax Rate)</t>
  </si>
  <si>
    <t>2021E</t>
  </si>
  <si>
    <t>2022E</t>
  </si>
  <si>
    <t>2023E</t>
  </si>
  <si>
    <t>2024E</t>
  </si>
  <si>
    <t>2025E</t>
  </si>
  <si>
    <t>Market value of debt</t>
  </si>
  <si>
    <t xml:space="preserve">Market value of equity </t>
  </si>
  <si>
    <t xml:space="preserve">Cost of Equity (CAPM) </t>
  </si>
  <si>
    <t>Risk free rate</t>
  </si>
  <si>
    <t>Beta</t>
  </si>
  <si>
    <t>Market value of Debt</t>
  </si>
  <si>
    <t>Cost of Equity</t>
  </si>
  <si>
    <t>WACC</t>
  </si>
  <si>
    <t xml:space="preserve">Present Value of FCFF </t>
  </si>
  <si>
    <t>Constant growth rate</t>
  </si>
  <si>
    <t>Base Year</t>
  </si>
  <si>
    <t xml:space="preserve"> </t>
  </si>
  <si>
    <t>TV (5)</t>
  </si>
  <si>
    <t>Effective Tax rate</t>
  </si>
  <si>
    <t>CAPM for Amazon</t>
  </si>
  <si>
    <t>CAPM for Facebook</t>
  </si>
  <si>
    <t>CAPM for Netflix</t>
  </si>
  <si>
    <t>CAPM for Google (Alphabet)</t>
  </si>
  <si>
    <t>Cost of Debt for Google (Alphabet)</t>
  </si>
  <si>
    <t>Cost of Debt for Netflix</t>
  </si>
  <si>
    <t>Cost of Debt for Amazon</t>
  </si>
  <si>
    <t>Cost of Debt for Facebook</t>
  </si>
  <si>
    <t xml:space="preserve">MV of Equity </t>
  </si>
  <si>
    <t>Change in Operating Working Capital (∆OWC)</t>
  </si>
  <si>
    <t>Present Value of Terminal Value</t>
  </si>
  <si>
    <t>Sum of PVs</t>
  </si>
  <si>
    <t>Intrinsic Value</t>
  </si>
  <si>
    <t>Cost of equity</t>
  </si>
  <si>
    <t>Growth Rate</t>
  </si>
  <si>
    <t>Common stock</t>
  </si>
  <si>
    <t>Common Stock</t>
  </si>
  <si>
    <t>Interest expenses</t>
  </si>
  <si>
    <t>Google</t>
  </si>
  <si>
    <t>1-Tax Rate</t>
  </si>
  <si>
    <t>Equity risk premium</t>
  </si>
  <si>
    <t xml:space="preserve">Post-tax Cost of Debt </t>
  </si>
  <si>
    <t>Average ROE</t>
  </si>
  <si>
    <t>Input data:</t>
  </si>
  <si>
    <t>Average 2-year tax rate</t>
  </si>
  <si>
    <t>Average D/E ratio</t>
  </si>
  <si>
    <t>MV of Equity for Netflix</t>
  </si>
  <si>
    <t>MV of Equity for Google (Alphabet)</t>
  </si>
  <si>
    <t>MV of Equity for Facebook</t>
  </si>
  <si>
    <t>MV of Equity for Amazon</t>
  </si>
  <si>
    <t>Current price (as on 26.03.2021)</t>
  </si>
  <si>
    <t>Current price (as for 26.03.2021)</t>
  </si>
  <si>
    <t>Required rate of retrun = (Rfr)+Beta*(Erp)</t>
  </si>
  <si>
    <t>WACC = MVe/(MVe+MVd)+MVd/(MVe+MVd)</t>
  </si>
  <si>
    <t>Terminal value growth (perpetuity)</t>
  </si>
  <si>
    <t>Market capitalization = Current market price* Shares outstanding</t>
  </si>
  <si>
    <t>After-tax Cost of Debt = Interest expenses/MVd*(1-Tax Rate)</t>
  </si>
  <si>
    <t xml:space="preserve">Total adjustments for non-cash items </t>
  </si>
  <si>
    <t>Additions to Streaming Content Assets (non-cash expenses)</t>
  </si>
  <si>
    <t>Repayments for Lease Financing (Debt repayments)</t>
  </si>
  <si>
    <t>Income statement</t>
  </si>
  <si>
    <t>Earnings received by a company after all expenses paid, tax and cost deductions</t>
  </si>
  <si>
    <t>Cash Flow Statement</t>
  </si>
  <si>
    <t>Expenses that do not imply cash outflows; includes depreciation and amortization costs</t>
  </si>
  <si>
    <t>Income statement, Own calculations</t>
  </si>
  <si>
    <t xml:space="preserve">Tax shield on interest, which is aimed to reduce income tax obligations due to expenses on interest payments </t>
  </si>
  <si>
    <t xml:space="preserve">Compares changes in NOWC, which is represented by the difference between current assets and liabilities, from previous fiscal year </t>
  </si>
  <si>
    <t>Purchase of fixed assets and long-term investments</t>
  </si>
  <si>
    <t>Payments for lease for assets that company has taken for use</t>
  </si>
  <si>
    <t>Special account for Netflix firm, which includes expenses for content production and its licenses</t>
  </si>
  <si>
    <t>Variable</t>
  </si>
  <si>
    <t>Source</t>
  </si>
  <si>
    <t>Description</t>
  </si>
  <si>
    <t>Total adjustments for non-cash items (non-cash charges)</t>
  </si>
  <si>
    <t>Interest expenses*(1-Tax Rate)</t>
  </si>
  <si>
    <r>
      <t xml:space="preserve"> Changes in Operating Capital (∆</t>
    </r>
    <r>
      <rPr>
        <sz val="12"/>
        <color theme="1"/>
        <rFont val="Times New Roman"/>
        <family val="1"/>
        <charset val="204"/>
      </rPr>
      <t>NOWC)</t>
    </r>
  </si>
  <si>
    <t>Purchase of Property Plant and Equipment (Capital Expenditures)</t>
  </si>
  <si>
    <t>Additions to Streaming Content Assets (Part of CapEx)</t>
  </si>
  <si>
    <t>Repayments for lease financing (Debt repaymensts)</t>
  </si>
  <si>
    <t>ROE = Profit Margin*Total Asset Turnover*Financial Leverage</t>
  </si>
  <si>
    <t>Debt-to-Equity=Total Liability/Total Equity</t>
  </si>
  <si>
    <t xml:space="preserve">Total Equity </t>
  </si>
  <si>
    <t>2021P</t>
  </si>
  <si>
    <t>2022P</t>
  </si>
  <si>
    <t>2023P</t>
  </si>
  <si>
    <t>2024P</t>
  </si>
  <si>
    <t>2025P</t>
  </si>
  <si>
    <t>Subsector Average</t>
  </si>
  <si>
    <t>P/B</t>
  </si>
  <si>
    <t>Total Liabilities</t>
  </si>
  <si>
    <t xml:space="preserve">Book Value </t>
  </si>
  <si>
    <t>Book value per share</t>
  </si>
  <si>
    <t>2025P (Terminal Value)</t>
  </si>
  <si>
    <t>Number of shares</t>
  </si>
  <si>
    <t>FCFF = Net Income + Non-cash charges + Interest*(1-Tax Rate) - Change in Net Working Capital - Changes in Operating Working Capital - Capital Expenditures</t>
  </si>
  <si>
    <t xml:space="preserve">FCFF = Net Income + Non-cash charges - Change in Net Working Capital - Changes in Operating Working Capital - Capital Expenditures - Debt Repayments </t>
  </si>
  <si>
    <t>Earnings per Share</t>
  </si>
  <si>
    <t>P/E</t>
  </si>
  <si>
    <t>Book Value per Share (Facebook)</t>
  </si>
  <si>
    <t>Book Value per Share (Amazon)</t>
  </si>
  <si>
    <t>Book Value per Share (Netflix)</t>
  </si>
  <si>
    <t>Book Value per Share (Alphabet)</t>
  </si>
  <si>
    <t>Sales</t>
  </si>
  <si>
    <t>Sales per Share</t>
  </si>
  <si>
    <t>Number of Shares</t>
  </si>
  <si>
    <t>P/S</t>
  </si>
  <si>
    <t>Cash Flow per Share</t>
  </si>
  <si>
    <t>P/CF</t>
  </si>
  <si>
    <t xml:space="preserve">Common stock outstanding </t>
  </si>
  <si>
    <t xml:space="preserve">Variables discription </t>
  </si>
  <si>
    <t>Variables description</t>
  </si>
  <si>
    <t>Alphabet (Google)</t>
  </si>
  <si>
    <t>Interest tax shield calculation for Amazon (Interest (1-Tax Rate))</t>
  </si>
  <si>
    <t>Interest tax shield calculation for Facebook (Interest (1-Tax Rate))</t>
  </si>
  <si>
    <t>Interest tax shield calculation for Netflix (Interest (1-Tax Rate))</t>
  </si>
  <si>
    <t>Interest tax shield calculation for Alphabet (Interest (1-Tax Rate))</t>
  </si>
  <si>
    <t>Cash generated from Operating Activities</t>
  </si>
  <si>
    <t>Market price (26.03.2021)</t>
  </si>
  <si>
    <t>Book Value per Share</t>
  </si>
  <si>
    <t>Book Value per Share = (Total Assets - Total Liabilities)/Book Value</t>
  </si>
  <si>
    <t>Price-to-Book Value = Market Value per Share/Book Value per Share</t>
  </si>
  <si>
    <t>Price-to-Earnings = Market Value per Share/Earnings per Share</t>
  </si>
  <si>
    <t>Price-to-Sales = Market Value per Share/Sales per Share</t>
  </si>
  <si>
    <t>Price-to-Cash Flow = Maket Value per Share/ Cash Flow per Share</t>
  </si>
  <si>
    <t xml:space="preserve"> Changes in Operating Capital (∆NOWC)</t>
  </si>
  <si>
    <t>Interest Capitalized,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</si>
</sst>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.##"/>
    <numFmt numFmtId="165" formatCode="0.000"/>
    <numFmt numFmtId="166" formatCode="#.###"/>
    <numFmt numFmtId="167" formatCode="#"/>
  </numFmts>
  <fonts count="27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5" xfId="0" applyBorder="1"/>
    <xf numFmtId="0" fontId="2" fillId="0" borderId="0" xfId="0" applyFont="1" applyFill="1"/>
    <xf numFmtId="167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5" xfId="0" applyFont="1" applyBorder="1"/>
    <xf numFmtId="0" fontId="2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165" fontId="10" fillId="2" borderId="26" xfId="0" applyNumberFormat="1" applyFont="1" applyFill="1" applyBorder="1" applyAlignment="1">
      <alignment horizontal="center" vertical="center"/>
    </xf>
    <xf numFmtId="165" fontId="10" fillId="2" borderId="47" xfId="0" applyNumberFormat="1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1" fontId="0" fillId="0" borderId="0" xfId="0" applyNumberFormat="1" applyBorder="1" applyAlignment="1">
      <alignment horizontal="right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/>
    </xf>
    <xf numFmtId="0" fontId="10" fillId="0" borderId="1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26" fillId="0" borderId="17" xfId="0" applyNumberFormat="1" applyFon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3986-7787-4090-9E2E-D41C3435C1F9}">
  <dimension ref="A1:O57"/>
  <sheetViews>
    <sheetView zoomScale="40" zoomScaleNormal="40" workbookViewId="0">
      <selection sqref="A1:D1"/>
    </sheetView>
  </sheetViews>
  <sheetFormatPr defaultRowHeight="14.5" x14ac:dyDescent="0.35"/>
  <cols>
    <col min="1" max="1" width="13.54296875" bestFit="1" customWidth="1"/>
    <col min="2" max="4" width="15.36328125" bestFit="1" customWidth="1"/>
    <col min="5" max="5" width="21" customWidth="1"/>
    <col min="6" max="6" width="21" bestFit="1" customWidth="1"/>
    <col min="7" max="7" width="18.7265625" bestFit="1" customWidth="1"/>
    <col min="8" max="8" width="19.1796875" bestFit="1" customWidth="1"/>
    <col min="9" max="9" width="18.7265625" bestFit="1" customWidth="1"/>
    <col min="10" max="10" width="19.6328125" bestFit="1" customWidth="1"/>
    <col min="11" max="11" width="15.08984375" bestFit="1" customWidth="1"/>
    <col min="12" max="12" width="17.08984375" bestFit="1" customWidth="1"/>
  </cols>
  <sheetData>
    <row r="1" spans="1:15" x14ac:dyDescent="0.35">
      <c r="A1" s="355" t="s">
        <v>118</v>
      </c>
      <c r="B1" s="355"/>
      <c r="C1" s="355"/>
      <c r="D1" s="355"/>
      <c r="O1" s="1"/>
    </row>
    <row r="2" spans="1:15" x14ac:dyDescent="0.35">
      <c r="O2" s="1"/>
    </row>
    <row r="3" spans="1:15" ht="16" thickBot="1" x14ac:dyDescent="0.4">
      <c r="A3" s="276" t="s">
        <v>11</v>
      </c>
      <c r="B3" s="276"/>
      <c r="C3" s="50"/>
      <c r="D3" s="21"/>
      <c r="E3" s="21"/>
      <c r="F3" s="21"/>
      <c r="G3" s="21"/>
      <c r="H3" s="21"/>
      <c r="I3" s="21"/>
      <c r="J3" s="21"/>
      <c r="K3" s="21"/>
      <c r="O3" s="3"/>
    </row>
    <row r="4" spans="1:15" ht="15.5" x14ac:dyDescent="0.35">
      <c r="A4" s="12"/>
      <c r="B4" s="55" t="s">
        <v>0</v>
      </c>
      <c r="C4" s="55" t="s">
        <v>1</v>
      </c>
      <c r="D4" s="56" t="s">
        <v>2</v>
      </c>
      <c r="E4" s="55" t="s">
        <v>3</v>
      </c>
      <c r="F4" s="56" t="s">
        <v>4</v>
      </c>
      <c r="G4" s="55" t="s">
        <v>5</v>
      </c>
      <c r="H4" s="55" t="s">
        <v>6</v>
      </c>
      <c r="I4" s="55" t="s">
        <v>7</v>
      </c>
      <c r="J4" s="56" t="s">
        <v>8</v>
      </c>
      <c r="K4" s="45" t="s">
        <v>9</v>
      </c>
      <c r="O4" s="3"/>
    </row>
    <row r="5" spans="1:15" ht="15.5" x14ac:dyDescent="0.35">
      <c r="A5" s="13">
        <v>2011</v>
      </c>
      <c r="B5" s="26">
        <v>1000000000</v>
      </c>
      <c r="C5" s="26">
        <v>3711000000</v>
      </c>
      <c r="D5" s="27">
        <f>B5/C5*100</f>
        <v>26.94691457828079</v>
      </c>
      <c r="E5" s="26">
        <v>6331000000</v>
      </c>
      <c r="F5" s="27">
        <f t="shared" ref="F5:F14" si="0">C5/E5</f>
        <v>0.58616332332964771</v>
      </c>
      <c r="G5" s="26">
        <v>3299000000</v>
      </c>
      <c r="H5" s="26">
        <v>1606000000</v>
      </c>
      <c r="I5" s="29">
        <f>G5+H5</f>
        <v>4905000000</v>
      </c>
      <c r="J5" s="46">
        <f t="shared" ref="J5:J14" si="1">E5/I5</f>
        <v>1.29072375127421</v>
      </c>
      <c r="K5" s="47">
        <f>D5*F5*J5</f>
        <v>20.387359836901123</v>
      </c>
      <c r="O5" s="3"/>
    </row>
    <row r="6" spans="1:15" ht="15.5" x14ac:dyDescent="0.35">
      <c r="A6" s="13">
        <v>2012</v>
      </c>
      <c r="B6" s="26">
        <v>53000000</v>
      </c>
      <c r="C6" s="26">
        <v>5089000000</v>
      </c>
      <c r="D6" s="27">
        <f t="shared" ref="D6:D14" si="2">B6/C6*100</f>
        <v>1.0414619768127333</v>
      </c>
      <c r="E6" s="26">
        <v>15103000000</v>
      </c>
      <c r="F6" s="27">
        <f t="shared" si="0"/>
        <v>0.33695292326027942</v>
      </c>
      <c r="G6" s="26">
        <v>10094000000</v>
      </c>
      <c r="H6" s="26">
        <v>1659000000</v>
      </c>
      <c r="I6" s="29">
        <f t="shared" ref="I6:I14" si="3">G6+H6</f>
        <v>11753000000</v>
      </c>
      <c r="J6" s="46">
        <f t="shared" si="1"/>
        <v>1.2850336084403982</v>
      </c>
      <c r="K6" s="47">
        <f t="shared" ref="K6:K14" si="4">D6*F6*J6</f>
        <v>0.45094869395048076</v>
      </c>
      <c r="O6" s="3"/>
    </row>
    <row r="7" spans="1:15" ht="15.5" x14ac:dyDescent="0.35">
      <c r="A7" s="13">
        <v>2013</v>
      </c>
      <c r="B7" s="26">
        <v>1500000000</v>
      </c>
      <c r="C7" s="26">
        <v>7872000000</v>
      </c>
      <c r="D7" s="27">
        <f t="shared" si="2"/>
        <v>19.054878048780488</v>
      </c>
      <c r="E7" s="26">
        <v>17895000000</v>
      </c>
      <c r="F7" s="27">
        <f t="shared" si="0"/>
        <v>0.4398994132439229</v>
      </c>
      <c r="G7" s="26">
        <v>12297000000</v>
      </c>
      <c r="H7" s="26">
        <v>3159000000</v>
      </c>
      <c r="I7" s="29">
        <f t="shared" si="3"/>
        <v>15456000000</v>
      </c>
      <c r="J7" s="46">
        <f t="shared" si="1"/>
        <v>1.1578027950310559</v>
      </c>
      <c r="K7" s="47">
        <f t="shared" si="4"/>
        <v>9.7049689440993792</v>
      </c>
      <c r="O7" s="3"/>
    </row>
    <row r="8" spans="1:15" ht="15.5" x14ac:dyDescent="0.35">
      <c r="A8" s="13">
        <v>2014</v>
      </c>
      <c r="B8" s="26">
        <v>2940000000</v>
      </c>
      <c r="C8" s="26">
        <v>12466000000</v>
      </c>
      <c r="D8" s="27">
        <f t="shared" si="2"/>
        <v>23.58414888496711</v>
      </c>
      <c r="E8" s="26">
        <v>40184000000</v>
      </c>
      <c r="F8" s="27">
        <f t="shared" si="0"/>
        <v>0.31022297431813656</v>
      </c>
      <c r="G8" s="26">
        <v>30225000000</v>
      </c>
      <c r="H8" s="26">
        <v>6099000000</v>
      </c>
      <c r="I8" s="29">
        <f t="shared" si="3"/>
        <v>36324000000</v>
      </c>
      <c r="J8" s="46">
        <f t="shared" si="1"/>
        <v>1.1062658297544323</v>
      </c>
      <c r="K8" s="47">
        <f t="shared" si="4"/>
        <v>8.0938222662702337</v>
      </c>
      <c r="O8" s="3"/>
    </row>
    <row r="9" spans="1:15" ht="15.5" x14ac:dyDescent="0.35">
      <c r="A9" s="13">
        <v>2015</v>
      </c>
      <c r="B9" s="26">
        <v>3688000000</v>
      </c>
      <c r="C9" s="26">
        <v>17928000000</v>
      </c>
      <c r="D9" s="27">
        <f t="shared" si="2"/>
        <v>20.571173583221778</v>
      </c>
      <c r="E9" s="26">
        <v>49407000000</v>
      </c>
      <c r="F9" s="27">
        <f t="shared" si="0"/>
        <v>0.36286356184346347</v>
      </c>
      <c r="G9" s="26">
        <v>34886000000</v>
      </c>
      <c r="H9" s="26">
        <v>9787000000</v>
      </c>
      <c r="I9" s="29">
        <f t="shared" si="3"/>
        <v>44673000000</v>
      </c>
      <c r="J9" s="46">
        <f t="shared" si="1"/>
        <v>1.1059700490228996</v>
      </c>
      <c r="K9" s="47">
        <f t="shared" si="4"/>
        <v>8.2555458554384078</v>
      </c>
      <c r="O9" s="3"/>
    </row>
    <row r="10" spans="1:15" ht="15.5" x14ac:dyDescent="0.35">
      <c r="A10" s="13">
        <v>2016</v>
      </c>
      <c r="B10" s="26">
        <v>10217000000</v>
      </c>
      <c r="C10" s="26">
        <v>27638000000</v>
      </c>
      <c r="D10" s="27">
        <f t="shared" si="2"/>
        <v>36.967219046240686</v>
      </c>
      <c r="E10" s="26">
        <v>64961000000</v>
      </c>
      <c r="F10" s="27">
        <f t="shared" si="0"/>
        <v>0.42545527316389836</v>
      </c>
      <c r="G10" s="26">
        <v>38227000000</v>
      </c>
      <c r="H10" s="26">
        <v>21670000000</v>
      </c>
      <c r="I10" s="29">
        <f t="shared" si="3"/>
        <v>59897000000</v>
      </c>
      <c r="J10" s="46">
        <f t="shared" si="1"/>
        <v>1.084545135816485</v>
      </c>
      <c r="K10" s="47">
        <f t="shared" si="4"/>
        <v>17.057615573401009</v>
      </c>
      <c r="O10" s="3"/>
    </row>
    <row r="11" spans="1:15" ht="15.5" x14ac:dyDescent="0.35">
      <c r="A11" s="13">
        <v>2017</v>
      </c>
      <c r="B11" s="26">
        <v>15934000000</v>
      </c>
      <c r="C11" s="26">
        <v>40653000000</v>
      </c>
      <c r="D11" s="27">
        <f t="shared" si="2"/>
        <v>39.195139350109464</v>
      </c>
      <c r="E11" s="26">
        <v>84524000000</v>
      </c>
      <c r="F11" s="27">
        <f t="shared" si="0"/>
        <v>0.48096398656003031</v>
      </c>
      <c r="G11" s="26">
        <v>40584000000</v>
      </c>
      <c r="H11" s="26">
        <v>33990000000</v>
      </c>
      <c r="I11" s="29">
        <f t="shared" si="3"/>
        <v>74574000000</v>
      </c>
      <c r="J11" s="46">
        <f t="shared" si="1"/>
        <v>1.1334245179285005</v>
      </c>
      <c r="K11" s="47">
        <f t="shared" si="4"/>
        <v>21.366696167565102</v>
      </c>
      <c r="O11" s="3"/>
    </row>
    <row r="12" spans="1:15" ht="15.5" x14ac:dyDescent="0.35">
      <c r="A12" s="13">
        <v>2018</v>
      </c>
      <c r="B12" s="26">
        <v>22112000000</v>
      </c>
      <c r="C12" s="26">
        <v>55838000000</v>
      </c>
      <c r="D12" s="27">
        <f t="shared" si="2"/>
        <v>39.600272216053582</v>
      </c>
      <c r="E12" s="26">
        <v>97334000000</v>
      </c>
      <c r="F12" s="27">
        <f t="shared" si="0"/>
        <v>0.57367415291676083</v>
      </c>
      <c r="G12" s="26">
        <v>42906000000</v>
      </c>
      <c r="H12" s="26">
        <v>41981000000</v>
      </c>
      <c r="I12" s="29">
        <f t="shared" si="3"/>
        <v>84887000000</v>
      </c>
      <c r="J12" s="46">
        <f t="shared" si="1"/>
        <v>1.1466302260652397</v>
      </c>
      <c r="K12" s="47">
        <f t="shared" si="4"/>
        <v>26.048747157986497</v>
      </c>
      <c r="O12" s="3"/>
    </row>
    <row r="13" spans="1:15" ht="15.5" x14ac:dyDescent="0.35">
      <c r="A13" s="13">
        <v>2019</v>
      </c>
      <c r="B13" s="26">
        <v>18485000000</v>
      </c>
      <c r="C13" s="26">
        <v>70697000000</v>
      </c>
      <c r="D13" s="27">
        <f t="shared" si="2"/>
        <v>26.14679547929898</v>
      </c>
      <c r="E13" s="26">
        <v>133376000000</v>
      </c>
      <c r="F13" s="27">
        <f t="shared" si="0"/>
        <v>0.5300578814779271</v>
      </c>
      <c r="G13" s="26">
        <v>45851000000</v>
      </c>
      <c r="H13" s="26">
        <v>55692000000</v>
      </c>
      <c r="I13" s="29">
        <f t="shared" si="3"/>
        <v>101543000000</v>
      </c>
      <c r="J13" s="46">
        <f t="shared" si="1"/>
        <v>1.3134928060033679</v>
      </c>
      <c r="K13" s="47">
        <f t="shared" si="4"/>
        <v>18.204110573845565</v>
      </c>
    </row>
    <row r="14" spans="1:15" ht="15.5" x14ac:dyDescent="0.35">
      <c r="A14" s="13">
        <v>2020</v>
      </c>
      <c r="B14" s="26">
        <v>29146000000</v>
      </c>
      <c r="C14" s="26">
        <v>85965000000</v>
      </c>
      <c r="D14" s="27">
        <f t="shared" si="2"/>
        <v>33.904496015820392</v>
      </c>
      <c r="E14" s="26">
        <v>159316000000</v>
      </c>
      <c r="F14" s="27">
        <f t="shared" si="0"/>
        <v>0.53958798865148505</v>
      </c>
      <c r="G14" s="26">
        <v>50018000000</v>
      </c>
      <c r="H14" s="26">
        <v>77345000000</v>
      </c>
      <c r="I14" s="29">
        <f t="shared" si="3"/>
        <v>127363000000</v>
      </c>
      <c r="J14" s="46">
        <f t="shared" si="1"/>
        <v>1.2508813391644356</v>
      </c>
      <c r="K14" s="47">
        <f t="shared" si="4"/>
        <v>22.884197137316175</v>
      </c>
    </row>
    <row r="15" spans="1:15" ht="15" thickBot="1" x14ac:dyDescent="0.4">
      <c r="A15" s="16" t="s">
        <v>81</v>
      </c>
      <c r="B15" s="278"/>
      <c r="C15" s="279"/>
      <c r="D15" s="279"/>
      <c r="E15" s="279"/>
      <c r="F15" s="279"/>
      <c r="G15" s="279"/>
      <c r="H15" s="279"/>
      <c r="I15" s="279"/>
      <c r="J15" s="280"/>
      <c r="K15" s="73">
        <f>AVERAGE(K5:K14)</f>
        <v>15.245401220677397</v>
      </c>
    </row>
    <row r="17" spans="1:15" ht="16" thickBot="1" x14ac:dyDescent="0.4">
      <c r="A17" s="277" t="s">
        <v>10</v>
      </c>
      <c r="B17" s="277"/>
      <c r="C17" s="49"/>
      <c r="D17" s="21"/>
      <c r="E17" s="21"/>
      <c r="F17" s="21"/>
      <c r="G17" s="21"/>
      <c r="H17" s="21"/>
      <c r="I17" s="21"/>
      <c r="J17" s="21"/>
      <c r="K17" s="21"/>
    </row>
    <row r="18" spans="1:15" ht="15.5" x14ac:dyDescent="0.35">
      <c r="A18" s="20"/>
      <c r="B18" s="55" t="s">
        <v>0</v>
      </c>
      <c r="C18" s="55" t="s">
        <v>1</v>
      </c>
      <c r="D18" s="56" t="s">
        <v>2</v>
      </c>
      <c r="E18" s="55" t="s">
        <v>3</v>
      </c>
      <c r="F18" s="56" t="s">
        <v>4</v>
      </c>
      <c r="G18" s="55" t="s">
        <v>5</v>
      </c>
      <c r="H18" s="55" t="s">
        <v>6</v>
      </c>
      <c r="I18" s="55" t="s">
        <v>7</v>
      </c>
      <c r="J18" s="56" t="s">
        <v>8</v>
      </c>
      <c r="K18" s="45" t="s">
        <v>9</v>
      </c>
    </row>
    <row r="19" spans="1:15" ht="15.5" x14ac:dyDescent="0.35">
      <c r="A19" s="13">
        <v>2011</v>
      </c>
      <c r="B19" s="26">
        <v>631000000</v>
      </c>
      <c r="C19" s="26">
        <v>48077000000</v>
      </c>
      <c r="D19" s="27">
        <f t="shared" ref="D19:D28" si="5">B19/C19*100</f>
        <v>1.3124779000353599</v>
      </c>
      <c r="E19" s="26">
        <v>25278000000</v>
      </c>
      <c r="F19" s="28">
        <f t="shared" ref="F19:F28" si="6">C19/E19</f>
        <v>1.9019305324788354</v>
      </c>
      <c r="G19" s="26">
        <v>6995000000</v>
      </c>
      <c r="H19" s="26">
        <v>1955000000</v>
      </c>
      <c r="I19" s="29">
        <f t="shared" ref="I19:I28" si="7">G19+H19</f>
        <v>8950000000</v>
      </c>
      <c r="J19" s="30">
        <f t="shared" ref="J19:J28" si="8">E19/I19</f>
        <v>2.8243575418994413</v>
      </c>
      <c r="K19" s="47">
        <f>D19*F19*J19</f>
        <v>7.050279329608939</v>
      </c>
    </row>
    <row r="20" spans="1:15" ht="15.5" x14ac:dyDescent="0.35">
      <c r="A20" s="13">
        <v>2012</v>
      </c>
      <c r="B20" s="26">
        <v>-39000000</v>
      </c>
      <c r="C20" s="26">
        <v>61093000000</v>
      </c>
      <c r="D20" s="27">
        <f t="shared" si="5"/>
        <v>-6.3837100813513833E-2</v>
      </c>
      <c r="E20" s="26">
        <v>32555000000</v>
      </c>
      <c r="F20" s="28">
        <f t="shared" si="6"/>
        <v>1.8766088158500998</v>
      </c>
      <c r="G20" s="26">
        <v>8352000000</v>
      </c>
      <c r="H20" s="26">
        <v>1916000000</v>
      </c>
      <c r="I20" s="29">
        <f t="shared" si="7"/>
        <v>10268000000</v>
      </c>
      <c r="J20" s="30">
        <f t="shared" si="8"/>
        <v>3.1705298013245033</v>
      </c>
      <c r="K20" s="47">
        <f t="shared" ref="K20:K28" si="9">D20*F20*J20</f>
        <v>-0.37982080249318273</v>
      </c>
    </row>
    <row r="21" spans="1:15" ht="15.5" x14ac:dyDescent="0.35">
      <c r="A21" s="13">
        <v>2013</v>
      </c>
      <c r="B21" s="26">
        <v>274000000</v>
      </c>
      <c r="C21" s="26">
        <v>74452000000</v>
      </c>
      <c r="D21" s="27">
        <f t="shared" si="5"/>
        <v>0.36802234997045075</v>
      </c>
      <c r="E21" s="26">
        <v>40159000000</v>
      </c>
      <c r="F21" s="28">
        <f t="shared" si="6"/>
        <v>1.8539306257625936</v>
      </c>
      <c r="G21" s="26">
        <v>9578000000</v>
      </c>
      <c r="H21" s="26">
        <v>2190000000</v>
      </c>
      <c r="I21" s="29">
        <f t="shared" si="7"/>
        <v>11768000000</v>
      </c>
      <c r="J21" s="30">
        <f t="shared" si="8"/>
        <v>3.4125594833446633</v>
      </c>
      <c r="K21" s="47">
        <f t="shared" si="9"/>
        <v>2.3283480625424877</v>
      </c>
    </row>
    <row r="22" spans="1:15" ht="15.5" x14ac:dyDescent="0.35">
      <c r="A22" s="13">
        <v>2014</v>
      </c>
      <c r="B22" s="26">
        <v>-241000000</v>
      </c>
      <c r="C22" s="26">
        <v>88988000000</v>
      </c>
      <c r="D22" s="27">
        <f t="shared" si="5"/>
        <v>-0.27082303231896437</v>
      </c>
      <c r="E22" s="26">
        <v>54505000000</v>
      </c>
      <c r="F22" s="28">
        <f t="shared" si="6"/>
        <v>1.6326575543528117</v>
      </c>
      <c r="G22" s="26">
        <v>11140000000</v>
      </c>
      <c r="H22" s="26">
        <v>1949000000</v>
      </c>
      <c r="I22" s="29">
        <f t="shared" si="7"/>
        <v>13089000000</v>
      </c>
      <c r="J22" s="30">
        <f t="shared" si="8"/>
        <v>4.1641836656734661</v>
      </c>
      <c r="K22" s="47">
        <f t="shared" si="9"/>
        <v>-1.8412407364962946</v>
      </c>
    </row>
    <row r="23" spans="1:15" ht="15.5" x14ac:dyDescent="0.35">
      <c r="A23" s="13">
        <v>2015</v>
      </c>
      <c r="B23" s="26">
        <v>596000000</v>
      </c>
      <c r="C23" s="26">
        <v>107006000000</v>
      </c>
      <c r="D23" s="27">
        <f t="shared" si="5"/>
        <v>0.55697811337682002</v>
      </c>
      <c r="E23" s="26">
        <v>65444000000</v>
      </c>
      <c r="F23" s="28">
        <f t="shared" si="6"/>
        <v>1.6350773180123463</v>
      </c>
      <c r="G23" s="26">
        <v>13399000000</v>
      </c>
      <c r="H23" s="26">
        <v>2545000000</v>
      </c>
      <c r="I23" s="29">
        <f t="shared" si="7"/>
        <v>15944000000</v>
      </c>
      <c r="J23" s="30">
        <f t="shared" si="8"/>
        <v>4.1046161565479178</v>
      </c>
      <c r="K23" s="47">
        <f t="shared" si="9"/>
        <v>3.7380832915203213</v>
      </c>
    </row>
    <row r="24" spans="1:15" ht="15.5" x14ac:dyDescent="0.35">
      <c r="A24" s="13">
        <v>2016</v>
      </c>
      <c r="B24" s="26">
        <v>2371000000</v>
      </c>
      <c r="C24" s="26">
        <v>135987000000</v>
      </c>
      <c r="D24" s="27">
        <f t="shared" si="5"/>
        <v>1.7435490157147373</v>
      </c>
      <c r="E24" s="26">
        <v>83402000000</v>
      </c>
      <c r="F24" s="28">
        <f t="shared" si="6"/>
        <v>1.6305004676146855</v>
      </c>
      <c r="G24" s="26">
        <v>17191000000</v>
      </c>
      <c r="H24" s="26">
        <v>4916000000</v>
      </c>
      <c r="I24" s="29">
        <f t="shared" si="7"/>
        <v>22107000000</v>
      </c>
      <c r="J24" s="30">
        <f t="shared" si="8"/>
        <v>3.7726511964536118</v>
      </c>
      <c r="K24" s="47">
        <f t="shared" si="9"/>
        <v>10.725109693762155</v>
      </c>
    </row>
    <row r="25" spans="1:15" ht="15.5" x14ac:dyDescent="0.35">
      <c r="A25" s="13">
        <v>2017</v>
      </c>
      <c r="B25" s="26">
        <v>3033000000</v>
      </c>
      <c r="C25" s="26">
        <v>177866000000</v>
      </c>
      <c r="D25" s="27">
        <f t="shared" si="5"/>
        <v>1.705216286417865</v>
      </c>
      <c r="E25" s="26">
        <v>131310000000</v>
      </c>
      <c r="F25" s="28">
        <f t="shared" si="6"/>
        <v>1.3545503008148656</v>
      </c>
      <c r="G25" s="26">
        <v>21394000000</v>
      </c>
      <c r="H25" s="26">
        <v>8636000000</v>
      </c>
      <c r="I25" s="29">
        <f t="shared" si="7"/>
        <v>30030000000</v>
      </c>
      <c r="J25" s="30">
        <f t="shared" si="8"/>
        <v>4.372627372627373</v>
      </c>
      <c r="K25" s="47">
        <f t="shared" si="9"/>
        <v>10.099900099900101</v>
      </c>
    </row>
    <row r="26" spans="1:15" ht="15.5" x14ac:dyDescent="0.35">
      <c r="A26" s="13">
        <v>2018</v>
      </c>
      <c r="B26" s="26">
        <v>10073000000</v>
      </c>
      <c r="C26" s="26">
        <v>232887000000</v>
      </c>
      <c r="D26" s="27">
        <f t="shared" si="5"/>
        <v>4.3252736305590265</v>
      </c>
      <c r="E26" s="26">
        <v>162648000000</v>
      </c>
      <c r="F26" s="28">
        <f t="shared" si="6"/>
        <v>1.431846687324775</v>
      </c>
      <c r="G26" s="26">
        <v>26796000000</v>
      </c>
      <c r="H26" s="26">
        <v>19625000000</v>
      </c>
      <c r="I26" s="29">
        <f t="shared" si="7"/>
        <v>46421000000</v>
      </c>
      <c r="J26" s="30">
        <f t="shared" si="8"/>
        <v>3.5037590745567737</v>
      </c>
      <c r="K26" s="47">
        <f t="shared" si="9"/>
        <v>21.699230951509016</v>
      </c>
    </row>
    <row r="27" spans="1:15" ht="15.5" x14ac:dyDescent="0.35">
      <c r="A27" s="13">
        <v>2019</v>
      </c>
      <c r="B27" s="26">
        <v>11588000000</v>
      </c>
      <c r="C27" s="26">
        <v>280522000000</v>
      </c>
      <c r="D27" s="27">
        <f t="shared" si="5"/>
        <v>4.1308703060722509</v>
      </c>
      <c r="E27" s="26">
        <v>225248000000</v>
      </c>
      <c r="F27" s="28">
        <f t="shared" si="6"/>
        <v>1.2453917459866459</v>
      </c>
      <c r="G27" s="26">
        <v>33663000000</v>
      </c>
      <c r="H27" s="26">
        <v>31220000000</v>
      </c>
      <c r="I27" s="29">
        <f t="shared" si="7"/>
        <v>64883000000</v>
      </c>
      <c r="J27" s="30">
        <f t="shared" si="8"/>
        <v>3.4716027310697717</v>
      </c>
      <c r="K27" s="47">
        <f t="shared" si="9"/>
        <v>17.859840019727816</v>
      </c>
    </row>
    <row r="28" spans="1:15" ht="15.5" x14ac:dyDescent="0.35">
      <c r="A28" s="13">
        <v>2020</v>
      </c>
      <c r="B28" s="26">
        <v>21331000000</v>
      </c>
      <c r="C28" s="26">
        <v>386064000000</v>
      </c>
      <c r="D28" s="27">
        <f t="shared" si="5"/>
        <v>5.5252496995316838</v>
      </c>
      <c r="E28" s="26">
        <v>321195000000</v>
      </c>
      <c r="F28" s="28">
        <f t="shared" si="6"/>
        <v>1.2019614253023865</v>
      </c>
      <c r="G28" s="26">
        <v>42870000000</v>
      </c>
      <c r="H28" s="26">
        <v>52551000000</v>
      </c>
      <c r="I28" s="29">
        <f t="shared" si="7"/>
        <v>95421000000</v>
      </c>
      <c r="J28" s="30">
        <f t="shared" si="8"/>
        <v>3.3660829377181125</v>
      </c>
      <c r="K28" s="47">
        <f t="shared" si="9"/>
        <v>22.354617956215094</v>
      </c>
      <c r="O28" s="1"/>
    </row>
    <row r="29" spans="1:15" ht="16" thickBot="1" x14ac:dyDescent="0.4">
      <c r="A29" s="16" t="s">
        <v>81</v>
      </c>
      <c r="B29" s="273"/>
      <c r="C29" s="274"/>
      <c r="D29" s="274"/>
      <c r="E29" s="274"/>
      <c r="F29" s="274"/>
      <c r="G29" s="274"/>
      <c r="H29" s="274"/>
      <c r="I29" s="274"/>
      <c r="J29" s="275"/>
      <c r="K29" s="72">
        <f>AVERAGE(K19:K28)</f>
        <v>9.3634347865796439</v>
      </c>
      <c r="O29" s="3"/>
    </row>
    <row r="30" spans="1:15" ht="15" customHeight="1" x14ac:dyDescent="0.35">
      <c r="O30" s="3"/>
    </row>
    <row r="31" spans="1:15" ht="16" thickBot="1" x14ac:dyDescent="0.4">
      <c r="A31" s="276" t="s">
        <v>12</v>
      </c>
      <c r="B31" s="276"/>
      <c r="C31" s="40"/>
      <c r="D31" s="24"/>
      <c r="E31" s="24"/>
      <c r="F31" s="24"/>
      <c r="G31" s="24"/>
      <c r="H31" s="24"/>
      <c r="I31" s="24"/>
      <c r="J31" s="24"/>
      <c r="K31" s="24"/>
      <c r="O31" s="3"/>
    </row>
    <row r="32" spans="1:15" ht="15.5" x14ac:dyDescent="0.35">
      <c r="A32" s="51"/>
      <c r="B32" s="55" t="s">
        <v>0</v>
      </c>
      <c r="C32" s="55" t="s">
        <v>1</v>
      </c>
      <c r="D32" s="56" t="s">
        <v>2</v>
      </c>
      <c r="E32" s="55" t="s">
        <v>3</v>
      </c>
      <c r="F32" s="56" t="s">
        <v>4</v>
      </c>
      <c r="G32" s="55" t="s">
        <v>5</v>
      </c>
      <c r="H32" s="55" t="s">
        <v>6</v>
      </c>
      <c r="I32" s="55" t="s">
        <v>7</v>
      </c>
      <c r="J32" s="56" t="s">
        <v>8</v>
      </c>
      <c r="K32" s="45" t="s">
        <v>9</v>
      </c>
      <c r="O32" s="3"/>
    </row>
    <row r="33" spans="1:15" ht="15.5" x14ac:dyDescent="0.35">
      <c r="A33" s="52">
        <v>2011</v>
      </c>
      <c r="B33" s="26">
        <v>226126000</v>
      </c>
      <c r="C33" s="26">
        <v>3204577000</v>
      </c>
      <c r="D33" s="27">
        <f>B33/C33*100</f>
        <v>7.0563447219399</v>
      </c>
      <c r="E33" s="26">
        <v>3069196000</v>
      </c>
      <c r="F33" s="27">
        <f t="shared" ref="F33:F42" si="10">C33/E33</f>
        <v>1.0441095974320311</v>
      </c>
      <c r="G33" s="26">
        <v>219174000</v>
      </c>
      <c r="H33" s="26">
        <v>422930000</v>
      </c>
      <c r="I33" s="26">
        <f>G33+H33</f>
        <v>642104000</v>
      </c>
      <c r="J33" s="30">
        <f t="shared" ref="J33:J42" si="11">E33/I33</f>
        <v>4.7799048129275006</v>
      </c>
      <c r="K33" s="47">
        <f t="shared" ref="K33:K42" si="12">D33*F33*J33</f>
        <v>35.216413540485654</v>
      </c>
      <c r="O33" s="3"/>
    </row>
    <row r="34" spans="1:15" ht="15.5" x14ac:dyDescent="0.35">
      <c r="A34" s="52">
        <v>2012</v>
      </c>
      <c r="B34" s="26">
        <v>17152000</v>
      </c>
      <c r="C34" s="26">
        <v>3609282000</v>
      </c>
      <c r="D34" s="27">
        <f t="shared" ref="D34:D42" si="13">B34/C34*100</f>
        <v>0.47521917101517702</v>
      </c>
      <c r="E34" s="26">
        <v>3967890000</v>
      </c>
      <c r="F34" s="27">
        <f t="shared" si="10"/>
        <v>0.90962249457520239</v>
      </c>
      <c r="G34" s="26">
        <v>301672000</v>
      </c>
      <c r="H34" s="26">
        <v>440082000</v>
      </c>
      <c r="I34" s="26">
        <f t="shared" ref="I34:I42" si="14">G34+H34</f>
        <v>741754000</v>
      </c>
      <c r="J34" s="30">
        <f t="shared" si="11"/>
        <v>5.3493341458219303</v>
      </c>
      <c r="K34" s="47">
        <f t="shared" si="12"/>
        <v>2.312356926959612</v>
      </c>
      <c r="O34" s="3"/>
    </row>
    <row r="35" spans="1:15" ht="15.5" x14ac:dyDescent="0.35">
      <c r="A35" s="52">
        <v>2013</v>
      </c>
      <c r="B35" s="26">
        <v>112403000</v>
      </c>
      <c r="C35" s="26">
        <v>4374562000</v>
      </c>
      <c r="D35" s="27">
        <f t="shared" si="13"/>
        <v>2.5694686690919002</v>
      </c>
      <c r="E35" s="26">
        <v>5412563000</v>
      </c>
      <c r="F35" s="27">
        <f t="shared" si="10"/>
        <v>0.80822375647174916</v>
      </c>
      <c r="G35" s="26">
        <v>777501000</v>
      </c>
      <c r="H35" s="26">
        <v>552485000</v>
      </c>
      <c r="I35" s="26">
        <f t="shared" si="14"/>
        <v>1329986000</v>
      </c>
      <c r="J35" s="30">
        <f t="shared" si="11"/>
        <v>4.0696390789075974</v>
      </c>
      <c r="K35" s="47">
        <f t="shared" si="12"/>
        <v>8.4514423460096566</v>
      </c>
      <c r="O35" s="3"/>
    </row>
    <row r="36" spans="1:15" ht="15.5" x14ac:dyDescent="0.35">
      <c r="A36" s="52">
        <v>2014</v>
      </c>
      <c r="B36" s="26">
        <v>266799000</v>
      </c>
      <c r="C36" s="26">
        <v>5504656000</v>
      </c>
      <c r="D36" s="27">
        <f t="shared" si="13"/>
        <v>4.8467878828395454</v>
      </c>
      <c r="E36" s="26">
        <v>7056651000</v>
      </c>
      <c r="F36" s="27">
        <f t="shared" si="10"/>
        <v>0.78006635158802662</v>
      </c>
      <c r="G36" s="26">
        <v>1042870000</v>
      </c>
      <c r="H36" s="26">
        <v>819284000</v>
      </c>
      <c r="I36" s="26">
        <f t="shared" si="14"/>
        <v>1862154000</v>
      </c>
      <c r="J36" s="30">
        <f t="shared" si="11"/>
        <v>3.7895098901594606</v>
      </c>
      <c r="K36" s="47">
        <f t="shared" si="12"/>
        <v>14.327440158010562</v>
      </c>
      <c r="O36" s="3"/>
    </row>
    <row r="37" spans="1:15" ht="15.5" x14ac:dyDescent="0.35">
      <c r="A37" s="52">
        <v>2015</v>
      </c>
      <c r="B37" s="26">
        <v>122641000</v>
      </c>
      <c r="C37" s="26">
        <v>6779511000</v>
      </c>
      <c r="D37" s="27">
        <f t="shared" si="13"/>
        <v>1.808994778531962</v>
      </c>
      <c r="E37" s="26">
        <v>10202871000</v>
      </c>
      <c r="F37" s="27">
        <f t="shared" si="10"/>
        <v>0.66447091215796028</v>
      </c>
      <c r="G37" s="26">
        <v>1324809000</v>
      </c>
      <c r="H37" s="26">
        <v>941925000</v>
      </c>
      <c r="I37" s="26">
        <f t="shared" si="14"/>
        <v>2266734000</v>
      </c>
      <c r="J37" s="30">
        <f t="shared" si="11"/>
        <v>4.5011329075224529</v>
      </c>
      <c r="K37" s="47">
        <f t="shared" si="12"/>
        <v>5.4104716301074589</v>
      </c>
      <c r="O37" s="3"/>
    </row>
    <row r="38" spans="1:15" ht="15.5" x14ac:dyDescent="0.35">
      <c r="A38" s="52">
        <v>2016</v>
      </c>
      <c r="B38" s="26">
        <v>186678000</v>
      </c>
      <c r="C38" s="26">
        <v>8830669000</v>
      </c>
      <c r="D38" s="27">
        <f t="shared" si="13"/>
        <v>2.1139734713191038</v>
      </c>
      <c r="E38" s="26">
        <v>13586610000</v>
      </c>
      <c r="F38" s="27">
        <f t="shared" si="10"/>
        <v>0.64995381482209325</v>
      </c>
      <c r="G38" s="26">
        <v>1599762000</v>
      </c>
      <c r="H38" s="26">
        <v>1128603000</v>
      </c>
      <c r="I38" s="26">
        <f t="shared" si="14"/>
        <v>2728365000</v>
      </c>
      <c r="J38" s="30">
        <f t="shared" si="11"/>
        <v>4.979762605076667</v>
      </c>
      <c r="K38" s="47">
        <f t="shared" si="12"/>
        <v>6.842119731047716</v>
      </c>
      <c r="O38" s="3"/>
    </row>
    <row r="39" spans="1:15" ht="15.5" x14ac:dyDescent="0.35">
      <c r="A39" s="52">
        <v>2017</v>
      </c>
      <c r="B39" s="26">
        <v>558929000</v>
      </c>
      <c r="C39" s="26">
        <v>11692713000</v>
      </c>
      <c r="D39" s="27">
        <f t="shared" si="13"/>
        <v>4.7801481144709532</v>
      </c>
      <c r="E39" s="26">
        <v>19012742000</v>
      </c>
      <c r="F39" s="27">
        <f t="shared" si="10"/>
        <v>0.61499351329755592</v>
      </c>
      <c r="G39" s="26">
        <v>1871396000</v>
      </c>
      <c r="H39" s="26">
        <v>1731117000</v>
      </c>
      <c r="I39" s="26">
        <f t="shared" si="14"/>
        <v>3602513000</v>
      </c>
      <c r="J39" s="30">
        <f t="shared" si="11"/>
        <v>5.277633141087902</v>
      </c>
      <c r="K39" s="47">
        <f t="shared" si="12"/>
        <v>15.514975240894344</v>
      </c>
    </row>
    <row r="40" spans="1:15" ht="15.5" x14ac:dyDescent="0.35">
      <c r="A40" s="52">
        <v>2018</v>
      </c>
      <c r="B40" s="26">
        <v>1211242000</v>
      </c>
      <c r="C40" s="26">
        <v>15794341000</v>
      </c>
      <c r="D40" s="27">
        <f t="shared" si="13"/>
        <v>7.6688353125970874</v>
      </c>
      <c r="E40" s="26">
        <v>25974400000</v>
      </c>
      <c r="F40" s="27">
        <f t="shared" si="10"/>
        <v>0.60807337224343971</v>
      </c>
      <c r="G40" s="26">
        <v>2315988000</v>
      </c>
      <c r="H40" s="26">
        <v>2942359000</v>
      </c>
      <c r="I40" s="26">
        <f t="shared" si="14"/>
        <v>5258347000</v>
      </c>
      <c r="J40" s="30">
        <f t="shared" si="11"/>
        <v>4.9396511869604653</v>
      </c>
      <c r="K40" s="47">
        <f t="shared" si="12"/>
        <v>23.034653285528705</v>
      </c>
    </row>
    <row r="41" spans="1:15" ht="15.5" x14ac:dyDescent="0.35">
      <c r="A41" s="52">
        <v>2019</v>
      </c>
      <c r="B41" s="26">
        <v>1866916000</v>
      </c>
      <c r="C41" s="26">
        <v>20156447000</v>
      </c>
      <c r="D41" s="27">
        <f t="shared" si="13"/>
        <v>9.2621283899885736</v>
      </c>
      <c r="E41" s="26">
        <v>33975712000</v>
      </c>
      <c r="F41" s="27">
        <f t="shared" si="10"/>
        <v>0.59326047383495595</v>
      </c>
      <c r="G41" s="26">
        <v>2793929000</v>
      </c>
      <c r="H41" s="26">
        <v>4811749000</v>
      </c>
      <c r="I41" s="26">
        <f t="shared" si="14"/>
        <v>7605678000</v>
      </c>
      <c r="J41" s="30">
        <f t="shared" si="11"/>
        <v>4.4671509890374006</v>
      </c>
      <c r="K41" s="47">
        <f t="shared" si="12"/>
        <v>24.546345506607036</v>
      </c>
      <c r="O41" s="1"/>
    </row>
    <row r="42" spans="1:15" ht="15.5" x14ac:dyDescent="0.35">
      <c r="A42" s="52">
        <v>2020</v>
      </c>
      <c r="B42" s="26">
        <v>2761395000</v>
      </c>
      <c r="C42" s="26">
        <v>24996056000</v>
      </c>
      <c r="D42" s="27">
        <f t="shared" si="13"/>
        <v>11.047322825648974</v>
      </c>
      <c r="E42" s="26">
        <v>39280359000</v>
      </c>
      <c r="F42" s="27">
        <f t="shared" si="10"/>
        <v>0.63634998855280323</v>
      </c>
      <c r="G42" s="26">
        <v>3447698000</v>
      </c>
      <c r="H42" s="26">
        <v>7573144000</v>
      </c>
      <c r="I42" s="26">
        <f t="shared" si="14"/>
        <v>11020842000</v>
      </c>
      <c r="J42" s="30">
        <f t="shared" si="11"/>
        <v>3.5641885619991647</v>
      </c>
      <c r="K42" s="47">
        <f t="shared" si="12"/>
        <v>25.056116401995421</v>
      </c>
      <c r="O42" s="2"/>
    </row>
    <row r="43" spans="1:15" ht="16" thickBot="1" x14ac:dyDescent="0.4">
      <c r="A43" s="53" t="s">
        <v>81</v>
      </c>
      <c r="B43" s="270"/>
      <c r="C43" s="271"/>
      <c r="D43" s="271"/>
      <c r="E43" s="271"/>
      <c r="F43" s="271"/>
      <c r="G43" s="271"/>
      <c r="H43" s="271"/>
      <c r="I43" s="271"/>
      <c r="J43" s="272"/>
      <c r="K43" s="72">
        <f>AVERAGE(K33:K42)</f>
        <v>16.071233476764615</v>
      </c>
      <c r="O43" s="2"/>
    </row>
    <row r="44" spans="1:15" x14ac:dyDescent="0.35">
      <c r="A44" s="32"/>
      <c r="B44" s="32"/>
      <c r="C44" s="24"/>
      <c r="D44" s="24"/>
      <c r="E44" s="24"/>
      <c r="F44" s="24"/>
      <c r="G44" s="24"/>
      <c r="H44" s="24"/>
      <c r="I44" s="24"/>
      <c r="J44" s="25"/>
      <c r="O44" s="2"/>
    </row>
    <row r="45" spans="1:15" ht="16" thickBot="1" x14ac:dyDescent="0.4">
      <c r="A45" s="276" t="s">
        <v>13</v>
      </c>
      <c r="B45" s="276"/>
      <c r="C45" s="39"/>
      <c r="D45" s="24"/>
      <c r="E45" s="24"/>
      <c r="F45" s="24"/>
      <c r="G45" s="24"/>
      <c r="H45" s="24"/>
      <c r="I45" s="24"/>
      <c r="J45" s="24"/>
      <c r="K45" s="24"/>
      <c r="O45" s="2"/>
    </row>
    <row r="46" spans="1:15" ht="15.5" x14ac:dyDescent="0.35">
      <c r="A46" s="51"/>
      <c r="B46" s="41" t="s">
        <v>0</v>
      </c>
      <c r="C46" s="41" t="s">
        <v>1</v>
      </c>
      <c r="D46" s="42" t="s">
        <v>2</v>
      </c>
      <c r="E46" s="41" t="s">
        <v>3</v>
      </c>
      <c r="F46" s="42" t="s">
        <v>4</v>
      </c>
      <c r="G46" s="41" t="s">
        <v>5</v>
      </c>
      <c r="H46" s="41" t="s">
        <v>6</v>
      </c>
      <c r="I46" s="41" t="s">
        <v>7</v>
      </c>
      <c r="J46" s="42" t="s">
        <v>8</v>
      </c>
      <c r="K46" s="43" t="s">
        <v>9</v>
      </c>
      <c r="O46" s="2"/>
    </row>
    <row r="47" spans="1:15" ht="15.5" x14ac:dyDescent="0.35">
      <c r="A47" s="52">
        <v>2011</v>
      </c>
      <c r="B47" s="22">
        <v>9737000000</v>
      </c>
      <c r="C47" s="22">
        <v>37905000000</v>
      </c>
      <c r="D47" s="23">
        <f>B47/C47*100</f>
        <v>25.687903970452446</v>
      </c>
      <c r="E47" s="22">
        <v>72574000000</v>
      </c>
      <c r="F47" s="23">
        <f t="shared" ref="F47:F56" si="15">C47/E47</f>
        <v>0.52229448562846204</v>
      </c>
      <c r="G47" s="22">
        <v>20264000000</v>
      </c>
      <c r="H47" s="22">
        <v>37605000000</v>
      </c>
      <c r="I47" s="22">
        <f>G47+H47</f>
        <v>57869000000</v>
      </c>
      <c r="J47" s="31">
        <f t="shared" ref="J47:J56" si="16">E47/I47</f>
        <v>1.2541084172873214</v>
      </c>
      <c r="K47" s="44">
        <f t="shared" ref="K47:K56" si="17">D47*F47*J47</f>
        <v>16.825934438127497</v>
      </c>
      <c r="O47" s="2"/>
    </row>
    <row r="48" spans="1:15" ht="15.5" x14ac:dyDescent="0.35">
      <c r="A48" s="52">
        <v>2012</v>
      </c>
      <c r="B48" s="22">
        <v>10788000000</v>
      </c>
      <c r="C48" s="22">
        <v>50175000000</v>
      </c>
      <c r="D48" s="23">
        <f t="shared" ref="D48:D56" si="18">B48/C48*100</f>
        <v>21.500747384155456</v>
      </c>
      <c r="E48" s="22">
        <v>93798000000</v>
      </c>
      <c r="F48" s="23">
        <f t="shared" si="15"/>
        <v>0.53492611782767219</v>
      </c>
      <c r="G48" s="22">
        <v>22835000000</v>
      </c>
      <c r="H48" s="22">
        <v>48342000000</v>
      </c>
      <c r="I48" s="22">
        <f t="shared" ref="I48:I56" si="19">G48+H48</f>
        <v>71177000000</v>
      </c>
      <c r="J48" s="31">
        <f t="shared" si="16"/>
        <v>1.3178133385784734</v>
      </c>
      <c r="K48" s="44">
        <f t="shared" si="17"/>
        <v>15.156581479972463</v>
      </c>
      <c r="O48" s="2"/>
    </row>
    <row r="49" spans="1:15" ht="15.5" x14ac:dyDescent="0.35">
      <c r="A49" s="52">
        <v>2013</v>
      </c>
      <c r="B49" s="22">
        <v>12214000000</v>
      </c>
      <c r="C49" s="22">
        <v>59825000000</v>
      </c>
      <c r="D49" s="23">
        <f t="shared" si="18"/>
        <v>20.416213957375678</v>
      </c>
      <c r="E49" s="22">
        <v>110920000000</v>
      </c>
      <c r="F49" s="23">
        <f t="shared" si="15"/>
        <v>0.53935268662098812</v>
      </c>
      <c r="G49" s="22">
        <v>25922000000</v>
      </c>
      <c r="H49" s="22">
        <v>61262000000</v>
      </c>
      <c r="I49" s="22">
        <f t="shared" si="19"/>
        <v>87184000000</v>
      </c>
      <c r="J49" s="31">
        <f t="shared" si="16"/>
        <v>1.2722517893191412</v>
      </c>
      <c r="K49" s="44">
        <f t="shared" si="17"/>
        <v>14.009451275463389</v>
      </c>
      <c r="O49" s="2"/>
    </row>
    <row r="50" spans="1:15" ht="15.5" x14ac:dyDescent="0.35">
      <c r="A50" s="52">
        <v>2014</v>
      </c>
      <c r="B50" s="22">
        <v>13928000000</v>
      </c>
      <c r="C50" s="22">
        <v>66001000000</v>
      </c>
      <c r="D50" s="23">
        <f t="shared" si="18"/>
        <v>21.10271056499144</v>
      </c>
      <c r="E50" s="22">
        <v>131133000000</v>
      </c>
      <c r="F50" s="23">
        <f t="shared" si="15"/>
        <v>0.5033134298765376</v>
      </c>
      <c r="G50" s="22">
        <v>28767000000</v>
      </c>
      <c r="H50" s="22">
        <v>75706000000</v>
      </c>
      <c r="I50" s="22">
        <f t="shared" si="19"/>
        <v>104473000000</v>
      </c>
      <c r="J50" s="31">
        <f t="shared" si="16"/>
        <v>1.2551855503335789</v>
      </c>
      <c r="K50" s="44">
        <f t="shared" si="17"/>
        <v>13.331674212475953</v>
      </c>
      <c r="O50" s="2"/>
    </row>
    <row r="51" spans="1:15" ht="15.5" x14ac:dyDescent="0.35">
      <c r="A51" s="52">
        <v>2015</v>
      </c>
      <c r="B51" s="22">
        <v>16348000000</v>
      </c>
      <c r="C51" s="22">
        <v>74989000000</v>
      </c>
      <c r="D51" s="23">
        <f t="shared" si="18"/>
        <v>21.800530744509196</v>
      </c>
      <c r="E51" s="22">
        <v>147461000000</v>
      </c>
      <c r="F51" s="23">
        <f t="shared" si="15"/>
        <v>0.50853445995890434</v>
      </c>
      <c r="G51" s="22">
        <v>32982000000</v>
      </c>
      <c r="H51" s="22">
        <v>89223000000</v>
      </c>
      <c r="I51" s="22">
        <f t="shared" si="19"/>
        <v>122205000000</v>
      </c>
      <c r="J51" s="31">
        <f t="shared" si="16"/>
        <v>1.2066691215580376</v>
      </c>
      <c r="K51" s="44">
        <f t="shared" si="17"/>
        <v>13.377521378012354</v>
      </c>
      <c r="O51" s="2"/>
    </row>
    <row r="52" spans="1:15" ht="15.5" x14ac:dyDescent="0.35">
      <c r="A52" s="52">
        <v>2016</v>
      </c>
      <c r="B52" s="22">
        <v>19478000000</v>
      </c>
      <c r="C52" s="22">
        <v>90272000000</v>
      </c>
      <c r="D52" s="23">
        <f>B52/C52*100</f>
        <v>21.57701169797944</v>
      </c>
      <c r="E52" s="22">
        <v>167497000000</v>
      </c>
      <c r="F52" s="23">
        <f t="shared" si="15"/>
        <v>0.53894696621432026</v>
      </c>
      <c r="G52" s="22">
        <v>36307000000</v>
      </c>
      <c r="H52" s="22">
        <v>105131000000</v>
      </c>
      <c r="I52" s="22">
        <f t="shared" si="19"/>
        <v>141438000000</v>
      </c>
      <c r="J52" s="31">
        <f t="shared" si="16"/>
        <v>1.1842432726707108</v>
      </c>
      <c r="K52" s="44">
        <f t="shared" si="17"/>
        <v>13.771405138647323</v>
      </c>
    </row>
    <row r="53" spans="1:15" ht="15.5" x14ac:dyDescent="0.35">
      <c r="A53" s="52">
        <v>2017</v>
      </c>
      <c r="B53" s="22">
        <v>12662000000</v>
      </c>
      <c r="C53" s="22">
        <v>110855000000</v>
      </c>
      <c r="D53" s="23">
        <f t="shared" si="18"/>
        <v>11.422128005051645</v>
      </c>
      <c r="E53" s="22">
        <v>197295000000</v>
      </c>
      <c r="F53" s="23">
        <f t="shared" si="15"/>
        <v>0.5618743505917535</v>
      </c>
      <c r="G53" s="22">
        <v>40247000000</v>
      </c>
      <c r="H53" s="22">
        <v>113247000000</v>
      </c>
      <c r="I53" s="22">
        <f t="shared" si="19"/>
        <v>153494000000</v>
      </c>
      <c r="J53" s="31">
        <f t="shared" si="16"/>
        <v>1.2853596883265794</v>
      </c>
      <c r="K53" s="44">
        <f t="shared" si="17"/>
        <v>8.2491823784643046</v>
      </c>
    </row>
    <row r="54" spans="1:15" ht="15.5" x14ac:dyDescent="0.35">
      <c r="A54" s="52">
        <v>2018</v>
      </c>
      <c r="B54" s="22">
        <v>30736000000</v>
      </c>
      <c r="C54" s="22">
        <v>136819000000</v>
      </c>
      <c r="D54" s="23">
        <f t="shared" si="18"/>
        <v>22.464716157843576</v>
      </c>
      <c r="E54" s="22">
        <v>232792000000</v>
      </c>
      <c r="F54" s="23">
        <f t="shared" si="15"/>
        <v>0.58773067803017287</v>
      </c>
      <c r="G54" s="22">
        <v>45049000000</v>
      </c>
      <c r="H54" s="22">
        <v>134885000000</v>
      </c>
      <c r="I54" s="22">
        <f t="shared" si="19"/>
        <v>179934000000</v>
      </c>
      <c r="J54" s="31">
        <f t="shared" si="16"/>
        <v>1.2937632687540987</v>
      </c>
      <c r="K54" s="44">
        <f t="shared" si="17"/>
        <v>17.081818889148245</v>
      </c>
    </row>
    <row r="55" spans="1:15" ht="15.5" x14ac:dyDescent="0.35">
      <c r="A55" s="52">
        <v>2019</v>
      </c>
      <c r="B55" s="22">
        <v>34343000000</v>
      </c>
      <c r="C55" s="22">
        <v>161857000000</v>
      </c>
      <c r="D55" s="23">
        <f t="shared" si="18"/>
        <v>21.218112284300339</v>
      </c>
      <c r="E55" s="22">
        <v>275909000000</v>
      </c>
      <c r="F55" s="23">
        <f t="shared" si="15"/>
        <v>0.58663182426089766</v>
      </c>
      <c r="G55" s="22">
        <v>50552000000</v>
      </c>
      <c r="H55" s="22">
        <v>152122000000</v>
      </c>
      <c r="I55" s="22">
        <f t="shared" si="19"/>
        <v>202674000000</v>
      </c>
      <c r="J55" s="31">
        <f t="shared" si="16"/>
        <v>1.3613438329534129</v>
      </c>
      <c r="K55" s="44">
        <f t="shared" si="17"/>
        <v>16.944946071030326</v>
      </c>
    </row>
    <row r="56" spans="1:15" ht="15.5" x14ac:dyDescent="0.35">
      <c r="A56" s="52">
        <v>2020</v>
      </c>
      <c r="B56" s="22">
        <v>40269000000</v>
      </c>
      <c r="C56" s="22">
        <v>182527000000</v>
      </c>
      <c r="D56" s="23">
        <f t="shared" si="18"/>
        <v>22.061941520980458</v>
      </c>
      <c r="E56" s="22">
        <v>319616000000</v>
      </c>
      <c r="F56" s="23">
        <f t="shared" si="15"/>
        <v>0.57108217360833002</v>
      </c>
      <c r="G56" s="22">
        <v>58510000000</v>
      </c>
      <c r="H56" s="22">
        <v>163401000000</v>
      </c>
      <c r="I56" s="22">
        <f t="shared" si="19"/>
        <v>221911000000</v>
      </c>
      <c r="J56" s="31">
        <f t="shared" si="16"/>
        <v>1.4402891249194496</v>
      </c>
      <c r="K56" s="44">
        <f t="shared" si="17"/>
        <v>18.146464123004268</v>
      </c>
    </row>
    <row r="57" spans="1:15" ht="16" thickBot="1" x14ac:dyDescent="0.4">
      <c r="A57" s="53" t="s">
        <v>81</v>
      </c>
      <c r="B57" s="267"/>
      <c r="C57" s="268"/>
      <c r="D57" s="268"/>
      <c r="E57" s="268"/>
      <c r="F57" s="268"/>
      <c r="G57" s="268"/>
      <c r="H57" s="268"/>
      <c r="I57" s="268"/>
      <c r="J57" s="269"/>
      <c r="K57" s="74">
        <f>AVERAGE(K47:K56)</f>
        <v>14.689497938434616</v>
      </c>
    </row>
  </sheetData>
  <mergeCells count="9">
    <mergeCell ref="A1:D1"/>
    <mergeCell ref="B57:J57"/>
    <mergeCell ref="B43:J43"/>
    <mergeCell ref="B29:J29"/>
    <mergeCell ref="A31:B31"/>
    <mergeCell ref="A17:B17"/>
    <mergeCell ref="A45:B45"/>
    <mergeCell ref="A3:B3"/>
    <mergeCell ref="B15:J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AFB9-FE88-42B9-8EE4-B55208030288}">
  <dimension ref="A1:D57"/>
  <sheetViews>
    <sheetView zoomScale="40" zoomScaleNormal="40" workbookViewId="0">
      <selection sqref="A1:C1"/>
    </sheetView>
  </sheetViews>
  <sheetFormatPr defaultRowHeight="14.5" x14ac:dyDescent="0.35"/>
  <cols>
    <col min="1" max="1" width="19" style="66" customWidth="1"/>
    <col min="2" max="2" width="15.36328125" style="66" bestFit="1" customWidth="1"/>
    <col min="3" max="3" width="16.453125" style="66" bestFit="1" customWidth="1"/>
    <col min="4" max="4" width="15.81640625" style="66" bestFit="1" customWidth="1"/>
    <col min="5" max="16384" width="8.7265625" style="66"/>
  </cols>
  <sheetData>
    <row r="1" spans="1:4" x14ac:dyDescent="0.35">
      <c r="A1" s="359" t="s">
        <v>119</v>
      </c>
      <c r="B1" s="359"/>
      <c r="C1" s="359"/>
    </row>
    <row r="3" spans="1:4" ht="16" thickBot="1" x14ac:dyDescent="0.4">
      <c r="A3" s="68" t="s">
        <v>11</v>
      </c>
      <c r="B3" s="68"/>
    </row>
    <row r="4" spans="1:4" ht="15.5" x14ac:dyDescent="0.35">
      <c r="A4" s="65"/>
      <c r="B4" s="55" t="s">
        <v>128</v>
      </c>
      <c r="C4" s="55" t="s">
        <v>120</v>
      </c>
      <c r="D4" s="45" t="s">
        <v>14</v>
      </c>
    </row>
    <row r="5" spans="1:4" ht="15.5" x14ac:dyDescent="0.35">
      <c r="A5" s="58">
        <v>2011</v>
      </c>
      <c r="B5" s="26">
        <v>1432000000</v>
      </c>
      <c r="C5" s="26">
        <v>4899000000</v>
      </c>
      <c r="D5" s="47">
        <f>B5/C5</f>
        <v>0.29230455194937743</v>
      </c>
    </row>
    <row r="6" spans="1:4" ht="15.5" x14ac:dyDescent="0.35">
      <c r="A6" s="58">
        <v>2012</v>
      </c>
      <c r="B6" s="26">
        <v>3348000000</v>
      </c>
      <c r="C6" s="26">
        <v>11755000000</v>
      </c>
      <c r="D6" s="47">
        <f t="shared" ref="D6:D14" si="0">B6/C6</f>
        <v>0.28481497235219055</v>
      </c>
    </row>
    <row r="7" spans="1:4" ht="15.5" x14ac:dyDescent="0.35">
      <c r="A7" s="58">
        <v>2013</v>
      </c>
      <c r="B7" s="26">
        <v>2425000000</v>
      </c>
      <c r="C7" s="26">
        <v>15470000000</v>
      </c>
      <c r="D7" s="47">
        <f t="shared" si="0"/>
        <v>0.15675500969618616</v>
      </c>
    </row>
    <row r="8" spans="1:4" ht="15.5" x14ac:dyDescent="0.35">
      <c r="A8" s="58">
        <v>2014</v>
      </c>
      <c r="B8" s="26">
        <v>4088000000</v>
      </c>
      <c r="C8" s="26">
        <v>36096000000</v>
      </c>
      <c r="D8" s="47">
        <f t="shared" si="0"/>
        <v>0.11325354609929078</v>
      </c>
    </row>
    <row r="9" spans="1:4" ht="15.5" x14ac:dyDescent="0.35">
      <c r="A9" s="58">
        <v>2015</v>
      </c>
      <c r="B9" s="26">
        <v>5189000000</v>
      </c>
      <c r="C9" s="26">
        <v>44218000000</v>
      </c>
      <c r="D9" s="47">
        <f t="shared" si="0"/>
        <v>0.11735040028947487</v>
      </c>
    </row>
    <row r="10" spans="1:4" ht="15.5" x14ac:dyDescent="0.35">
      <c r="A10" s="58">
        <v>2016</v>
      </c>
      <c r="B10" s="26">
        <v>5767000000</v>
      </c>
      <c r="C10" s="26">
        <v>59194000000</v>
      </c>
      <c r="D10" s="47">
        <f t="shared" si="0"/>
        <v>9.7425414737980207E-2</v>
      </c>
    </row>
    <row r="11" spans="1:4" ht="15.5" x14ac:dyDescent="0.35">
      <c r="A11" s="58">
        <v>2017</v>
      </c>
      <c r="B11" s="26">
        <v>10177000000</v>
      </c>
      <c r="C11" s="26">
        <v>74347000000</v>
      </c>
      <c r="D11" s="47">
        <f t="shared" si="0"/>
        <v>0.13688514667706833</v>
      </c>
    </row>
    <row r="12" spans="1:4" ht="15.5" x14ac:dyDescent="0.35">
      <c r="A12" s="58">
        <v>2018</v>
      </c>
      <c r="B12" s="26">
        <v>13207000000</v>
      </c>
      <c r="C12" s="26">
        <v>84127000000</v>
      </c>
      <c r="D12" s="47">
        <f t="shared" si="0"/>
        <v>0.15698883830399277</v>
      </c>
    </row>
    <row r="13" spans="1:4" ht="15.5" x14ac:dyDescent="0.35">
      <c r="A13" s="58">
        <v>2019</v>
      </c>
      <c r="B13" s="26">
        <v>32322000000</v>
      </c>
      <c r="C13" s="26">
        <v>101054000000</v>
      </c>
      <c r="D13" s="47">
        <f t="shared" si="0"/>
        <v>0.31984879371425179</v>
      </c>
    </row>
    <row r="14" spans="1:4" ht="15.5" x14ac:dyDescent="0.35">
      <c r="A14" s="58">
        <v>2020</v>
      </c>
      <c r="B14" s="26">
        <v>31026000000</v>
      </c>
      <c r="C14" s="26">
        <v>128290000000</v>
      </c>
      <c r="D14" s="47">
        <f t="shared" si="0"/>
        <v>0.24184270013251227</v>
      </c>
    </row>
    <row r="15" spans="1:4" ht="16" thickBot="1" x14ac:dyDescent="0.4">
      <c r="A15" s="67" t="s">
        <v>84</v>
      </c>
      <c r="B15" s="283"/>
      <c r="C15" s="284"/>
      <c r="D15" s="72">
        <f>AVERAGE(D5:D14)</f>
        <v>0.19174693739523252</v>
      </c>
    </row>
    <row r="17" spans="1:4" ht="16" thickBot="1" x14ac:dyDescent="0.4">
      <c r="A17" s="39" t="s">
        <v>10</v>
      </c>
    </row>
    <row r="18" spans="1:4" ht="15.5" x14ac:dyDescent="0.35">
      <c r="A18" s="65"/>
      <c r="B18" s="55" t="s">
        <v>128</v>
      </c>
      <c r="C18" s="55" t="s">
        <v>120</v>
      </c>
      <c r="D18" s="45" t="s">
        <v>14</v>
      </c>
    </row>
    <row r="19" spans="1:4" ht="15.5" x14ac:dyDescent="0.35">
      <c r="A19" s="58">
        <v>2011</v>
      </c>
      <c r="B19" s="71">
        <v>17521000000</v>
      </c>
      <c r="C19" s="26">
        <v>7757000000</v>
      </c>
      <c r="D19" s="47">
        <f>B19/C19</f>
        <v>2.2587340466675263</v>
      </c>
    </row>
    <row r="20" spans="1:4" ht="15.5" x14ac:dyDescent="0.35">
      <c r="A20" s="58">
        <v>2012</v>
      </c>
      <c r="B20" s="26">
        <v>24363000000</v>
      </c>
      <c r="C20" s="26">
        <v>8192000000</v>
      </c>
      <c r="D20" s="47">
        <f t="shared" ref="D20:D27" si="1">B20/C20</f>
        <v>2.9739990234375</v>
      </c>
    </row>
    <row r="21" spans="1:4" ht="15.5" x14ac:dyDescent="0.35">
      <c r="A21" s="58">
        <v>2013</v>
      </c>
      <c r="B21" s="26">
        <v>30413000000</v>
      </c>
      <c r="C21" s="26">
        <v>9746000000</v>
      </c>
      <c r="D21" s="47">
        <f t="shared" si="1"/>
        <v>3.1205622819618304</v>
      </c>
    </row>
    <row r="22" spans="1:4" ht="15.5" x14ac:dyDescent="0.35">
      <c r="A22" s="58">
        <v>2014</v>
      </c>
      <c r="B22" s="26">
        <v>43764000000</v>
      </c>
      <c r="C22" s="26">
        <v>10741000000</v>
      </c>
      <c r="D22" s="47">
        <f t="shared" si="1"/>
        <v>4.0744809608043946</v>
      </c>
    </row>
    <row r="23" spans="1:4" ht="15.5" x14ac:dyDescent="0.35">
      <c r="A23" s="58">
        <v>2015</v>
      </c>
      <c r="B23" s="26">
        <v>52060000000</v>
      </c>
      <c r="C23" s="26">
        <v>13384000000</v>
      </c>
      <c r="D23" s="47">
        <f t="shared" si="1"/>
        <v>3.8897190675433353</v>
      </c>
    </row>
    <row r="24" spans="1:4" ht="15.5" x14ac:dyDescent="0.35">
      <c r="A24" s="58">
        <v>2016</v>
      </c>
      <c r="B24" s="26">
        <v>64117000000</v>
      </c>
      <c r="C24" s="26">
        <v>19285000000</v>
      </c>
      <c r="D24" s="47">
        <f t="shared" si="1"/>
        <v>3.3247083225304639</v>
      </c>
    </row>
    <row r="25" spans="1:4" ht="15.5" x14ac:dyDescent="0.35">
      <c r="A25" s="58">
        <v>2017</v>
      </c>
      <c r="B25" s="26">
        <v>103601000000</v>
      </c>
      <c r="C25" s="26">
        <v>27709000000</v>
      </c>
      <c r="D25" s="47">
        <f t="shared" si="1"/>
        <v>3.7388935003067596</v>
      </c>
    </row>
    <row r="26" spans="1:4" ht="15.5" x14ac:dyDescent="0.35">
      <c r="A26" s="58">
        <v>2018</v>
      </c>
      <c r="B26" s="26">
        <v>119099000000</v>
      </c>
      <c r="C26" s="26">
        <v>43549000000</v>
      </c>
      <c r="D26" s="47">
        <f t="shared" si="1"/>
        <v>2.734827435762015</v>
      </c>
    </row>
    <row r="27" spans="1:4" ht="15.5" x14ac:dyDescent="0.35">
      <c r="A27" s="58">
        <v>2019</v>
      </c>
      <c r="B27" s="26">
        <v>163188000000</v>
      </c>
      <c r="C27" s="26">
        <v>62060000000</v>
      </c>
      <c r="D27" s="47">
        <f t="shared" si="1"/>
        <v>2.6295198195294875</v>
      </c>
    </row>
    <row r="28" spans="1:4" ht="15.5" x14ac:dyDescent="0.35">
      <c r="A28" s="58">
        <v>2020</v>
      </c>
      <c r="B28" s="26">
        <v>227791000000</v>
      </c>
      <c r="C28" s="26">
        <v>93404000000</v>
      </c>
      <c r="D28" s="47">
        <f>B28/C28</f>
        <v>2.4387713588283155</v>
      </c>
    </row>
    <row r="29" spans="1:4" ht="16" thickBot="1" x14ac:dyDescent="0.4">
      <c r="A29" s="67" t="s">
        <v>84</v>
      </c>
      <c r="B29" s="281"/>
      <c r="C29" s="282"/>
      <c r="D29" s="72">
        <f>AVERAGE(D19:D28)</f>
        <v>3.118421581737163</v>
      </c>
    </row>
    <row r="31" spans="1:4" ht="16" thickBot="1" x14ac:dyDescent="0.4">
      <c r="A31" s="70" t="s">
        <v>12</v>
      </c>
      <c r="B31" s="69"/>
    </row>
    <row r="32" spans="1:4" ht="15.5" x14ac:dyDescent="0.35">
      <c r="A32" s="65"/>
      <c r="B32" s="55" t="s">
        <v>128</v>
      </c>
      <c r="C32" s="55" t="s">
        <v>120</v>
      </c>
      <c r="D32" s="45" t="s">
        <v>14</v>
      </c>
    </row>
    <row r="33" spans="1:4" ht="15.5" x14ac:dyDescent="0.35">
      <c r="A33" s="58">
        <v>2011</v>
      </c>
      <c r="B33" s="62">
        <v>2426386000</v>
      </c>
      <c r="C33" s="62">
        <v>642810000</v>
      </c>
      <c r="D33" s="47">
        <f t="shared" ref="D33:D42" si="2">B33/C33</f>
        <v>3.7746550302577746</v>
      </c>
    </row>
    <row r="34" spans="1:4" ht="15.5" x14ac:dyDescent="0.35">
      <c r="A34" s="58">
        <v>2012</v>
      </c>
      <c r="B34" s="62">
        <v>3223217000</v>
      </c>
      <c r="C34" s="62">
        <v>744673000</v>
      </c>
      <c r="D34" s="47">
        <f t="shared" si="2"/>
        <v>4.3283656047688046</v>
      </c>
    </row>
    <row r="35" spans="1:4" ht="15.5" x14ac:dyDescent="0.35">
      <c r="A35" s="58">
        <v>2013</v>
      </c>
      <c r="B35" s="62">
        <v>4079002000</v>
      </c>
      <c r="C35" s="62">
        <v>1333561000</v>
      </c>
      <c r="D35" s="47">
        <f t="shared" si="2"/>
        <v>3.0587292219853461</v>
      </c>
    </row>
    <row r="36" spans="1:4" ht="15.5" x14ac:dyDescent="0.35">
      <c r="A36" s="58">
        <v>2014</v>
      </c>
      <c r="B36" s="62">
        <v>5198943000</v>
      </c>
      <c r="C36" s="62">
        <v>1857708000</v>
      </c>
      <c r="D36" s="47">
        <f t="shared" si="2"/>
        <v>2.7985792169705896</v>
      </c>
    </row>
    <row r="37" spans="1:4" ht="15.5" x14ac:dyDescent="0.35">
      <c r="A37" s="58">
        <v>2015</v>
      </c>
      <c r="B37" s="62">
        <v>7979445000</v>
      </c>
      <c r="C37" s="62">
        <v>2223426000</v>
      </c>
      <c r="D37" s="47">
        <f t="shared" si="2"/>
        <v>3.588806193684881</v>
      </c>
    </row>
    <row r="38" spans="1:4" ht="15.5" x14ac:dyDescent="0.35">
      <c r="A38" s="58">
        <v>2016</v>
      </c>
      <c r="B38" s="62">
        <v>10906810000</v>
      </c>
      <c r="C38" s="62">
        <v>2679800000</v>
      </c>
      <c r="D38" s="47">
        <f t="shared" si="2"/>
        <v>4.0700089558922308</v>
      </c>
    </row>
    <row r="39" spans="1:4" ht="15.5" x14ac:dyDescent="0.35">
      <c r="A39" s="58">
        <v>2017</v>
      </c>
      <c r="B39" s="62">
        <v>15430786000</v>
      </c>
      <c r="C39" s="62">
        <v>3581956000</v>
      </c>
      <c r="D39" s="47">
        <f t="shared" si="2"/>
        <v>4.3079217053475807</v>
      </c>
    </row>
    <row r="40" spans="1:4" ht="15.5" x14ac:dyDescent="0.35">
      <c r="A40" s="58">
        <v>2018</v>
      </c>
      <c r="B40" s="62">
        <v>20735635000</v>
      </c>
      <c r="C40" s="62">
        <v>5238765000</v>
      </c>
      <c r="D40" s="47">
        <f t="shared" si="2"/>
        <v>3.9581151282792795</v>
      </c>
    </row>
    <row r="41" spans="1:4" ht="15.5" x14ac:dyDescent="0.35">
      <c r="A41" s="58">
        <v>2019</v>
      </c>
      <c r="B41" s="62">
        <v>26393555000</v>
      </c>
      <c r="C41" s="62">
        <v>7582157000</v>
      </c>
      <c r="D41" s="47">
        <f t="shared" si="2"/>
        <v>3.4810087683491648</v>
      </c>
    </row>
    <row r="42" spans="1:4" ht="15.5" x14ac:dyDescent="0.35">
      <c r="A42" s="58">
        <v>2020</v>
      </c>
      <c r="B42" s="62">
        <v>28215119000</v>
      </c>
      <c r="C42" s="62">
        <v>11065240000</v>
      </c>
      <c r="D42" s="47">
        <f t="shared" si="2"/>
        <v>2.5498876662413106</v>
      </c>
    </row>
    <row r="43" spans="1:4" ht="16" thickBot="1" x14ac:dyDescent="0.4">
      <c r="A43" s="67" t="s">
        <v>84</v>
      </c>
      <c r="B43" s="281"/>
      <c r="C43" s="282"/>
      <c r="D43" s="72">
        <f>AVERAGE(D33:D42)</f>
        <v>3.5916077491776961</v>
      </c>
    </row>
    <row r="45" spans="1:4" ht="16" thickBot="1" x14ac:dyDescent="0.4">
      <c r="A45" s="70" t="s">
        <v>13</v>
      </c>
      <c r="C45" s="69"/>
    </row>
    <row r="46" spans="1:4" ht="15.5" x14ac:dyDescent="0.35">
      <c r="A46" s="65"/>
      <c r="B46" s="55" t="s">
        <v>128</v>
      </c>
      <c r="C46" s="55" t="s">
        <v>120</v>
      </c>
      <c r="D46" s="45" t="s">
        <v>14</v>
      </c>
    </row>
    <row r="47" spans="1:4" ht="15.5" x14ac:dyDescent="0.35">
      <c r="A47" s="58">
        <v>2011</v>
      </c>
      <c r="B47" s="26">
        <v>14429000000</v>
      </c>
      <c r="C47" s="26">
        <v>58145000000</v>
      </c>
      <c r="D47" s="47">
        <f>B47/C47</f>
        <v>0.24815547338550176</v>
      </c>
    </row>
    <row r="48" spans="1:4" ht="15.5" x14ac:dyDescent="0.35">
      <c r="A48" s="58">
        <v>2012</v>
      </c>
      <c r="B48" s="26">
        <v>22083000000</v>
      </c>
      <c r="C48" s="26">
        <v>71715000000</v>
      </c>
      <c r="D48" s="47">
        <f t="shared" ref="D48:D56" si="3">B48/C48</f>
        <v>0.30792721188035976</v>
      </c>
    </row>
    <row r="49" spans="1:4" ht="15.5" x14ac:dyDescent="0.35">
      <c r="A49" s="58">
        <v>2013</v>
      </c>
      <c r="B49" s="26">
        <v>23611000000</v>
      </c>
      <c r="C49" s="26">
        <v>87309000000</v>
      </c>
      <c r="D49" s="47">
        <f t="shared" si="3"/>
        <v>0.27043031073543394</v>
      </c>
    </row>
    <row r="50" spans="1:4" ht="15.5" x14ac:dyDescent="0.35">
      <c r="A50" s="58">
        <v>2014</v>
      </c>
      <c r="B50" s="26">
        <v>26633000000</v>
      </c>
      <c r="C50" s="26">
        <v>104500000000</v>
      </c>
      <c r="D50" s="47">
        <f t="shared" si="3"/>
        <v>0.25486124401913873</v>
      </c>
    </row>
    <row r="51" spans="1:4" ht="15.5" x14ac:dyDescent="0.35">
      <c r="A51" s="58">
        <v>2015</v>
      </c>
      <c r="B51" s="26">
        <v>27130000000</v>
      </c>
      <c r="C51" s="26">
        <v>120331000000</v>
      </c>
      <c r="D51" s="47">
        <f t="shared" si="3"/>
        <v>0.22546143554030135</v>
      </c>
    </row>
    <row r="52" spans="1:4" ht="15.5" x14ac:dyDescent="0.35">
      <c r="A52" s="58">
        <v>2016</v>
      </c>
      <c r="B52" s="26">
        <v>28461000000</v>
      </c>
      <c r="C52" s="26">
        <v>139036000000</v>
      </c>
      <c r="D52" s="47">
        <f t="shared" si="3"/>
        <v>0.20470237923990908</v>
      </c>
    </row>
    <row r="53" spans="1:4" ht="15.5" x14ac:dyDescent="0.35">
      <c r="A53" s="58">
        <v>2017</v>
      </c>
      <c r="B53" s="26">
        <v>44793000000</v>
      </c>
      <c r="C53" s="26">
        <v>152502000000</v>
      </c>
      <c r="D53" s="47">
        <f t="shared" si="3"/>
        <v>0.29372073808868082</v>
      </c>
    </row>
    <row r="54" spans="1:4" ht="15.5" x14ac:dyDescent="0.35">
      <c r="A54" s="58">
        <v>2018</v>
      </c>
      <c r="B54" s="26">
        <v>55164000000</v>
      </c>
      <c r="C54" s="26">
        <v>177628000000</v>
      </c>
      <c r="D54" s="47">
        <f t="shared" si="3"/>
        <v>0.31055914608057289</v>
      </c>
    </row>
    <row r="55" spans="1:4" ht="15.5" x14ac:dyDescent="0.35">
      <c r="A55" s="58">
        <v>2019</v>
      </c>
      <c r="B55" s="26">
        <v>74467000000</v>
      </c>
      <c r="C55" s="26">
        <v>201442000000</v>
      </c>
      <c r="D55" s="47">
        <f t="shared" si="3"/>
        <v>0.36966968159569502</v>
      </c>
    </row>
    <row r="56" spans="1:4" ht="15.5" x14ac:dyDescent="0.35">
      <c r="A56" s="58">
        <v>2020</v>
      </c>
      <c r="B56" s="26">
        <v>97072000000</v>
      </c>
      <c r="C56" s="26">
        <v>222544000000</v>
      </c>
      <c r="D56" s="47">
        <f t="shared" si="3"/>
        <v>0.43619239341433602</v>
      </c>
    </row>
    <row r="57" spans="1:4" ht="16" thickBot="1" x14ac:dyDescent="0.4">
      <c r="A57" s="67" t="s">
        <v>84</v>
      </c>
      <c r="B57" s="281"/>
      <c r="C57" s="282"/>
      <c r="D57" s="72">
        <f>AVERAGE(D47:D56)</f>
        <v>0.29216800139799293</v>
      </c>
    </row>
  </sheetData>
  <mergeCells count="5">
    <mergeCell ref="B57:C57"/>
    <mergeCell ref="A1:C1"/>
    <mergeCell ref="B15:C15"/>
    <mergeCell ref="B29:C29"/>
    <mergeCell ref="B43:C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49EB-BE3B-4C91-A1C0-2E690F65F1F4}">
  <dimension ref="A1:K29"/>
  <sheetViews>
    <sheetView zoomScale="66" zoomScaleNormal="66" workbookViewId="0">
      <selection activeCell="D1" sqref="D1:E1"/>
    </sheetView>
  </sheetViews>
  <sheetFormatPr defaultRowHeight="14.5" x14ac:dyDescent="0.35"/>
  <cols>
    <col min="1" max="1" width="20.1796875" style="9" bestFit="1" customWidth="1"/>
    <col min="2" max="2" width="24" style="9" customWidth="1"/>
    <col min="3" max="3" width="8.7265625" style="9"/>
    <col min="4" max="4" width="28.1796875" style="9" customWidth="1"/>
    <col min="5" max="5" width="28.26953125" style="9" customWidth="1"/>
    <col min="6" max="6" width="10.36328125" style="9" customWidth="1"/>
    <col min="7" max="7" width="20.08984375" style="9" customWidth="1"/>
    <col min="8" max="8" width="17.54296875" style="9" customWidth="1"/>
    <col min="9" max="9" width="18.453125" style="9" bestFit="1" customWidth="1"/>
    <col min="10" max="10" width="26.81640625" style="9" customWidth="1"/>
    <col min="11" max="11" width="26.7265625" style="9" customWidth="1"/>
    <col min="12" max="12" width="10.1796875" style="9" customWidth="1"/>
    <col min="13" max="13" width="20.6328125" style="9" customWidth="1"/>
    <col min="14" max="16384" width="8.7265625" style="9"/>
  </cols>
  <sheetData>
    <row r="1" spans="1:11" x14ac:dyDescent="0.35">
      <c r="A1" s="357" t="s">
        <v>92</v>
      </c>
      <c r="B1" s="357"/>
      <c r="C1" s="358"/>
      <c r="D1" s="357" t="s">
        <v>94</v>
      </c>
      <c r="E1" s="357"/>
      <c r="F1" s="184" t="s">
        <v>56</v>
      </c>
      <c r="G1" s="357" t="s">
        <v>91</v>
      </c>
      <c r="H1" s="357"/>
      <c r="I1" s="184"/>
      <c r="J1" s="357" t="s">
        <v>95</v>
      </c>
      <c r="K1" s="357"/>
    </row>
    <row r="3" spans="1:11" ht="15" thickBot="1" x14ac:dyDescent="0.4">
      <c r="A3" s="107" t="s">
        <v>11</v>
      </c>
      <c r="D3" s="285" t="s">
        <v>87</v>
      </c>
      <c r="E3" s="285"/>
      <c r="G3" s="285" t="s">
        <v>60</v>
      </c>
      <c r="H3" s="285"/>
      <c r="J3" s="285" t="s">
        <v>66</v>
      </c>
      <c r="K3" s="285"/>
    </row>
    <row r="4" spans="1:11" x14ac:dyDescent="0.35">
      <c r="A4" s="108" t="s">
        <v>46</v>
      </c>
      <c r="B4" s="76">
        <f>E6</f>
        <v>798717150000.00012</v>
      </c>
      <c r="D4" s="108" t="s">
        <v>90</v>
      </c>
      <c r="E4" s="18">
        <v>280.35000000000002</v>
      </c>
      <c r="G4" s="108" t="s">
        <v>48</v>
      </c>
      <c r="H4" s="18">
        <v>1.6899999999999998E-2</v>
      </c>
      <c r="J4" s="108" t="s">
        <v>76</v>
      </c>
      <c r="K4" s="18">
        <v>20000000</v>
      </c>
    </row>
    <row r="5" spans="1:11" x14ac:dyDescent="0.35">
      <c r="A5" s="109" t="s">
        <v>45</v>
      </c>
      <c r="B5" s="19">
        <v>9631000000</v>
      </c>
      <c r="D5" s="109" t="s">
        <v>147</v>
      </c>
      <c r="E5" s="19">
        <v>2849000000</v>
      </c>
      <c r="G5" s="109" t="s">
        <v>49</v>
      </c>
      <c r="H5" s="19">
        <v>1.25</v>
      </c>
      <c r="J5" s="109" t="s">
        <v>50</v>
      </c>
      <c r="K5" s="19">
        <f>B5</f>
        <v>9631000000</v>
      </c>
    </row>
    <row r="6" spans="1:11" ht="15" thickBot="1" x14ac:dyDescent="0.4">
      <c r="A6" s="109" t="s">
        <v>47</v>
      </c>
      <c r="B6" s="19">
        <f>H7</f>
        <v>9.1899999999999996E-2</v>
      </c>
      <c r="D6" s="110" t="s">
        <v>67</v>
      </c>
      <c r="E6" s="77">
        <f>E4*E5</f>
        <v>798717150000.00012</v>
      </c>
      <c r="G6" s="109" t="s">
        <v>79</v>
      </c>
      <c r="H6" s="19">
        <v>0.06</v>
      </c>
      <c r="J6" s="109" t="s">
        <v>78</v>
      </c>
      <c r="K6" s="19">
        <f>1-FCFF!AD17</f>
        <v>0.80637374612802604</v>
      </c>
    </row>
    <row r="7" spans="1:11" ht="15" thickBot="1" x14ac:dyDescent="0.4">
      <c r="A7" s="109" t="s">
        <v>80</v>
      </c>
      <c r="B7" s="19">
        <f>K7</f>
        <v>1.6745379423279535E-3</v>
      </c>
      <c r="G7" s="110" t="s">
        <v>51</v>
      </c>
      <c r="H7" s="111">
        <f>H4+(H5*H6)</f>
        <v>9.1899999999999996E-2</v>
      </c>
      <c r="J7" s="110" t="s">
        <v>80</v>
      </c>
      <c r="K7" s="111">
        <f>K4/K5*K6</f>
        <v>1.6745379423279535E-3</v>
      </c>
    </row>
    <row r="8" spans="1:11" ht="15" thickBot="1" x14ac:dyDescent="0.4">
      <c r="A8" s="110" t="s">
        <v>52</v>
      </c>
      <c r="B8" s="111">
        <f>((B4/(B4+B5))*B6)+((B5/(B4+B5))*B7)</f>
        <v>9.0825015879510029E-2</v>
      </c>
      <c r="E8" s="33"/>
    </row>
    <row r="10" spans="1:11" ht="15" thickBot="1" x14ac:dyDescent="0.4">
      <c r="A10" s="112" t="s">
        <v>10</v>
      </c>
      <c r="D10" s="285" t="s">
        <v>88</v>
      </c>
      <c r="E10" s="285"/>
      <c r="G10" s="285" t="s">
        <v>59</v>
      </c>
      <c r="H10" s="285"/>
      <c r="J10" s="285" t="s">
        <v>65</v>
      </c>
      <c r="K10" s="285"/>
    </row>
    <row r="11" spans="1:11" x14ac:dyDescent="0.35">
      <c r="A11" s="108" t="s">
        <v>46</v>
      </c>
      <c r="B11" s="76">
        <f>E13</f>
        <v>1601431790000</v>
      </c>
      <c r="D11" s="108" t="s">
        <v>90</v>
      </c>
      <c r="E11" s="18">
        <v>3038.77</v>
      </c>
      <c r="G11" s="108" t="s">
        <v>48</v>
      </c>
      <c r="H11" s="18">
        <v>1.6899999999999998E-2</v>
      </c>
      <c r="J11" s="108" t="s">
        <v>76</v>
      </c>
      <c r="K11" s="18">
        <v>1647000000</v>
      </c>
    </row>
    <row r="12" spans="1:11" x14ac:dyDescent="0.35">
      <c r="A12" s="109" t="s">
        <v>45</v>
      </c>
      <c r="B12" s="19">
        <v>84389000000</v>
      </c>
      <c r="D12" s="109" t="s">
        <v>147</v>
      </c>
      <c r="E12" s="19">
        <v>527000000</v>
      </c>
      <c r="G12" s="109" t="s">
        <v>49</v>
      </c>
      <c r="H12" s="19">
        <v>1.1299999999999999</v>
      </c>
      <c r="J12" s="109" t="s">
        <v>50</v>
      </c>
      <c r="K12" s="19">
        <f>B12</f>
        <v>84389000000</v>
      </c>
    </row>
    <row r="13" spans="1:11" ht="15" thickBot="1" x14ac:dyDescent="0.4">
      <c r="A13" s="109" t="s">
        <v>47</v>
      </c>
      <c r="B13" s="19">
        <f>H14</f>
        <v>8.4699999999999984E-2</v>
      </c>
      <c r="D13" s="110" t="s">
        <v>67</v>
      </c>
      <c r="E13" s="77">
        <f>E11*E12</f>
        <v>1601431790000</v>
      </c>
      <c r="G13" s="109" t="s">
        <v>79</v>
      </c>
      <c r="H13" s="19">
        <v>0.06</v>
      </c>
      <c r="J13" s="109" t="s">
        <v>78</v>
      </c>
      <c r="K13" s="113">
        <f>1-FCFF!AD34</f>
        <v>0.84091765567434407</v>
      </c>
    </row>
    <row r="14" spans="1:11" ht="15" thickBot="1" x14ac:dyDescent="0.4">
      <c r="A14" s="109" t="s">
        <v>80</v>
      </c>
      <c r="B14" s="19">
        <f>K14</f>
        <v>1.6411989464215057E-2</v>
      </c>
      <c r="G14" s="110" t="s">
        <v>51</v>
      </c>
      <c r="H14" s="111">
        <f>H11+(H12*H13)</f>
        <v>8.4699999999999984E-2</v>
      </c>
      <c r="J14" s="110" t="s">
        <v>80</v>
      </c>
      <c r="K14" s="111">
        <f>K11/K12*K13</f>
        <v>1.6411989464215057E-2</v>
      </c>
    </row>
    <row r="15" spans="1:11" ht="15" thickBot="1" x14ac:dyDescent="0.4">
      <c r="A15" s="110" t="s">
        <v>52</v>
      </c>
      <c r="B15" s="111">
        <f>((B11/(B11+B12))*B13)+((B12/(B11+B12))*B14)</f>
        <v>8.1281631360054354E-2</v>
      </c>
      <c r="E15" s="33"/>
      <c r="K15" s="9" t="s">
        <v>56</v>
      </c>
    </row>
    <row r="17" spans="1:11" ht="15" thickBot="1" x14ac:dyDescent="0.4">
      <c r="A17" s="112" t="s">
        <v>12</v>
      </c>
      <c r="D17" s="285" t="s">
        <v>85</v>
      </c>
      <c r="E17" s="285"/>
      <c r="G17" s="285" t="s">
        <v>61</v>
      </c>
      <c r="H17" s="285"/>
      <c r="J17" s="285" t="s">
        <v>64</v>
      </c>
      <c r="K17" s="285"/>
    </row>
    <row r="18" spans="1:11" x14ac:dyDescent="0.35">
      <c r="A18" s="108" t="s">
        <v>46</v>
      </c>
      <c r="B18" s="76">
        <f>E20</f>
        <v>222625731894.26001</v>
      </c>
      <c r="D18" s="108" t="s">
        <v>90</v>
      </c>
      <c r="E18" s="18">
        <v>502.66</v>
      </c>
      <c r="G18" s="108" t="s">
        <v>48</v>
      </c>
      <c r="H18" s="18">
        <v>1.6899999999999998E-2</v>
      </c>
      <c r="J18" s="108" t="s">
        <v>76</v>
      </c>
      <c r="K18" s="18">
        <v>1385940000</v>
      </c>
    </row>
    <row r="19" spans="1:11" x14ac:dyDescent="0.35">
      <c r="A19" s="109" t="s">
        <v>45</v>
      </c>
      <c r="B19" s="19">
        <v>21857087000</v>
      </c>
      <c r="D19" s="109" t="s">
        <v>147</v>
      </c>
      <c r="E19" s="19">
        <v>442895261</v>
      </c>
      <c r="G19" s="109" t="s">
        <v>49</v>
      </c>
      <c r="H19" s="19">
        <v>0.83</v>
      </c>
      <c r="J19" s="109" t="s">
        <v>50</v>
      </c>
      <c r="K19" s="19">
        <f>B19</f>
        <v>21857087000</v>
      </c>
    </row>
    <row r="20" spans="1:11" ht="15" thickBot="1" x14ac:dyDescent="0.4">
      <c r="A20" s="109" t="s">
        <v>47</v>
      </c>
      <c r="B20" s="19">
        <f>H21</f>
        <v>6.6699999999999995E-2</v>
      </c>
      <c r="D20" s="110" t="s">
        <v>67</v>
      </c>
      <c r="E20" s="77">
        <f>E18*E19</f>
        <v>222625731894.26001</v>
      </c>
      <c r="G20" s="109" t="s">
        <v>79</v>
      </c>
      <c r="H20" s="19">
        <v>0.06</v>
      </c>
      <c r="J20" s="109" t="s">
        <v>78</v>
      </c>
      <c r="K20" s="113">
        <f>1-FCFF!AD51</f>
        <v>0.88218968833179734</v>
      </c>
    </row>
    <row r="21" spans="1:11" ht="15" thickBot="1" x14ac:dyDescent="0.4">
      <c r="A21" s="109" t="s">
        <v>80</v>
      </c>
      <c r="B21" s="19">
        <f>K21</f>
        <v>5.5938926200301588E-2</v>
      </c>
      <c r="G21" s="110" t="s">
        <v>51</v>
      </c>
      <c r="H21" s="111">
        <f>H18+(H19*H20)</f>
        <v>6.6699999999999995E-2</v>
      </c>
      <c r="J21" s="110" t="s">
        <v>80</v>
      </c>
      <c r="K21" s="111">
        <f>K18/K19*K20</f>
        <v>5.5938926200301588E-2</v>
      </c>
    </row>
    <row r="22" spans="1:11" ht="15" thickBot="1" x14ac:dyDescent="0.4">
      <c r="A22" s="110" t="s">
        <v>52</v>
      </c>
      <c r="B22" s="111">
        <f>((B18/(B18+B19))*B20)+((B19/(B18+B19))*B21)</f>
        <v>6.5737945785649843E-2</v>
      </c>
      <c r="E22" s="33"/>
    </row>
    <row r="24" spans="1:11" ht="15" thickBot="1" x14ac:dyDescent="0.4">
      <c r="A24" s="112" t="s">
        <v>13</v>
      </c>
      <c r="D24" s="285" t="s">
        <v>86</v>
      </c>
      <c r="E24" s="285"/>
      <c r="G24" s="285" t="s">
        <v>62</v>
      </c>
      <c r="H24" s="285"/>
      <c r="J24" s="285" t="s">
        <v>63</v>
      </c>
      <c r="K24" s="285"/>
    </row>
    <row r="25" spans="1:11" x14ac:dyDescent="0.35">
      <c r="A25" s="108" t="s">
        <v>46</v>
      </c>
      <c r="B25" s="76">
        <f>E27</f>
        <v>1372111873980</v>
      </c>
      <c r="D25" s="108" t="s">
        <v>89</v>
      </c>
      <c r="E25" s="18">
        <v>2032.09</v>
      </c>
      <c r="G25" s="108" t="s">
        <v>48</v>
      </c>
      <c r="H25" s="18">
        <v>1.6899999999999998E-2</v>
      </c>
      <c r="J25" s="108" t="s">
        <v>76</v>
      </c>
      <c r="K25" s="18">
        <v>135000000</v>
      </c>
    </row>
    <row r="26" spans="1:11" x14ac:dyDescent="0.35">
      <c r="A26" s="109" t="s">
        <v>45</v>
      </c>
      <c r="B26" s="19">
        <v>15201000000</v>
      </c>
      <c r="D26" s="109" t="s">
        <v>147</v>
      </c>
      <c r="E26" s="19">
        <v>675222000</v>
      </c>
      <c r="G26" s="109" t="s">
        <v>49</v>
      </c>
      <c r="H26" s="19">
        <v>1</v>
      </c>
      <c r="J26" s="109" t="s">
        <v>50</v>
      </c>
      <c r="K26" s="19">
        <v>1520100000</v>
      </c>
    </row>
    <row r="27" spans="1:11" ht="15" thickBot="1" x14ac:dyDescent="0.4">
      <c r="A27" s="109" t="s">
        <v>47</v>
      </c>
      <c r="B27" s="19">
        <f>H28</f>
        <v>7.6899999999999996E-2</v>
      </c>
      <c r="D27" s="110" t="s">
        <v>67</v>
      </c>
      <c r="E27" s="77">
        <f>E25*E26</f>
        <v>1372111873980</v>
      </c>
      <c r="G27" s="109" t="s">
        <v>79</v>
      </c>
      <c r="H27" s="19">
        <v>0.06</v>
      </c>
      <c r="J27" s="109" t="s">
        <v>78</v>
      </c>
      <c r="K27" s="113">
        <f>1-FCFF!AD67</f>
        <v>0.83121259571186612</v>
      </c>
    </row>
    <row r="28" spans="1:11" ht="15" thickBot="1" x14ac:dyDescent="0.4">
      <c r="A28" s="109" t="s">
        <v>80</v>
      </c>
      <c r="B28" s="19">
        <f>K28</f>
        <v>7.3819946333203032E-2</v>
      </c>
      <c r="G28" s="110" t="s">
        <v>51</v>
      </c>
      <c r="H28" s="111">
        <f>H25+(H26*H27)</f>
        <v>7.6899999999999996E-2</v>
      </c>
      <c r="J28" s="110" t="s">
        <v>80</v>
      </c>
      <c r="K28" s="111">
        <f>K25/K26*K27</f>
        <v>7.3819946333203032E-2</v>
      </c>
    </row>
    <row r="29" spans="1:11" ht="15" thickBot="1" x14ac:dyDescent="0.4">
      <c r="A29" s="110" t="s">
        <v>52</v>
      </c>
      <c r="B29" s="111">
        <f>((B25/(B25+B26))*B27)+((B26/(B25+B26))*B28)</f>
        <v>7.6866251379434924E-2</v>
      </c>
      <c r="E29" s="33"/>
    </row>
  </sheetData>
  <mergeCells count="16">
    <mergeCell ref="A1:B1"/>
    <mergeCell ref="J1:K1"/>
    <mergeCell ref="D3:E3"/>
    <mergeCell ref="G3:H3"/>
    <mergeCell ref="J3:K3"/>
    <mergeCell ref="G1:H1"/>
    <mergeCell ref="D1:E1"/>
    <mergeCell ref="D24:E24"/>
    <mergeCell ref="G24:H24"/>
    <mergeCell ref="J24:K24"/>
    <mergeCell ref="J10:K10"/>
    <mergeCell ref="G10:H10"/>
    <mergeCell ref="G17:H17"/>
    <mergeCell ref="J17:K17"/>
    <mergeCell ref="D17:E17"/>
    <mergeCell ref="D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5257-B878-4299-95EF-3C82E84CCF85}">
  <dimension ref="A1:AD88"/>
  <sheetViews>
    <sheetView topLeftCell="A16" zoomScale="55" zoomScaleNormal="55" workbookViewId="0">
      <selection activeCell="A53" sqref="A53"/>
    </sheetView>
  </sheetViews>
  <sheetFormatPr defaultRowHeight="15.5" x14ac:dyDescent="0.35"/>
  <cols>
    <col min="1" max="1" width="56.6328125" style="78" bestFit="1" customWidth="1"/>
    <col min="2" max="2" width="20.7265625" style="78" customWidth="1"/>
    <col min="3" max="3" width="76.7265625" style="78" customWidth="1"/>
    <col min="4" max="4" width="20.26953125" style="78" bestFit="1" customWidth="1"/>
    <col min="5" max="8" width="17.6328125" style="78" bestFit="1" customWidth="1"/>
    <col min="9" max="9" width="20.54296875" style="78" bestFit="1" customWidth="1"/>
    <col min="10" max="12" width="17.6328125" style="78" bestFit="1" customWidth="1"/>
    <col min="13" max="13" width="20.90625" style="78" bestFit="1" customWidth="1"/>
    <col min="14" max="14" width="19.54296875" style="78" bestFit="1" customWidth="1"/>
    <col min="15" max="15" width="20.6328125" style="78" bestFit="1" customWidth="1"/>
    <col min="16" max="16" width="22" style="78" bestFit="1" customWidth="1"/>
    <col min="17" max="17" width="31" style="78" bestFit="1" customWidth="1"/>
    <col min="18" max="18" width="20.81640625" style="78" bestFit="1" customWidth="1"/>
    <col min="19" max="19" width="13.08984375" style="78" bestFit="1" customWidth="1"/>
    <col min="20" max="20" width="29.36328125" style="78" bestFit="1" customWidth="1"/>
    <col min="21" max="21" width="17.6328125" style="78" bestFit="1" customWidth="1"/>
    <col min="22" max="22" width="32" style="78" bestFit="1" customWidth="1"/>
    <col min="23" max="24" width="17.6328125" style="78" bestFit="1" customWidth="1"/>
    <col min="25" max="25" width="18.08984375" style="78" bestFit="1" customWidth="1"/>
    <col min="26" max="30" width="18.7265625" style="78" bestFit="1" customWidth="1"/>
    <col min="31" max="16384" width="8.7265625" style="78"/>
  </cols>
  <sheetData>
    <row r="1" spans="1:30" x14ac:dyDescent="0.35">
      <c r="A1" s="313" t="s">
        <v>133</v>
      </c>
      <c r="B1" s="313"/>
      <c r="C1" s="313"/>
      <c r="D1" s="313"/>
      <c r="E1" s="313"/>
      <c r="F1" s="313"/>
      <c r="G1" s="313"/>
    </row>
    <row r="2" spans="1:30" ht="16" thickBot="1" x14ac:dyDescent="0.4"/>
    <row r="3" spans="1:30" x14ac:dyDescent="0.35">
      <c r="A3" s="79" t="s">
        <v>20</v>
      </c>
      <c r="L3" s="80"/>
      <c r="Q3" s="156" t="s">
        <v>93</v>
      </c>
    </row>
    <row r="4" spans="1:30" ht="16" thickBot="1" x14ac:dyDescent="0.4">
      <c r="L4" s="80"/>
      <c r="Q4" s="157">
        <v>0.04</v>
      </c>
      <c r="T4" s="325" t="s">
        <v>152</v>
      </c>
      <c r="U4" s="325"/>
      <c r="V4" s="325"/>
      <c r="W4" s="80"/>
      <c r="X4" s="80"/>
      <c r="Y4" s="80"/>
      <c r="AA4" s="80"/>
      <c r="AB4" s="80"/>
    </row>
    <row r="5" spans="1:30" ht="16" thickBot="1" x14ac:dyDescent="0.4">
      <c r="A5" s="78" t="s">
        <v>82</v>
      </c>
      <c r="B5" s="150" t="s">
        <v>54</v>
      </c>
      <c r="C5" s="153">
        <f>ROE!K15/100</f>
        <v>0.15245401220677399</v>
      </c>
      <c r="E5" s="151" t="s">
        <v>52</v>
      </c>
      <c r="F5" s="153">
        <f>WACC!B8</f>
        <v>9.0825015879510029E-2</v>
      </c>
      <c r="H5" s="151" t="s">
        <v>75</v>
      </c>
      <c r="I5" s="152">
        <f>WACC!E5</f>
        <v>2849000000</v>
      </c>
      <c r="L5" s="80"/>
      <c r="T5" s="81"/>
      <c r="U5" s="140">
        <v>2011</v>
      </c>
      <c r="V5" s="140">
        <v>2012</v>
      </c>
      <c r="W5" s="140">
        <v>2013</v>
      </c>
      <c r="X5" s="140">
        <v>2014</v>
      </c>
      <c r="Y5" s="140">
        <v>2015</v>
      </c>
      <c r="Z5" s="140">
        <v>2016</v>
      </c>
      <c r="AA5" s="140">
        <v>2017</v>
      </c>
      <c r="AB5" s="140">
        <v>2018</v>
      </c>
      <c r="AC5" s="146">
        <v>2019</v>
      </c>
      <c r="AD5" s="165">
        <v>2020</v>
      </c>
    </row>
    <row r="6" spans="1:30" ht="16" thickBot="1" x14ac:dyDescent="0.4">
      <c r="B6" s="144"/>
      <c r="C6" s="145"/>
      <c r="D6" s="145"/>
      <c r="E6" s="145"/>
      <c r="F6" s="145"/>
      <c r="G6" s="145"/>
      <c r="H6" s="145"/>
      <c r="I6" s="145"/>
      <c r="J6" s="145"/>
      <c r="K6" s="139" t="s">
        <v>55</v>
      </c>
      <c r="L6" s="140">
        <v>1</v>
      </c>
      <c r="M6" s="140">
        <v>2</v>
      </c>
      <c r="N6" s="140">
        <v>3</v>
      </c>
      <c r="O6" s="146">
        <v>4</v>
      </c>
      <c r="P6" s="146">
        <v>5</v>
      </c>
      <c r="Q6" s="141" t="s">
        <v>57</v>
      </c>
      <c r="T6" s="82" t="s">
        <v>18</v>
      </c>
      <c r="U6" s="57">
        <v>3711000000</v>
      </c>
      <c r="V6" s="57">
        <v>5089000000</v>
      </c>
      <c r="W6" s="57">
        <v>7872000000</v>
      </c>
      <c r="X6" s="57">
        <v>12466000000</v>
      </c>
      <c r="Y6" s="57">
        <v>17928000000</v>
      </c>
      <c r="Z6" s="57">
        <v>27638000000</v>
      </c>
      <c r="AA6" s="57">
        <v>40653000000</v>
      </c>
      <c r="AB6" s="57">
        <v>55838000000</v>
      </c>
      <c r="AC6" s="57">
        <v>70697000000</v>
      </c>
      <c r="AD6" s="64">
        <v>85965000000</v>
      </c>
    </row>
    <row r="7" spans="1:30" x14ac:dyDescent="0.35">
      <c r="A7" s="81"/>
      <c r="B7" s="148">
        <v>2011</v>
      </c>
      <c r="C7" s="140">
        <v>2012</v>
      </c>
      <c r="D7" s="140">
        <v>2013</v>
      </c>
      <c r="E7" s="140">
        <v>2014</v>
      </c>
      <c r="F7" s="140">
        <v>2015</v>
      </c>
      <c r="G7" s="140">
        <v>2016</v>
      </c>
      <c r="H7" s="140">
        <v>2017</v>
      </c>
      <c r="I7" s="140">
        <v>2018</v>
      </c>
      <c r="J7" s="140">
        <v>2019</v>
      </c>
      <c r="K7" s="105">
        <v>2020</v>
      </c>
      <c r="L7" s="149" t="s">
        <v>40</v>
      </c>
      <c r="M7" s="54" t="s">
        <v>41</v>
      </c>
      <c r="N7" s="54" t="s">
        <v>42</v>
      </c>
      <c r="O7" s="54" t="s">
        <v>43</v>
      </c>
      <c r="P7" s="54" t="s">
        <v>44</v>
      </c>
      <c r="Q7" s="142" t="s">
        <v>131</v>
      </c>
      <c r="T7" s="82" t="s">
        <v>19</v>
      </c>
      <c r="U7" s="57">
        <v>-860000000</v>
      </c>
      <c r="V7" s="57">
        <v>-1364000000</v>
      </c>
      <c r="W7" s="57">
        <v>-1875000000</v>
      </c>
      <c r="X7" s="57">
        <v>-2153000000</v>
      </c>
      <c r="Y7" s="57">
        <v>-2867000000</v>
      </c>
      <c r="Z7" s="57">
        <v>-3789000000</v>
      </c>
      <c r="AA7" s="57">
        <v>-5454000000</v>
      </c>
      <c r="AB7" s="57">
        <v>-9355000000</v>
      </c>
      <c r="AC7" s="57">
        <v>-12770000000</v>
      </c>
      <c r="AD7" s="64">
        <v>-16692000000</v>
      </c>
    </row>
    <row r="8" spans="1:30" x14ac:dyDescent="0.35">
      <c r="A8" s="84" t="s">
        <v>21</v>
      </c>
      <c r="B8" s="99">
        <v>1000000000</v>
      </c>
      <c r="C8" s="57">
        <v>53000000</v>
      </c>
      <c r="D8" s="57">
        <v>1500000000</v>
      </c>
      <c r="E8" s="57">
        <v>2940000000</v>
      </c>
      <c r="F8" s="57">
        <v>3688000000</v>
      </c>
      <c r="G8" s="57">
        <v>10217000000</v>
      </c>
      <c r="H8" s="57">
        <v>15934000000</v>
      </c>
      <c r="I8" s="57">
        <v>22112000000</v>
      </c>
      <c r="J8" s="57">
        <v>18485000000</v>
      </c>
      <c r="K8" s="4">
        <v>29146000000</v>
      </c>
      <c r="L8" s="286"/>
      <c r="M8" s="287"/>
      <c r="N8" s="287"/>
      <c r="O8" s="287"/>
      <c r="P8" s="287"/>
      <c r="Q8" s="288"/>
      <c r="T8" s="82" t="s">
        <v>31</v>
      </c>
      <c r="U8" s="57">
        <v>-1095000000</v>
      </c>
      <c r="V8" s="57">
        <v>-3187000000</v>
      </c>
      <c r="W8" s="57">
        <v>-3193000000</v>
      </c>
      <c r="X8" s="57">
        <v>-5319000000</v>
      </c>
      <c r="Y8" s="57">
        <v>-8836000000</v>
      </c>
      <c r="Z8" s="57">
        <v>-11422000000</v>
      </c>
      <c r="AA8" s="57">
        <v>-14996000000</v>
      </c>
      <c r="AB8" s="57">
        <v>-21570000000</v>
      </c>
      <c r="AC8" s="57">
        <v>-33941000000</v>
      </c>
      <c r="AD8" s="64">
        <v>-36602000000</v>
      </c>
    </row>
    <row r="9" spans="1:30" x14ac:dyDescent="0.35">
      <c r="A9" s="84" t="s">
        <v>96</v>
      </c>
      <c r="B9" s="99">
        <v>544000000</v>
      </c>
      <c r="C9" s="57">
        <v>2050000000</v>
      </c>
      <c r="D9" s="57">
        <v>2046000000</v>
      </c>
      <c r="E9" s="57">
        <v>2779000000</v>
      </c>
      <c r="F9" s="57">
        <v>4127000000</v>
      </c>
      <c r="G9" s="57">
        <v>5133000000</v>
      </c>
      <c r="H9" s="57">
        <v>6395000000</v>
      </c>
      <c r="I9" s="57">
        <v>8689000000</v>
      </c>
      <c r="J9" s="57">
        <v>10579000000</v>
      </c>
      <c r="K9" s="4">
        <v>12324000000</v>
      </c>
      <c r="L9" s="289"/>
      <c r="M9" s="290"/>
      <c r="N9" s="290"/>
      <c r="O9" s="290"/>
      <c r="P9" s="290"/>
      <c r="Q9" s="291"/>
      <c r="T9" s="86" t="s">
        <v>16</v>
      </c>
      <c r="U9" s="105">
        <f t="shared" ref="U9:AB9" si="0">SUM(U6:U8)</f>
        <v>1756000000</v>
      </c>
      <c r="V9" s="105">
        <f t="shared" si="0"/>
        <v>538000000</v>
      </c>
      <c r="W9" s="105">
        <f t="shared" si="0"/>
        <v>2804000000</v>
      </c>
      <c r="X9" s="105">
        <f t="shared" si="0"/>
        <v>4994000000</v>
      </c>
      <c r="Y9" s="105">
        <f t="shared" si="0"/>
        <v>6225000000</v>
      </c>
      <c r="Z9" s="105">
        <f t="shared" si="0"/>
        <v>12427000000</v>
      </c>
      <c r="AA9" s="105">
        <f t="shared" si="0"/>
        <v>20203000000</v>
      </c>
      <c r="AB9" s="105">
        <f t="shared" si="0"/>
        <v>24913000000</v>
      </c>
      <c r="AC9" s="105">
        <f t="shared" ref="AC9" si="1">SUM(AC6:AC8)</f>
        <v>23986000000</v>
      </c>
      <c r="AD9" s="102">
        <f t="shared" ref="AD9" si="2">SUM(AD6:AD8)</f>
        <v>32671000000</v>
      </c>
    </row>
    <row r="10" spans="1:30" x14ac:dyDescent="0.35">
      <c r="A10" s="89" t="s">
        <v>39</v>
      </c>
      <c r="B10" s="99">
        <f>U16</f>
        <v>24969661.61026838</v>
      </c>
      <c r="C10" s="99">
        <f t="shared" ref="C10:I10" si="3">V16</f>
        <v>4817248.4599589333</v>
      </c>
      <c r="D10" s="99">
        <f t="shared" si="3"/>
        <v>30445414.847161572</v>
      </c>
      <c r="E10" s="99">
        <f t="shared" si="3"/>
        <v>13885133.77590022</v>
      </c>
      <c r="F10" s="99">
        <f t="shared" si="3"/>
        <v>13706546.275395034</v>
      </c>
      <c r="G10" s="99">
        <f t="shared" si="3"/>
        <v>8146895.3853587825</v>
      </c>
      <c r="H10" s="99">
        <f t="shared" si="3"/>
        <v>4615635.9855424073</v>
      </c>
      <c r="I10" s="99">
        <f t="shared" si="3"/>
        <v>7825851.2688724706</v>
      </c>
      <c r="J10" s="99">
        <f t="shared" ref="J10" si="4">AC16</f>
        <v>14724.418180954041</v>
      </c>
      <c r="K10" s="99" t="str">
        <f t="shared" ref="K10" si="5">AD16</f>
        <v>N/A</v>
      </c>
      <c r="L10" s="289"/>
      <c r="M10" s="290"/>
      <c r="N10" s="290"/>
      <c r="O10" s="290"/>
      <c r="P10" s="290"/>
      <c r="Q10" s="291"/>
      <c r="T10" s="82" t="s">
        <v>30</v>
      </c>
      <c r="U10" s="57">
        <v>-42000000</v>
      </c>
      <c r="V10" s="57">
        <v>-51000000</v>
      </c>
      <c r="W10" s="57">
        <v>-56000000</v>
      </c>
      <c r="X10" s="57">
        <v>-23000000</v>
      </c>
      <c r="Y10" s="57">
        <v>-23000000</v>
      </c>
      <c r="Z10" s="57">
        <v>-10000000</v>
      </c>
      <c r="AA10" s="57">
        <v>-6000000</v>
      </c>
      <c r="AB10" s="57">
        <v>-9000000</v>
      </c>
      <c r="AC10" s="59">
        <v>-20000</v>
      </c>
      <c r="AD10" s="218" t="s">
        <v>34</v>
      </c>
    </row>
    <row r="11" spans="1:30" x14ac:dyDescent="0.35">
      <c r="A11" s="84" t="s">
        <v>24</v>
      </c>
      <c r="B11" s="99">
        <v>5000000</v>
      </c>
      <c r="C11" s="57">
        <v>-491000000</v>
      </c>
      <c r="D11" s="57">
        <v>676000000</v>
      </c>
      <c r="E11" s="57">
        <v>-262000000</v>
      </c>
      <c r="F11" s="57">
        <v>784000000</v>
      </c>
      <c r="G11" s="57">
        <v>758000000</v>
      </c>
      <c r="H11" s="57">
        <v>1887000000</v>
      </c>
      <c r="I11" s="57">
        <v>-1527000000</v>
      </c>
      <c r="J11" s="57">
        <v>7250000000</v>
      </c>
      <c r="K11" s="4">
        <v>-2723000000</v>
      </c>
      <c r="L11" s="289"/>
      <c r="M11" s="290"/>
      <c r="N11" s="290"/>
      <c r="O11" s="290"/>
      <c r="P11" s="290"/>
      <c r="Q11" s="291"/>
      <c r="T11" s="86" t="s">
        <v>32</v>
      </c>
      <c r="U11" s="105">
        <f t="shared" ref="U11:AB11" si="6">U9+U10</f>
        <v>1714000000</v>
      </c>
      <c r="V11" s="105">
        <f t="shared" si="6"/>
        <v>487000000</v>
      </c>
      <c r="W11" s="105">
        <f t="shared" si="6"/>
        <v>2748000000</v>
      </c>
      <c r="X11" s="105">
        <f t="shared" si="6"/>
        <v>4971000000</v>
      </c>
      <c r="Y11" s="105">
        <f t="shared" si="6"/>
        <v>6202000000</v>
      </c>
      <c r="Z11" s="105">
        <f t="shared" si="6"/>
        <v>12417000000</v>
      </c>
      <c r="AA11" s="105">
        <f t="shared" si="6"/>
        <v>20197000000</v>
      </c>
      <c r="AB11" s="105">
        <f t="shared" si="6"/>
        <v>24904000000</v>
      </c>
      <c r="AC11" s="105">
        <f t="shared" ref="AC11" si="7">AC9+AC10</f>
        <v>23985980000</v>
      </c>
      <c r="AD11" s="102">
        <f>AD9</f>
        <v>32671000000</v>
      </c>
    </row>
    <row r="12" spans="1:30" x14ac:dyDescent="0.35">
      <c r="A12" s="84" t="s">
        <v>23</v>
      </c>
      <c r="B12" s="99">
        <v>-606000000</v>
      </c>
      <c r="C12" s="57">
        <v>-1235000000</v>
      </c>
      <c r="D12" s="57">
        <v>-1362000000</v>
      </c>
      <c r="E12" s="57">
        <v>-1831000000</v>
      </c>
      <c r="F12" s="57">
        <v>-2523000000</v>
      </c>
      <c r="G12" s="57">
        <v>-4491000000</v>
      </c>
      <c r="H12" s="57">
        <v>-6733000000</v>
      </c>
      <c r="I12" s="57">
        <v>-13915000000</v>
      </c>
      <c r="J12" s="57">
        <v>-15102000000</v>
      </c>
      <c r="K12" s="4">
        <v>-15115000000</v>
      </c>
      <c r="L12" s="96"/>
      <c r="M12" s="96"/>
      <c r="N12" s="96"/>
      <c r="O12" s="96"/>
      <c r="P12" s="96"/>
      <c r="Q12" s="97"/>
      <c r="T12" s="82" t="s">
        <v>17</v>
      </c>
      <c r="U12" s="57">
        <v>-695000000</v>
      </c>
      <c r="V12" s="57">
        <v>-441000000</v>
      </c>
      <c r="W12" s="57">
        <v>-1254000000</v>
      </c>
      <c r="X12" s="57">
        <v>-1970000000</v>
      </c>
      <c r="Y12" s="57">
        <v>-2506000000</v>
      </c>
      <c r="Z12" s="57">
        <v>-2301000000</v>
      </c>
      <c r="AA12" s="57">
        <v>-4660000000</v>
      </c>
      <c r="AB12" s="57">
        <v>-3249000000</v>
      </c>
      <c r="AC12" s="57">
        <v>-6327000000</v>
      </c>
      <c r="AD12" s="64">
        <v>-4034000000</v>
      </c>
    </row>
    <row r="13" spans="1:30" x14ac:dyDescent="0.35">
      <c r="A13" s="90" t="s">
        <v>15</v>
      </c>
      <c r="B13" s="100">
        <f>SUM(B8:B12)</f>
        <v>967969661.61026835</v>
      </c>
      <c r="C13" s="101">
        <f>SUM(C8:C12)</f>
        <v>381817248.45995903</v>
      </c>
      <c r="D13" s="101">
        <f>SUM(D8:D12)</f>
        <v>2890445414.8471618</v>
      </c>
      <c r="E13" s="101">
        <f>SUM(E8:E12)</f>
        <v>3639885133.7758999</v>
      </c>
      <c r="F13" s="101">
        <f>SUM(F8:F12)</f>
        <v>6089706546.2753944</v>
      </c>
      <c r="G13" s="101">
        <f>SUM(G8:G12)</f>
        <v>11625146895.385359</v>
      </c>
      <c r="H13" s="101">
        <f>SUM(H8:H12)</f>
        <v>17487615635.985542</v>
      </c>
      <c r="I13" s="101">
        <f>SUM(I8:I12)</f>
        <v>15366825851.268871</v>
      </c>
      <c r="J13" s="101">
        <f>SUM(J8:J12)</f>
        <v>21212014724.418182</v>
      </c>
      <c r="K13" s="91">
        <f>SUM(K8:K12)</f>
        <v>23632000000</v>
      </c>
      <c r="L13" s="100">
        <f>K13*(1+$C$5)</f>
        <v>27234793216.470482</v>
      </c>
      <c r="M13" s="101">
        <f>L13*(1+$C$5)</f>
        <v>31386846713.943237</v>
      </c>
      <c r="N13" s="101">
        <f>M13*(1+$C$5)</f>
        <v>36171897426.002884</v>
      </c>
      <c r="O13" s="101">
        <f>N13*(1+$C$5)</f>
        <v>41686448317.728905</v>
      </c>
      <c r="P13" s="101">
        <f>O13*(1+$C$5)</f>
        <v>48041714618.417</v>
      </c>
      <c r="Q13" s="60">
        <f>(P13*(1+Q4))/(F5-Q4)</f>
        <v>983047075117.51685</v>
      </c>
      <c r="T13" s="86" t="s">
        <v>58</v>
      </c>
      <c r="U13" s="105">
        <f t="shared" ref="U13:AB13" si="8">ABS(U12/U11)</f>
        <v>0.4054842473745624</v>
      </c>
      <c r="V13" s="105">
        <f t="shared" si="8"/>
        <v>0.90554414784394255</v>
      </c>
      <c r="W13" s="105">
        <f t="shared" si="8"/>
        <v>0.45633187772925765</v>
      </c>
      <c r="X13" s="105">
        <f t="shared" si="8"/>
        <v>0.39629853148259908</v>
      </c>
      <c r="Y13" s="105">
        <f t="shared" si="8"/>
        <v>0.40406320541760721</v>
      </c>
      <c r="Z13" s="105">
        <f t="shared" si="8"/>
        <v>0.18531046146412178</v>
      </c>
      <c r="AA13" s="105">
        <f t="shared" si="8"/>
        <v>0.23072733574293211</v>
      </c>
      <c r="AB13" s="105">
        <f t="shared" si="8"/>
        <v>0.13046097012528107</v>
      </c>
      <c r="AC13" s="105">
        <f t="shared" ref="AC13" si="9">ABS(AC12/AC11)</f>
        <v>0.26377909095229796</v>
      </c>
      <c r="AD13" s="102">
        <f t="shared" ref="AD13" si="10">ABS(AD12/AD11)</f>
        <v>0.12347341679165008</v>
      </c>
    </row>
    <row r="14" spans="1:30" x14ac:dyDescent="0.35">
      <c r="A14" s="89" t="s">
        <v>53</v>
      </c>
      <c r="B14" s="286" t="s">
        <v>56</v>
      </c>
      <c r="C14" s="287"/>
      <c r="D14" s="287"/>
      <c r="E14" s="287"/>
      <c r="F14" s="287"/>
      <c r="G14" s="287"/>
      <c r="H14" s="287"/>
      <c r="I14" s="287"/>
      <c r="J14" s="287"/>
      <c r="K14" s="314"/>
      <c r="L14" s="99">
        <f>L13/(1+$F$5)</f>
        <v>24967151302.91692</v>
      </c>
      <c r="M14" s="57">
        <f>M13/(1+$F$5^2)</f>
        <v>31130049225.224182</v>
      </c>
      <c r="N14" s="57">
        <f>N13/(1+$F$5^3)</f>
        <v>36144816564.729324</v>
      </c>
      <c r="O14" s="57">
        <f>O13/(1+$F$5^4)</f>
        <v>41683611788.439262</v>
      </c>
      <c r="P14" s="57">
        <f>P13/(1+$F$5^5)</f>
        <v>48041417695.835854</v>
      </c>
      <c r="Q14" s="83">
        <f>SUM(L14:P14)</f>
        <v>181967046577.14554</v>
      </c>
      <c r="R14" s="80"/>
      <c r="T14" s="82" t="s">
        <v>30</v>
      </c>
      <c r="U14" s="57">
        <v>-42000000</v>
      </c>
      <c r="V14" s="57">
        <v>-51000000</v>
      </c>
      <c r="W14" s="57">
        <v>-56000000</v>
      </c>
      <c r="X14" s="57">
        <v>-23000000</v>
      </c>
      <c r="Y14" s="57">
        <v>-23000000</v>
      </c>
      <c r="Z14" s="57">
        <v>-10000000</v>
      </c>
      <c r="AA14" s="57">
        <v>-6000000</v>
      </c>
      <c r="AB14" s="57">
        <v>-9000000</v>
      </c>
      <c r="AC14" s="59">
        <v>-20000</v>
      </c>
      <c r="AD14" s="218" t="s">
        <v>34</v>
      </c>
    </row>
    <row r="15" spans="1:30" x14ac:dyDescent="0.35">
      <c r="A15" s="89" t="s">
        <v>69</v>
      </c>
      <c r="B15" s="289"/>
      <c r="C15" s="290"/>
      <c r="D15" s="290"/>
      <c r="E15" s="290"/>
      <c r="F15" s="290"/>
      <c r="G15" s="290"/>
      <c r="H15" s="290"/>
      <c r="I15" s="290"/>
      <c r="J15" s="290"/>
      <c r="K15" s="315"/>
      <c r="L15" s="304"/>
      <c r="M15" s="305"/>
      <c r="N15" s="305"/>
      <c r="O15" s="305"/>
      <c r="P15" s="306"/>
      <c r="Q15" s="210">
        <f>Q13/(1+F5)^5</f>
        <v>636500677252.10718</v>
      </c>
      <c r="T15" s="82" t="s">
        <v>33</v>
      </c>
      <c r="U15" s="57">
        <f t="shared" ref="U15:AC15" si="11">U14*U13</f>
        <v>-17030338.38973162</v>
      </c>
      <c r="V15" s="57">
        <f t="shared" si="11"/>
        <v>-46182751.540041067</v>
      </c>
      <c r="W15" s="57">
        <f t="shared" si="11"/>
        <v>-25554585.152838428</v>
      </c>
      <c r="X15" s="57">
        <f t="shared" si="11"/>
        <v>-9114866.2240997795</v>
      </c>
      <c r="Y15" s="57">
        <f t="shared" si="11"/>
        <v>-9293453.7246049661</v>
      </c>
      <c r="Z15" s="57">
        <f t="shared" si="11"/>
        <v>-1853104.6146412177</v>
      </c>
      <c r="AA15" s="57">
        <f t="shared" si="11"/>
        <v>-1384364.0144575927</v>
      </c>
      <c r="AB15" s="57">
        <f t="shared" si="11"/>
        <v>-1174148.7311275296</v>
      </c>
      <c r="AC15" s="57">
        <f t="shared" si="11"/>
        <v>-5275.5818190459595</v>
      </c>
      <c r="AD15" s="218" t="s">
        <v>34</v>
      </c>
    </row>
    <row r="16" spans="1:30" x14ac:dyDescent="0.35">
      <c r="A16" s="84" t="s">
        <v>70</v>
      </c>
      <c r="B16" s="289"/>
      <c r="C16" s="290"/>
      <c r="D16" s="290"/>
      <c r="E16" s="290"/>
      <c r="F16" s="290"/>
      <c r="G16" s="290"/>
      <c r="H16" s="290"/>
      <c r="I16" s="290"/>
      <c r="J16" s="290"/>
      <c r="K16" s="315"/>
      <c r="L16" s="307"/>
      <c r="M16" s="308"/>
      <c r="N16" s="308"/>
      <c r="O16" s="308"/>
      <c r="P16" s="309"/>
      <c r="Q16" s="210">
        <f>Q14+Q15</f>
        <v>818467723829.25269</v>
      </c>
      <c r="T16" s="92" t="s">
        <v>35</v>
      </c>
      <c r="U16" s="105">
        <f>ABS(U14-U15)</f>
        <v>24969661.61026838</v>
      </c>
      <c r="V16" s="105">
        <f t="shared" ref="V16:AC16" si="12">ABS(V14-V15)</f>
        <v>4817248.4599589333</v>
      </c>
      <c r="W16" s="105">
        <f t="shared" si="12"/>
        <v>30445414.847161572</v>
      </c>
      <c r="X16" s="105">
        <f t="shared" si="12"/>
        <v>13885133.77590022</v>
      </c>
      <c r="Y16" s="105">
        <f t="shared" si="12"/>
        <v>13706546.275395034</v>
      </c>
      <c r="Z16" s="105">
        <f t="shared" si="12"/>
        <v>8146895.3853587825</v>
      </c>
      <c r="AA16" s="105">
        <f t="shared" si="12"/>
        <v>4615635.9855424073</v>
      </c>
      <c r="AB16" s="105">
        <f t="shared" si="12"/>
        <v>7825851.2688724706</v>
      </c>
      <c r="AC16" s="105">
        <f t="shared" si="12"/>
        <v>14724.418180954041</v>
      </c>
      <c r="AD16" s="218" t="s">
        <v>34</v>
      </c>
    </row>
    <row r="17" spans="1:30" ht="16" thickBot="1" x14ac:dyDescent="0.4">
      <c r="A17" s="98" t="s">
        <v>71</v>
      </c>
      <c r="B17" s="316"/>
      <c r="C17" s="317"/>
      <c r="D17" s="317"/>
      <c r="E17" s="317"/>
      <c r="F17" s="317"/>
      <c r="G17" s="317"/>
      <c r="H17" s="317"/>
      <c r="I17" s="317"/>
      <c r="J17" s="317"/>
      <c r="K17" s="318"/>
      <c r="L17" s="310"/>
      <c r="M17" s="311"/>
      <c r="N17" s="311"/>
      <c r="O17" s="311"/>
      <c r="P17" s="312"/>
      <c r="Q17" s="164">
        <f>Q16/I5</f>
        <v>287.28245834652603</v>
      </c>
      <c r="T17" s="94" t="s">
        <v>83</v>
      </c>
      <c r="U17" s="326"/>
      <c r="V17" s="327"/>
      <c r="W17" s="327"/>
      <c r="X17" s="327"/>
      <c r="Y17" s="327"/>
      <c r="Z17" s="327"/>
      <c r="AA17" s="327"/>
      <c r="AB17" s="327"/>
      <c r="AC17" s="328"/>
      <c r="AD17" s="106">
        <f>AVERAGE(AC13:AD13)</f>
        <v>0.19362625387197402</v>
      </c>
    </row>
    <row r="18" spans="1:30" x14ac:dyDescent="0.35">
      <c r="T18" s="78" t="s">
        <v>164</v>
      </c>
    </row>
    <row r="19" spans="1:30" ht="16" thickBot="1" x14ac:dyDescent="0.4">
      <c r="A19" s="79" t="s">
        <v>26</v>
      </c>
      <c r="Z19" s="78" t="s">
        <v>56</v>
      </c>
    </row>
    <row r="20" spans="1:30" ht="16" thickBot="1" x14ac:dyDescent="0.4">
      <c r="Q20" s="156" t="s">
        <v>93</v>
      </c>
    </row>
    <row r="21" spans="1:30" ht="16" thickBot="1" x14ac:dyDescent="0.4">
      <c r="A21" s="78" t="s">
        <v>82</v>
      </c>
      <c r="B21" s="154" t="s">
        <v>54</v>
      </c>
      <c r="C21" s="153">
        <f>ROE!K29/100</f>
        <v>9.3634347865796441E-2</v>
      </c>
      <c r="E21" s="155" t="s">
        <v>52</v>
      </c>
      <c r="F21" s="153">
        <f>WACC!B15</f>
        <v>8.1281631360054354E-2</v>
      </c>
      <c r="H21" s="155" t="s">
        <v>75</v>
      </c>
      <c r="I21" s="153">
        <f>WACC!E12</f>
        <v>527000000</v>
      </c>
      <c r="J21" s="209"/>
      <c r="Q21" s="157">
        <v>0.06</v>
      </c>
      <c r="T21" s="325" t="s">
        <v>151</v>
      </c>
      <c r="U21" s="325"/>
      <c r="V21" s="325"/>
    </row>
    <row r="22" spans="1:30" ht="16" thickBot="1" x14ac:dyDescent="0.4">
      <c r="T22" s="81"/>
      <c r="U22" s="140">
        <v>2011</v>
      </c>
      <c r="V22" s="140">
        <v>2012</v>
      </c>
      <c r="W22" s="140">
        <v>2013</v>
      </c>
      <c r="X22" s="140">
        <v>2014</v>
      </c>
      <c r="Y22" s="140">
        <v>2015</v>
      </c>
      <c r="Z22" s="140">
        <v>2016</v>
      </c>
      <c r="AA22" s="140">
        <v>2017</v>
      </c>
      <c r="AB22" s="140">
        <v>2018</v>
      </c>
      <c r="AC22" s="140">
        <v>2019</v>
      </c>
      <c r="AD22" s="204">
        <v>2020</v>
      </c>
    </row>
    <row r="23" spans="1:30" ht="16" thickBot="1" x14ac:dyDescent="0.4">
      <c r="B23" s="144"/>
      <c r="C23" s="145"/>
      <c r="D23" s="145"/>
      <c r="E23" s="145"/>
      <c r="F23" s="145"/>
      <c r="G23" s="145"/>
      <c r="H23" s="145"/>
      <c r="I23" s="145"/>
      <c r="J23" s="145"/>
      <c r="K23" s="139" t="s">
        <v>55</v>
      </c>
      <c r="L23" s="140">
        <v>1</v>
      </c>
      <c r="M23" s="140">
        <v>2</v>
      </c>
      <c r="N23" s="140">
        <v>3</v>
      </c>
      <c r="O23" s="146">
        <v>4</v>
      </c>
      <c r="P23" s="146">
        <v>5</v>
      </c>
      <c r="Q23" s="141" t="s">
        <v>57</v>
      </c>
      <c r="T23" s="82" t="s">
        <v>18</v>
      </c>
      <c r="U23" s="57">
        <v>48077000000</v>
      </c>
      <c r="V23" s="57">
        <v>61093000000</v>
      </c>
      <c r="W23" s="57">
        <v>74452000000</v>
      </c>
      <c r="X23" s="57">
        <v>88988000000</v>
      </c>
      <c r="Y23" s="57">
        <v>107006000000</v>
      </c>
      <c r="Z23" s="57">
        <v>135987000000</v>
      </c>
      <c r="AA23" s="57">
        <v>177866000000</v>
      </c>
      <c r="AB23" s="57">
        <v>232887000000</v>
      </c>
      <c r="AC23" s="57">
        <v>280522000000</v>
      </c>
      <c r="AD23" s="212">
        <v>386064000000</v>
      </c>
    </row>
    <row r="24" spans="1:30" x14ac:dyDescent="0.35">
      <c r="A24" s="81"/>
      <c r="B24" s="140">
        <v>2011</v>
      </c>
      <c r="C24" s="140">
        <v>2012</v>
      </c>
      <c r="D24" s="140">
        <v>2013</v>
      </c>
      <c r="E24" s="140">
        <v>2014</v>
      </c>
      <c r="F24" s="140">
        <v>2015</v>
      </c>
      <c r="G24" s="140">
        <v>2016</v>
      </c>
      <c r="H24" s="140">
        <v>2017</v>
      </c>
      <c r="I24" s="140">
        <v>2018</v>
      </c>
      <c r="J24" s="143">
        <v>2019</v>
      </c>
      <c r="K24" s="105">
        <v>2020</v>
      </c>
      <c r="L24" s="105" t="s">
        <v>40</v>
      </c>
      <c r="M24" s="147" t="s">
        <v>41</v>
      </c>
      <c r="N24" s="147" t="s">
        <v>42</v>
      </c>
      <c r="O24" s="147" t="s">
        <v>43</v>
      </c>
      <c r="P24" s="147" t="s">
        <v>44</v>
      </c>
      <c r="Q24" s="142" t="s">
        <v>131</v>
      </c>
      <c r="T24" s="82" t="s">
        <v>19</v>
      </c>
      <c r="U24" s="57">
        <v>-37288000000</v>
      </c>
      <c r="V24" s="57">
        <v>-52390000000</v>
      </c>
      <c r="W24" s="57">
        <v>-62766000000</v>
      </c>
      <c r="X24" s="57">
        <v>-73518000000</v>
      </c>
      <c r="Y24" s="57">
        <v>-85061000000</v>
      </c>
      <c r="Z24" s="57">
        <v>-105884000000</v>
      </c>
      <c r="AA24" s="57">
        <v>-137183000000</v>
      </c>
      <c r="AB24" s="57">
        <v>-173183000000</v>
      </c>
      <c r="AC24" s="57">
        <v>-205768000000</v>
      </c>
      <c r="AD24" s="212">
        <v>-291824000000</v>
      </c>
    </row>
    <row r="25" spans="1:30" x14ac:dyDescent="0.35">
      <c r="A25" s="84" t="s">
        <v>21</v>
      </c>
      <c r="B25" s="57">
        <v>631000000</v>
      </c>
      <c r="C25" s="57">
        <v>-39000000</v>
      </c>
      <c r="D25" s="57">
        <v>274000000</v>
      </c>
      <c r="E25" s="57">
        <v>-241000000</v>
      </c>
      <c r="F25" s="57">
        <v>596000000</v>
      </c>
      <c r="G25" s="57">
        <v>2371000000</v>
      </c>
      <c r="H25" s="57">
        <v>3033000000</v>
      </c>
      <c r="I25" s="57">
        <v>10073000000</v>
      </c>
      <c r="J25" s="61">
        <v>11588000000</v>
      </c>
      <c r="K25" s="57">
        <v>21331000000</v>
      </c>
      <c r="L25" s="286"/>
      <c r="M25" s="287"/>
      <c r="N25" s="287"/>
      <c r="O25" s="287"/>
      <c r="P25" s="287"/>
      <c r="Q25" s="288"/>
      <c r="T25" s="82" t="s">
        <v>31</v>
      </c>
      <c r="U25" s="57">
        <v>-9773000000</v>
      </c>
      <c r="V25" s="57">
        <v>-8027000000</v>
      </c>
      <c r="W25" s="57">
        <v>-10941000000</v>
      </c>
      <c r="X25" s="57">
        <v>-15292000000</v>
      </c>
      <c r="Y25" s="57">
        <v>-19712000000</v>
      </c>
      <c r="Z25" s="57">
        <v>-25917000000</v>
      </c>
      <c r="AA25" s="57">
        <v>-36577000000</v>
      </c>
      <c r="AB25" s="57">
        <v>-47283000000</v>
      </c>
      <c r="AC25" s="57">
        <v>-60213000000</v>
      </c>
      <c r="AD25" s="212">
        <v>-71341000000</v>
      </c>
    </row>
    <row r="26" spans="1:30" x14ac:dyDescent="0.35">
      <c r="A26" s="84" t="s">
        <v>96</v>
      </c>
      <c r="B26" s="57">
        <v>1808000000</v>
      </c>
      <c r="C26" s="57">
        <v>2696000000</v>
      </c>
      <c r="D26" s="57">
        <v>4434000000</v>
      </c>
      <c r="E26" s="57">
        <v>6109000000</v>
      </c>
      <c r="F26" s="57">
        <v>8767000000</v>
      </c>
      <c r="G26" s="57">
        <v>10156000000</v>
      </c>
      <c r="H26" s="57">
        <v>15574000000</v>
      </c>
      <c r="I26" s="57">
        <v>21693000000</v>
      </c>
      <c r="J26" s="61">
        <v>29364000000</v>
      </c>
      <c r="K26" s="57">
        <v>31252000000</v>
      </c>
      <c r="L26" s="289"/>
      <c r="M26" s="290"/>
      <c r="N26" s="290"/>
      <c r="O26" s="290"/>
      <c r="P26" s="290"/>
      <c r="Q26" s="291"/>
      <c r="T26" s="86" t="s">
        <v>16</v>
      </c>
      <c r="U26" s="105">
        <f>SUM(U23:U25)</f>
        <v>1016000000</v>
      </c>
      <c r="V26" s="105">
        <f t="shared" ref="V26:AD26" si="13">SUM(V23:V25)</f>
        <v>676000000</v>
      </c>
      <c r="W26" s="105">
        <f t="shared" si="13"/>
        <v>745000000</v>
      </c>
      <c r="X26" s="105">
        <f t="shared" si="13"/>
        <v>178000000</v>
      </c>
      <c r="Y26" s="105">
        <f t="shared" si="13"/>
        <v>2233000000</v>
      </c>
      <c r="Z26" s="105">
        <f t="shared" si="13"/>
        <v>4186000000</v>
      </c>
      <c r="AA26" s="105">
        <f t="shared" si="13"/>
        <v>4106000000</v>
      </c>
      <c r="AB26" s="105">
        <f t="shared" si="13"/>
        <v>12421000000</v>
      </c>
      <c r="AC26" s="105">
        <f t="shared" si="13"/>
        <v>14541000000</v>
      </c>
      <c r="AD26" s="213">
        <f t="shared" si="13"/>
        <v>22899000000</v>
      </c>
    </row>
    <row r="27" spans="1:30" x14ac:dyDescent="0.35">
      <c r="A27" s="89" t="s">
        <v>39</v>
      </c>
      <c r="B27" s="57">
        <f>U33</f>
        <v>45110410.09463723</v>
      </c>
      <c r="C27" s="57">
        <f>V33</f>
        <v>24575342.465753421</v>
      </c>
      <c r="D27" s="57">
        <f>W33</f>
        <v>103415562.91390729</v>
      </c>
      <c r="E27" s="57">
        <f>X33</f>
        <v>885937500</v>
      </c>
      <c r="F27" s="57">
        <f>Y33</f>
        <v>213199549.04171365</v>
      </c>
      <c r="G27" s="57">
        <f>Z33</f>
        <v>297695299.83792543</v>
      </c>
      <c r="H27" s="57">
        <f>AA33</f>
        <v>647842848.37323511</v>
      </c>
      <c r="I27" s="57">
        <f>AB33</f>
        <v>1262860687.0229008</v>
      </c>
      <c r="J27" s="57">
        <f>AC33</f>
        <v>1306483270.2264123</v>
      </c>
      <c r="K27" s="57">
        <f>AD33</f>
        <v>1425121541.5019763</v>
      </c>
      <c r="L27" s="289"/>
      <c r="M27" s="290"/>
      <c r="N27" s="290"/>
      <c r="O27" s="290"/>
      <c r="P27" s="290"/>
      <c r="Q27" s="291"/>
      <c r="T27" s="82" t="s">
        <v>30</v>
      </c>
      <c r="U27" s="57">
        <v>-65000000</v>
      </c>
      <c r="V27" s="57">
        <v>-92000000</v>
      </c>
      <c r="W27" s="57">
        <v>-141000000</v>
      </c>
      <c r="X27" s="57">
        <v>-210000000</v>
      </c>
      <c r="Y27" s="57">
        <v>-459000000</v>
      </c>
      <c r="Z27" s="57">
        <v>-484000000</v>
      </c>
      <c r="AA27" s="57">
        <v>-848000000</v>
      </c>
      <c r="AB27" s="57">
        <v>-1417000000</v>
      </c>
      <c r="AC27" s="57">
        <v>-1600000000</v>
      </c>
      <c r="AD27" s="64">
        <v>-1647000000</v>
      </c>
    </row>
    <row r="28" spans="1:30" x14ac:dyDescent="0.35">
      <c r="A28" s="84" t="s">
        <v>24</v>
      </c>
      <c r="B28" s="57" t="s">
        <v>37</v>
      </c>
      <c r="C28" s="57">
        <v>1523000000</v>
      </c>
      <c r="D28" s="57">
        <v>767000000</v>
      </c>
      <c r="E28" s="57">
        <v>974000000</v>
      </c>
      <c r="F28" s="57">
        <v>2557000000</v>
      </c>
      <c r="G28" s="57">
        <v>3916000000</v>
      </c>
      <c r="H28" s="57">
        <v>-173000000</v>
      </c>
      <c r="I28" s="57">
        <v>-1043000000</v>
      </c>
      <c r="J28" s="61">
        <v>-2438000000</v>
      </c>
      <c r="K28" s="57">
        <v>13481000000</v>
      </c>
      <c r="L28" s="289"/>
      <c r="M28" s="290"/>
      <c r="N28" s="290"/>
      <c r="O28" s="290"/>
      <c r="P28" s="290"/>
      <c r="Q28" s="291"/>
      <c r="T28" s="86" t="s">
        <v>32</v>
      </c>
      <c r="U28" s="105">
        <f>U26+U27</f>
        <v>951000000</v>
      </c>
      <c r="V28" s="105">
        <f t="shared" ref="V28:AD28" si="14">V26+V27</f>
        <v>584000000</v>
      </c>
      <c r="W28" s="105">
        <f t="shared" si="14"/>
        <v>604000000</v>
      </c>
      <c r="X28" s="105">
        <f t="shared" si="14"/>
        <v>-32000000</v>
      </c>
      <c r="Y28" s="105">
        <f t="shared" si="14"/>
        <v>1774000000</v>
      </c>
      <c r="Z28" s="105">
        <f t="shared" si="14"/>
        <v>3702000000</v>
      </c>
      <c r="AA28" s="105">
        <f t="shared" si="14"/>
        <v>3258000000</v>
      </c>
      <c r="AB28" s="105">
        <f t="shared" si="14"/>
        <v>11004000000</v>
      </c>
      <c r="AC28" s="105">
        <f t="shared" si="14"/>
        <v>12941000000</v>
      </c>
      <c r="AD28" s="213">
        <f t="shared" si="14"/>
        <v>21252000000</v>
      </c>
    </row>
    <row r="29" spans="1:30" x14ac:dyDescent="0.35">
      <c r="A29" s="84" t="s">
        <v>23</v>
      </c>
      <c r="B29" s="57" t="s">
        <v>38</v>
      </c>
      <c r="C29" s="57">
        <v>-3785000000</v>
      </c>
      <c r="D29" s="57">
        <v>-3444000000</v>
      </c>
      <c r="E29" s="57">
        <v>-4893000000</v>
      </c>
      <c r="F29" s="57">
        <v>-4589000000</v>
      </c>
      <c r="G29" s="57">
        <v>-6737000000</v>
      </c>
      <c r="H29" s="57">
        <v>-11955000000</v>
      </c>
      <c r="I29" s="57">
        <v>-13427000000</v>
      </c>
      <c r="J29" s="61">
        <v>-16861000000</v>
      </c>
      <c r="K29" s="57">
        <v>-40140000000</v>
      </c>
      <c r="L29" s="292"/>
      <c r="M29" s="293"/>
      <c r="N29" s="293"/>
      <c r="O29" s="293"/>
      <c r="P29" s="293"/>
      <c r="Q29" s="294"/>
      <c r="T29" s="82" t="s">
        <v>17</v>
      </c>
      <c r="U29" s="57">
        <v>-291000000</v>
      </c>
      <c r="V29" s="57">
        <v>-428000000</v>
      </c>
      <c r="W29" s="57">
        <v>-161000000</v>
      </c>
      <c r="X29" s="57">
        <v>-167000000</v>
      </c>
      <c r="Y29" s="57">
        <v>-950000000</v>
      </c>
      <c r="Z29" s="57">
        <v>-1425000000</v>
      </c>
      <c r="AA29" s="57">
        <v>-769000000</v>
      </c>
      <c r="AB29" s="57">
        <v>-1197000000</v>
      </c>
      <c r="AC29" s="57">
        <v>-2374000000</v>
      </c>
      <c r="AD29" s="64">
        <v>-2863000000</v>
      </c>
    </row>
    <row r="30" spans="1:30" x14ac:dyDescent="0.35">
      <c r="A30" s="90" t="s">
        <v>15</v>
      </c>
      <c r="B30" s="101">
        <f>SUM(B25:B29)</f>
        <v>2484110410.0946374</v>
      </c>
      <c r="C30" s="101">
        <f>SUM(C25:C29)</f>
        <v>419575342.46575356</v>
      </c>
      <c r="D30" s="101">
        <f>SUM(D25:D29)</f>
        <v>2134415562.9139071</v>
      </c>
      <c r="E30" s="101">
        <f>SUM(E25:E29)</f>
        <v>2834937500</v>
      </c>
      <c r="F30" s="101">
        <f>SUM(F25:F29)</f>
        <v>7544199549.0417137</v>
      </c>
      <c r="G30" s="101">
        <f>SUM(G25:G29)</f>
        <v>10003695299.837925</v>
      </c>
      <c r="H30" s="101">
        <f>SUM(H25:H29)</f>
        <v>7126842848.3732338</v>
      </c>
      <c r="I30" s="101">
        <f>SUM(I25:I29)</f>
        <v>18558860687.0229</v>
      </c>
      <c r="J30" s="101">
        <f>SUM(J25:J29)</f>
        <v>22959483270.22641</v>
      </c>
      <c r="K30" s="104">
        <f>SUM(K25:K29)</f>
        <v>27349121541.501976</v>
      </c>
      <c r="L30" s="101">
        <f>K30*(1+$C$21)</f>
        <v>29909938701.742916</v>
      </c>
      <c r="M30" s="101">
        <f>L30*(1+$C$21)</f>
        <v>32710536306.78656</v>
      </c>
      <c r="N30" s="101">
        <f>M30*(1+$C$21)</f>
        <v>35773366042.212975</v>
      </c>
      <c r="O30" s="101">
        <f>N30*(1+$C$21)</f>
        <v>39122981842.540009</v>
      </c>
      <c r="P30" s="101">
        <f>O30*(1+$C$21)</f>
        <v>42786236733.931633</v>
      </c>
      <c r="Q30" s="88">
        <f>(P30*(1+Q21))/(F21-Q21)</f>
        <v>2131105936883.0125</v>
      </c>
      <c r="T30" s="86" t="s">
        <v>58</v>
      </c>
      <c r="U30" s="105">
        <f>ABS(U29/U28)</f>
        <v>0.305993690851735</v>
      </c>
      <c r="V30" s="105">
        <f t="shared" ref="V30" si="15">ABS(V29/V28)</f>
        <v>0.73287671232876717</v>
      </c>
      <c r="W30" s="105">
        <f t="shared" ref="W30" si="16">ABS(W29/W28)</f>
        <v>0.26655629139072845</v>
      </c>
      <c r="X30" s="105">
        <f t="shared" ref="X30" si="17">ABS(X29/X28)</f>
        <v>5.21875</v>
      </c>
      <c r="Y30" s="105">
        <f t="shared" ref="Y30" si="18">ABS(Y29/Y28)</f>
        <v>0.53551296505073276</v>
      </c>
      <c r="Z30" s="105">
        <f t="shared" ref="Z30" si="19">ABS(Z29/Z28)</f>
        <v>0.38492706645056723</v>
      </c>
      <c r="AA30" s="105">
        <f t="shared" ref="AA30" si="20">ABS(AA29/AA28)</f>
        <v>0.23603437691835483</v>
      </c>
      <c r="AB30" s="105">
        <f t="shared" ref="AB30" si="21">ABS(AB29/AB28)</f>
        <v>0.10877862595419847</v>
      </c>
      <c r="AC30" s="105">
        <f t="shared" ref="AC30" si="22">ABS(AC29/AC28)</f>
        <v>0.18344795610849238</v>
      </c>
      <c r="AD30" s="102">
        <f t="shared" ref="AD30" si="23">ABS(AD29/AD28)</f>
        <v>0.13471673254281949</v>
      </c>
    </row>
    <row r="31" spans="1:30" x14ac:dyDescent="0.35">
      <c r="A31" s="89" t="s">
        <v>53</v>
      </c>
      <c r="B31" s="319"/>
      <c r="C31" s="320"/>
      <c r="D31" s="320"/>
      <c r="E31" s="320"/>
      <c r="F31" s="320"/>
      <c r="G31" s="320"/>
      <c r="H31" s="320"/>
      <c r="I31" s="320"/>
      <c r="J31" s="320"/>
      <c r="K31" s="366"/>
      <c r="L31" s="57">
        <f>L30/(1+$F$21)</f>
        <v>27661561830.21595</v>
      </c>
      <c r="M31" s="57">
        <f>M30/(1+$F$21^2)</f>
        <v>32495845884.905762</v>
      </c>
      <c r="N31" s="57">
        <f>N30/(1+$F$21^3)</f>
        <v>35754165924.743118</v>
      </c>
      <c r="O31" s="57">
        <f>O30/(1+$F$21^4)</f>
        <v>39121274256.332603</v>
      </c>
      <c r="P31" s="57">
        <f>P30/(1+$F$21^5)</f>
        <v>42786084936.436012</v>
      </c>
      <c r="Q31" s="210">
        <f>SUM(L31:P31)</f>
        <v>177818932832.63345</v>
      </c>
      <c r="T31" s="82" t="s">
        <v>30</v>
      </c>
      <c r="U31" s="57">
        <v>-65000000</v>
      </c>
      <c r="V31" s="57">
        <v>-92000000</v>
      </c>
      <c r="W31" s="57">
        <v>-141000000</v>
      </c>
      <c r="X31" s="57">
        <v>-210000000</v>
      </c>
      <c r="Y31" s="57">
        <v>-459000000</v>
      </c>
      <c r="Z31" s="57">
        <v>-484000000</v>
      </c>
      <c r="AA31" s="57">
        <v>-848000000</v>
      </c>
      <c r="AB31" s="57">
        <v>-1417000000</v>
      </c>
      <c r="AC31" s="57">
        <v>-1600000000</v>
      </c>
      <c r="AD31" s="64">
        <v>-1647000000</v>
      </c>
    </row>
    <row r="32" spans="1:30" x14ac:dyDescent="0.35">
      <c r="A32" s="89" t="s">
        <v>69</v>
      </c>
      <c r="B32" s="321"/>
      <c r="C32" s="322"/>
      <c r="D32" s="322"/>
      <c r="E32" s="322"/>
      <c r="F32" s="322"/>
      <c r="G32" s="322"/>
      <c r="H32" s="322"/>
      <c r="I32" s="322"/>
      <c r="J32" s="322"/>
      <c r="K32" s="367"/>
      <c r="L32" s="304"/>
      <c r="M32" s="305"/>
      <c r="N32" s="305"/>
      <c r="O32" s="305"/>
      <c r="P32" s="306"/>
      <c r="Q32" s="210">
        <f>Q30/(1+F21)^5</f>
        <v>1441819557881.158</v>
      </c>
      <c r="T32" s="82" t="s">
        <v>33</v>
      </c>
      <c r="U32" s="57">
        <f t="shared" ref="U32:AD32" si="24">U31*U30</f>
        <v>-19889589.905362774</v>
      </c>
      <c r="V32" s="57">
        <f t="shared" si="24"/>
        <v>-67424657.534246579</v>
      </c>
      <c r="W32" s="57">
        <f t="shared" si="24"/>
        <v>-37584437.08609271</v>
      </c>
      <c r="X32" s="57">
        <f t="shared" si="24"/>
        <v>-1095937500</v>
      </c>
      <c r="Y32" s="57">
        <f t="shared" si="24"/>
        <v>-245800450.95828635</v>
      </c>
      <c r="Z32" s="57">
        <f t="shared" si="24"/>
        <v>-186304700.16207454</v>
      </c>
      <c r="AA32" s="57">
        <f t="shared" si="24"/>
        <v>-200157151.62676489</v>
      </c>
      <c r="AB32" s="57">
        <f t="shared" si="24"/>
        <v>-154139312.97709924</v>
      </c>
      <c r="AC32" s="57">
        <f t="shared" si="24"/>
        <v>-293516729.77358782</v>
      </c>
      <c r="AD32" s="64">
        <f t="shared" si="24"/>
        <v>-221878458.49802369</v>
      </c>
    </row>
    <row r="33" spans="1:30" x14ac:dyDescent="0.35">
      <c r="A33" s="84" t="s">
        <v>70</v>
      </c>
      <c r="B33" s="321"/>
      <c r="C33" s="322"/>
      <c r="D33" s="322"/>
      <c r="E33" s="322"/>
      <c r="F33" s="322"/>
      <c r="G33" s="322"/>
      <c r="H33" s="322"/>
      <c r="I33" s="322"/>
      <c r="J33" s="322"/>
      <c r="K33" s="367"/>
      <c r="L33" s="307"/>
      <c r="M33" s="308"/>
      <c r="N33" s="308"/>
      <c r="O33" s="308"/>
      <c r="P33" s="309"/>
      <c r="Q33" s="210">
        <f>SUM(Q31:Q32)</f>
        <v>1619638490713.7915</v>
      </c>
      <c r="T33" s="92" t="s">
        <v>35</v>
      </c>
      <c r="U33" s="105">
        <f>ABS(U31-U32)</f>
        <v>45110410.09463723</v>
      </c>
      <c r="V33" s="105">
        <f t="shared" ref="V33:AD33" si="25">ABS(V31-V32)</f>
        <v>24575342.465753421</v>
      </c>
      <c r="W33" s="105">
        <f t="shared" si="25"/>
        <v>103415562.91390729</v>
      </c>
      <c r="X33" s="105">
        <f t="shared" si="25"/>
        <v>885937500</v>
      </c>
      <c r="Y33" s="105">
        <f t="shared" si="25"/>
        <v>213199549.04171365</v>
      </c>
      <c r="Z33" s="105">
        <f t="shared" si="25"/>
        <v>297695299.83792543</v>
      </c>
      <c r="AA33" s="105">
        <f t="shared" si="25"/>
        <v>647842848.37323511</v>
      </c>
      <c r="AB33" s="105">
        <f t="shared" si="25"/>
        <v>1262860687.0229008</v>
      </c>
      <c r="AC33" s="105">
        <f t="shared" si="25"/>
        <v>1306483270.2264123</v>
      </c>
      <c r="AD33" s="102">
        <f t="shared" si="25"/>
        <v>1425121541.5019763</v>
      </c>
    </row>
    <row r="34" spans="1:30" ht="16" thickBot="1" x14ac:dyDescent="0.4">
      <c r="A34" s="98" t="s">
        <v>71</v>
      </c>
      <c r="B34" s="323"/>
      <c r="C34" s="324"/>
      <c r="D34" s="324"/>
      <c r="E34" s="324"/>
      <c r="F34" s="324"/>
      <c r="G34" s="324"/>
      <c r="H34" s="324"/>
      <c r="I34" s="324"/>
      <c r="J34" s="324"/>
      <c r="K34" s="368"/>
      <c r="L34" s="310"/>
      <c r="M34" s="311"/>
      <c r="N34" s="311"/>
      <c r="O34" s="311"/>
      <c r="P34" s="312"/>
      <c r="Q34" s="164">
        <f>Q33/I21</f>
        <v>3073.3178191912552</v>
      </c>
      <c r="T34" s="94" t="s">
        <v>83</v>
      </c>
      <c r="U34" s="326"/>
      <c r="V34" s="327"/>
      <c r="W34" s="327"/>
      <c r="X34" s="327"/>
      <c r="Y34" s="327"/>
      <c r="Z34" s="327"/>
      <c r="AA34" s="327"/>
      <c r="AB34" s="327"/>
      <c r="AC34" s="328"/>
      <c r="AD34" s="106">
        <f>AVERAGE(AC30:AD30)</f>
        <v>0.15908234432565593</v>
      </c>
    </row>
    <row r="35" spans="1:30" ht="16" thickBot="1" x14ac:dyDescent="0.4"/>
    <row r="36" spans="1:30" x14ac:dyDescent="0.35">
      <c r="A36" s="79" t="s">
        <v>36</v>
      </c>
      <c r="L36" s="209"/>
      <c r="O36" s="78" t="s">
        <v>56</v>
      </c>
      <c r="Q36" s="156" t="s">
        <v>93</v>
      </c>
    </row>
    <row r="37" spans="1:30" ht="16" thickBot="1" x14ac:dyDescent="0.4">
      <c r="L37" s="209"/>
      <c r="Q37" s="157">
        <v>0.04</v>
      </c>
      <c r="R37" s="85"/>
      <c r="U37" s="80"/>
      <c r="V37" s="80"/>
      <c r="W37" s="80"/>
      <c r="X37" s="80"/>
      <c r="Y37" s="80"/>
      <c r="AA37" s="80"/>
      <c r="AB37" s="80"/>
      <c r="AC37" s="80"/>
      <c r="AD37" s="80"/>
    </row>
    <row r="38" spans="1:30" ht="16" thickBot="1" x14ac:dyDescent="0.4">
      <c r="A38" s="78" t="s">
        <v>82</v>
      </c>
      <c r="B38" s="150" t="s">
        <v>54</v>
      </c>
      <c r="C38" s="153">
        <f>ROE!K43/100</f>
        <v>0.16071233476764615</v>
      </c>
      <c r="E38" s="151" t="s">
        <v>52</v>
      </c>
      <c r="F38" s="153">
        <f>WACC!B22</f>
        <v>6.5737945785649843E-2</v>
      </c>
      <c r="H38" s="151" t="s">
        <v>74</v>
      </c>
      <c r="I38" s="153">
        <f>WACC!E19</f>
        <v>442895261</v>
      </c>
      <c r="L38" s="209"/>
      <c r="T38" s="325" t="s">
        <v>153</v>
      </c>
      <c r="U38" s="325"/>
      <c r="V38" s="325"/>
    </row>
    <row r="39" spans="1:30" ht="16" thickBot="1" x14ac:dyDescent="0.4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139" t="s">
        <v>55</v>
      </c>
      <c r="L39" s="140">
        <v>1</v>
      </c>
      <c r="M39" s="140">
        <v>2</v>
      </c>
      <c r="N39" s="140">
        <v>3</v>
      </c>
      <c r="O39" s="140">
        <v>4</v>
      </c>
      <c r="P39" s="140">
        <v>5</v>
      </c>
      <c r="Q39" s="141" t="s">
        <v>57</v>
      </c>
      <c r="T39" s="81"/>
      <c r="U39" s="140">
        <v>2011</v>
      </c>
      <c r="V39" s="140">
        <v>2012</v>
      </c>
      <c r="W39" s="140">
        <v>2013</v>
      </c>
      <c r="X39" s="140">
        <v>2014</v>
      </c>
      <c r="Y39" s="140">
        <v>2015</v>
      </c>
      <c r="Z39" s="140">
        <v>2016</v>
      </c>
      <c r="AA39" s="140">
        <v>2017</v>
      </c>
      <c r="AB39" s="140">
        <v>2018</v>
      </c>
      <c r="AC39" s="140">
        <v>2019</v>
      </c>
      <c r="AD39" s="204">
        <v>2020</v>
      </c>
    </row>
    <row r="40" spans="1:30" x14ac:dyDescent="0.35">
      <c r="A40" s="81"/>
      <c r="B40" s="140">
        <v>2011</v>
      </c>
      <c r="C40" s="140">
        <v>2012</v>
      </c>
      <c r="D40" s="140">
        <v>2013</v>
      </c>
      <c r="E40" s="140">
        <v>2014</v>
      </c>
      <c r="F40" s="140">
        <v>2015</v>
      </c>
      <c r="G40" s="140">
        <v>2016</v>
      </c>
      <c r="H40" s="140">
        <v>2017</v>
      </c>
      <c r="I40" s="140">
        <v>2018</v>
      </c>
      <c r="J40" s="143">
        <v>2019</v>
      </c>
      <c r="K40" s="105">
        <v>2020</v>
      </c>
      <c r="L40" s="87" t="s">
        <v>40</v>
      </c>
      <c r="M40" s="54" t="s">
        <v>41</v>
      </c>
      <c r="N40" s="54" t="s">
        <v>42</v>
      </c>
      <c r="O40" s="54" t="s">
        <v>43</v>
      </c>
      <c r="P40" s="54" t="s">
        <v>44</v>
      </c>
      <c r="Q40" s="142" t="s">
        <v>131</v>
      </c>
      <c r="T40" s="82" t="s">
        <v>18</v>
      </c>
      <c r="U40" s="57">
        <v>3204577000</v>
      </c>
      <c r="V40" s="57">
        <v>3609282000</v>
      </c>
      <c r="W40" s="57">
        <v>4374562000</v>
      </c>
      <c r="X40" s="57">
        <v>5504656000</v>
      </c>
      <c r="Y40" s="57">
        <v>6779511000</v>
      </c>
      <c r="Z40" s="57">
        <v>8830669000</v>
      </c>
      <c r="AA40" s="57">
        <v>11692713000</v>
      </c>
      <c r="AB40" s="57">
        <v>15794341000</v>
      </c>
      <c r="AC40" s="57">
        <v>20156447000</v>
      </c>
      <c r="AD40" s="64">
        <v>24996056000</v>
      </c>
    </row>
    <row r="41" spans="1:30" x14ac:dyDescent="0.35">
      <c r="A41" s="84" t="s">
        <v>21</v>
      </c>
      <c r="B41" s="57">
        <v>226126000</v>
      </c>
      <c r="C41" s="57">
        <v>17152000</v>
      </c>
      <c r="D41" s="57">
        <v>112403000</v>
      </c>
      <c r="E41" s="57">
        <v>266799000</v>
      </c>
      <c r="F41" s="57">
        <v>122641000</v>
      </c>
      <c r="G41" s="57">
        <v>186678000</v>
      </c>
      <c r="H41" s="57">
        <v>558929000</v>
      </c>
      <c r="I41" s="57">
        <v>1211242000</v>
      </c>
      <c r="J41" s="61">
        <v>1866916000</v>
      </c>
      <c r="K41" s="57">
        <v>2761395000</v>
      </c>
      <c r="L41" s="286"/>
      <c r="M41" s="287"/>
      <c r="N41" s="287"/>
      <c r="O41" s="287"/>
      <c r="P41" s="287"/>
      <c r="Q41" s="288"/>
      <c r="T41" s="82" t="s">
        <v>19</v>
      </c>
      <c r="U41" s="57">
        <v>-2039901000</v>
      </c>
      <c r="V41" s="57">
        <v>-2625866000</v>
      </c>
      <c r="W41" s="57">
        <v>-3083256000</v>
      </c>
      <c r="X41" s="57">
        <v>-3752760000</v>
      </c>
      <c r="Y41" s="57">
        <v>-4591476000</v>
      </c>
      <c r="Z41" s="57">
        <v>-6029901000</v>
      </c>
      <c r="AA41" s="57">
        <v>-7659666000</v>
      </c>
      <c r="AB41" s="57">
        <v>-9967538000</v>
      </c>
      <c r="AC41" s="57">
        <v>-12440213000</v>
      </c>
      <c r="AD41" s="64">
        <v>-15276319000</v>
      </c>
    </row>
    <row r="42" spans="1:30" x14ac:dyDescent="0.35">
      <c r="A42" s="84" t="s">
        <v>96</v>
      </c>
      <c r="B42" s="57">
        <v>-27562000</v>
      </c>
      <c r="C42" s="57">
        <v>2495114000</v>
      </c>
      <c r="D42" s="57">
        <v>2915319000</v>
      </c>
      <c r="E42" s="57">
        <v>3386040000</v>
      </c>
      <c r="F42" s="57">
        <v>4726685000</v>
      </c>
      <c r="G42" s="57">
        <v>6800244000</v>
      </c>
      <c r="H42" s="57">
        <v>7401909000</v>
      </c>
      <c r="I42" s="57">
        <v>8857949000</v>
      </c>
      <c r="J42" s="61">
        <v>9119402000</v>
      </c>
      <c r="K42" s="57">
        <v>11476839000</v>
      </c>
      <c r="L42" s="289"/>
      <c r="M42" s="290"/>
      <c r="N42" s="290"/>
      <c r="O42" s="290"/>
      <c r="P42" s="290"/>
      <c r="Q42" s="291"/>
      <c r="T42" s="82" t="s">
        <v>31</v>
      </c>
      <c r="U42" s="57">
        <v>-788608000</v>
      </c>
      <c r="V42" s="57">
        <v>-933424000</v>
      </c>
      <c r="W42" s="57">
        <v>-1062959000</v>
      </c>
      <c r="X42" s="57">
        <v>-1349248000</v>
      </c>
      <c r="Y42" s="57">
        <v>-1882209000</v>
      </c>
      <c r="Z42" s="57">
        <v>-2420975000</v>
      </c>
      <c r="AA42" s="57">
        <v>-3194368000</v>
      </c>
      <c r="AB42" s="57">
        <v>-4221577000</v>
      </c>
      <c r="AC42" s="57">
        <v>-5111980000</v>
      </c>
      <c r="AD42" s="64">
        <v>-5134448000</v>
      </c>
    </row>
    <row r="43" spans="1:30" x14ac:dyDescent="0.35">
      <c r="A43" s="132" t="s">
        <v>97</v>
      </c>
      <c r="B43" s="62">
        <v>-2320732000</v>
      </c>
      <c r="C43" s="62">
        <v>-2515506000</v>
      </c>
      <c r="D43" s="62">
        <v>-3049758000</v>
      </c>
      <c r="E43" s="62">
        <v>-3773459000</v>
      </c>
      <c r="F43" s="62">
        <v>-5771652000</v>
      </c>
      <c r="G43" s="62">
        <v>-8653286000</v>
      </c>
      <c r="H43" s="62">
        <v>-9805763000</v>
      </c>
      <c r="I43" s="62">
        <v>-13043437000</v>
      </c>
      <c r="J43" s="63">
        <v>-13916683000</v>
      </c>
      <c r="K43" s="62">
        <v>-11779284000</v>
      </c>
      <c r="L43" s="289"/>
      <c r="M43" s="290"/>
      <c r="N43" s="290"/>
      <c r="O43" s="290"/>
      <c r="P43" s="290"/>
      <c r="Q43" s="291"/>
      <c r="T43" s="86" t="s">
        <v>16</v>
      </c>
      <c r="U43" s="105">
        <f>SUM(U40:U42)</f>
        <v>376068000</v>
      </c>
      <c r="V43" s="105">
        <f t="shared" ref="V43:AD43" si="26">SUM(V40:V42)</f>
        <v>49992000</v>
      </c>
      <c r="W43" s="105">
        <f t="shared" si="26"/>
        <v>228347000</v>
      </c>
      <c r="X43" s="105">
        <f t="shared" si="26"/>
        <v>402648000</v>
      </c>
      <c r="Y43" s="105">
        <f t="shared" si="26"/>
        <v>305826000</v>
      </c>
      <c r="Z43" s="105">
        <f t="shared" si="26"/>
        <v>379793000</v>
      </c>
      <c r="AA43" s="105">
        <f t="shared" si="26"/>
        <v>838679000</v>
      </c>
      <c r="AB43" s="105">
        <f t="shared" si="26"/>
        <v>1605226000</v>
      </c>
      <c r="AC43" s="105">
        <f t="shared" si="26"/>
        <v>2604254000</v>
      </c>
      <c r="AD43" s="102">
        <f t="shared" si="26"/>
        <v>4585289000</v>
      </c>
    </row>
    <row r="44" spans="1:30" x14ac:dyDescent="0.35">
      <c r="A44" s="89" t="s">
        <v>39</v>
      </c>
      <c r="B44" s="57">
        <f>U50</f>
        <v>12522381.215190299</v>
      </c>
      <c r="C44" s="57">
        <f>V50</f>
        <v>11108661.867626475</v>
      </c>
      <c r="D44" s="57">
        <f>W50</f>
        <v>22531911.377501871</v>
      </c>
      <c r="E44" s="57">
        <f>X50</f>
        <v>40687021.232565001</v>
      </c>
      <c r="F44" s="57">
        <f>Y50</f>
        <v>141705523.35342002</v>
      </c>
      <c r="G44" s="57">
        <f>Z50</f>
        <v>101860713.86587368</v>
      </c>
      <c r="H44" s="57">
        <f>AA50</f>
        <v>299764655.25703609</v>
      </c>
      <c r="I44" s="57">
        <f>AB50</f>
        <v>415092440.1371448</v>
      </c>
      <c r="J44" s="57">
        <f>AC50</f>
        <v>564214403.20569241</v>
      </c>
      <c r="K44" s="57">
        <f>AD50</f>
        <v>1196220789.3855906</v>
      </c>
      <c r="L44" s="289"/>
      <c r="M44" s="290"/>
      <c r="N44" s="290"/>
      <c r="O44" s="290"/>
      <c r="P44" s="290"/>
      <c r="Q44" s="291"/>
      <c r="T44" s="82" t="s">
        <v>30</v>
      </c>
      <c r="U44" s="57">
        <v>-20025000</v>
      </c>
      <c r="V44" s="57">
        <v>-19986000</v>
      </c>
      <c r="W44" s="57">
        <v>-32144000</v>
      </c>
      <c r="X44" s="57">
        <v>-53279000</v>
      </c>
      <c r="Y44" s="57">
        <v>-163941000</v>
      </c>
      <c r="Z44" s="57">
        <v>-150114000</v>
      </c>
      <c r="AA44" s="57">
        <v>-353358000</v>
      </c>
      <c r="AB44" s="57">
        <v>-420493000</v>
      </c>
      <c r="AC44" s="57">
        <v>-626023000</v>
      </c>
      <c r="AD44" s="64">
        <v>-1385940000</v>
      </c>
    </row>
    <row r="45" spans="1:30" x14ac:dyDescent="0.35">
      <c r="A45" s="84" t="s">
        <v>68</v>
      </c>
      <c r="B45" s="57">
        <v>119148000</v>
      </c>
      <c r="C45" s="57">
        <v>26005000</v>
      </c>
      <c r="D45" s="57">
        <v>119867000</v>
      </c>
      <c r="E45" s="57">
        <v>137103000</v>
      </c>
      <c r="F45" s="57">
        <v>172887000</v>
      </c>
      <c r="G45" s="57">
        <v>192380000</v>
      </c>
      <c r="H45" s="57">
        <v>58977000</v>
      </c>
      <c r="I45" s="57">
        <v>293767000</v>
      </c>
      <c r="J45" s="61">
        <v>43043000</v>
      </c>
      <c r="K45" s="57">
        <v>-31873000</v>
      </c>
      <c r="L45" s="289"/>
      <c r="M45" s="290"/>
      <c r="N45" s="290"/>
      <c r="O45" s="290"/>
      <c r="P45" s="290"/>
      <c r="Q45" s="291"/>
      <c r="T45" s="86" t="s">
        <v>32</v>
      </c>
      <c r="U45" s="105">
        <f>U43+U44</f>
        <v>356043000</v>
      </c>
      <c r="V45" s="105">
        <f t="shared" ref="V45:AD45" si="27">V43+V44</f>
        <v>30006000</v>
      </c>
      <c r="W45" s="105">
        <f t="shared" si="27"/>
        <v>196203000</v>
      </c>
      <c r="X45" s="105">
        <f t="shared" si="27"/>
        <v>349369000</v>
      </c>
      <c r="Y45" s="105">
        <f t="shared" si="27"/>
        <v>141885000</v>
      </c>
      <c r="Z45" s="105">
        <f t="shared" si="27"/>
        <v>229679000</v>
      </c>
      <c r="AA45" s="105">
        <f t="shared" si="27"/>
        <v>485321000</v>
      </c>
      <c r="AB45" s="105">
        <f t="shared" si="27"/>
        <v>1184733000</v>
      </c>
      <c r="AC45" s="105">
        <f t="shared" si="27"/>
        <v>1978231000</v>
      </c>
      <c r="AD45" s="102">
        <f t="shared" si="27"/>
        <v>3199349000</v>
      </c>
    </row>
    <row r="46" spans="1:30" x14ac:dyDescent="0.35">
      <c r="A46" s="84" t="s">
        <v>23</v>
      </c>
      <c r="B46" s="57">
        <v>-49682000</v>
      </c>
      <c r="C46" s="57">
        <v>-41457000</v>
      </c>
      <c r="D46" s="57">
        <v>-54143000</v>
      </c>
      <c r="E46" s="57">
        <v>-69726000</v>
      </c>
      <c r="F46" s="57">
        <v>-91248000</v>
      </c>
      <c r="G46" s="57">
        <v>-107653000</v>
      </c>
      <c r="H46" s="57">
        <v>-173302000</v>
      </c>
      <c r="I46" s="57">
        <v>-173946000</v>
      </c>
      <c r="J46" s="61">
        <v>-253035000</v>
      </c>
      <c r="K46" s="57">
        <v>-497923000</v>
      </c>
      <c r="L46" s="292"/>
      <c r="M46" s="293"/>
      <c r="N46" s="293"/>
      <c r="O46" s="293"/>
      <c r="P46" s="293"/>
      <c r="Q46" s="294"/>
      <c r="T46" s="82" t="s">
        <v>17</v>
      </c>
      <c r="U46" s="57">
        <v>-133396000</v>
      </c>
      <c r="V46" s="57">
        <v>-13328000</v>
      </c>
      <c r="W46" s="57">
        <v>-58671000</v>
      </c>
      <c r="X46" s="57">
        <v>-82570000</v>
      </c>
      <c r="Y46" s="57">
        <v>-19244000</v>
      </c>
      <c r="Z46" s="57">
        <v>-73829000</v>
      </c>
      <c r="AA46" s="57">
        <v>73608000</v>
      </c>
      <c r="AB46" s="57">
        <v>-15216000</v>
      </c>
      <c r="AC46" s="57">
        <v>-195315000</v>
      </c>
      <c r="AD46" s="64">
        <v>-437954000</v>
      </c>
    </row>
    <row r="47" spans="1:30" x14ac:dyDescent="0.35">
      <c r="A47" s="90" t="s">
        <v>15</v>
      </c>
      <c r="B47" s="101">
        <f>SUM(B41:B46)</f>
        <v>-2040179618.7848096</v>
      </c>
      <c r="C47" s="101">
        <f>SUM(C41:C46)</f>
        <v>-7583338.1323735267</v>
      </c>
      <c r="D47" s="101">
        <f>SUM(D41:D46)</f>
        <v>66219911.377501875</v>
      </c>
      <c r="E47" s="101">
        <f>SUM(E41:E46)</f>
        <v>-12555978.767434999</v>
      </c>
      <c r="F47" s="101">
        <f>SUM(F41:F46)</f>
        <v>-698981476.64657998</v>
      </c>
      <c r="G47" s="101">
        <f>SUM(G41:G46)</f>
        <v>-1479776286.1341264</v>
      </c>
      <c r="H47" s="101">
        <f>SUM(H41:H46)</f>
        <v>-1659485344.7429638</v>
      </c>
      <c r="I47" s="101">
        <f>SUM(I41:I46)</f>
        <v>-2439332559.862855</v>
      </c>
      <c r="J47" s="103">
        <f>SUM(J41:J46)</f>
        <v>-2576142596.7943077</v>
      </c>
      <c r="K47" s="101">
        <f>SUM(K41:K46)</f>
        <v>3125374789.3855906</v>
      </c>
      <c r="L47" s="101">
        <f>K47*(1+$C$38)</f>
        <v>3627661068.8116894</v>
      </c>
      <c r="M47" s="101">
        <f>L47*(1+$C$38)</f>
        <v>4210670948.9261107</v>
      </c>
      <c r="N47" s="101">
        <f>M47*(1+$C$38)</f>
        <v>4887377708.0663261</v>
      </c>
      <c r="O47" s="101">
        <f>N47*(1+$C$38)</f>
        <v>5672839590.4210129</v>
      </c>
      <c r="P47" s="103">
        <f>O47*(1+$C$38)</f>
        <v>6584534885.7599115</v>
      </c>
      <c r="Q47" s="210">
        <f>(P47*(1+Q37))/(F38-Q37)</f>
        <v>266063047075.35577</v>
      </c>
      <c r="T47" s="86" t="s">
        <v>58</v>
      </c>
      <c r="U47" s="105">
        <f>ABS(U46/U45)</f>
        <v>0.37466261097676407</v>
      </c>
      <c r="V47" s="105">
        <f t="shared" ref="V47" si="28">ABS(V46/V45)</f>
        <v>0.44417783110044656</v>
      </c>
      <c r="W47" s="105">
        <f t="shared" ref="W47" si="29">ABS(W46/W45)</f>
        <v>0.29903212489105674</v>
      </c>
      <c r="X47" s="105">
        <f t="shared" ref="X47" si="30">ABS(X46/X45)</f>
        <v>0.23634037364505722</v>
      </c>
      <c r="Y47" s="105">
        <f t="shared" ref="Y47" si="31">ABS(Y46/Y45)</f>
        <v>0.1356309687422913</v>
      </c>
      <c r="Z47" s="105">
        <f t="shared" ref="Z47" si="32">ABS(Z46/Z45)</f>
        <v>0.32144427657731006</v>
      </c>
      <c r="AA47" s="105">
        <f t="shared" ref="AA47" si="33">ABS(AA46/AA45)</f>
        <v>0.15166868938290329</v>
      </c>
      <c r="AB47" s="105">
        <f t="shared" ref="AB47" si="34">ABS(AB46/AB45)</f>
        <v>1.2843400158516729E-2</v>
      </c>
      <c r="AC47" s="105">
        <f t="shared" ref="AC47" si="35">ABS(AC46/AC45)</f>
        <v>9.8732150087628798E-2</v>
      </c>
      <c r="AD47" s="102">
        <f t="shared" ref="AD47" si="36">ABS(AD46/AD45)</f>
        <v>0.13688847324877654</v>
      </c>
    </row>
    <row r="48" spans="1:30" x14ac:dyDescent="0.35">
      <c r="A48" s="89" t="s">
        <v>53</v>
      </c>
      <c r="B48" s="304"/>
      <c r="C48" s="305"/>
      <c r="D48" s="305"/>
      <c r="E48" s="305"/>
      <c r="F48" s="305"/>
      <c r="G48" s="305"/>
      <c r="H48" s="305"/>
      <c r="I48" s="305"/>
      <c r="J48" s="305"/>
      <c r="K48" s="306"/>
      <c r="L48" s="57">
        <f>L47/(1+$F$38)</f>
        <v>3403895941.9216509</v>
      </c>
      <c r="M48" s="57">
        <f>M47/(1+$F$38^2)</f>
        <v>4192552925.7224703</v>
      </c>
      <c r="N48" s="57">
        <f>N47/(1+$F$38^3)</f>
        <v>4885989671.4234104</v>
      </c>
      <c r="O48" s="57">
        <f>O47/(1+$F$38^4)</f>
        <v>5672733651.1674986</v>
      </c>
      <c r="P48" s="61">
        <f>P47/(1+$F$38^5)</f>
        <v>6584526802.1524849</v>
      </c>
      <c r="Q48" s="210">
        <f>SUM(L48:P48)</f>
        <v>24739698992.387516</v>
      </c>
      <c r="T48" s="82" t="s">
        <v>30</v>
      </c>
      <c r="U48" s="57">
        <v>-20025000</v>
      </c>
      <c r="V48" s="57">
        <v>-19986000</v>
      </c>
      <c r="W48" s="57">
        <v>-32144000</v>
      </c>
      <c r="X48" s="57">
        <v>-53279000</v>
      </c>
      <c r="Y48" s="57">
        <v>-163941000</v>
      </c>
      <c r="Z48" s="57">
        <v>-150114000</v>
      </c>
      <c r="AA48" s="57">
        <v>-353358000</v>
      </c>
      <c r="AB48" s="57">
        <v>-420493000</v>
      </c>
      <c r="AC48" s="57">
        <v>-626023000</v>
      </c>
      <c r="AD48" s="64">
        <v>-1385940000</v>
      </c>
    </row>
    <row r="49" spans="1:30" x14ac:dyDescent="0.35">
      <c r="A49" s="89" t="s">
        <v>69</v>
      </c>
      <c r="B49" s="307"/>
      <c r="C49" s="308"/>
      <c r="D49" s="308"/>
      <c r="E49" s="308"/>
      <c r="F49" s="308"/>
      <c r="G49" s="308"/>
      <c r="H49" s="308"/>
      <c r="I49" s="308"/>
      <c r="J49" s="308"/>
      <c r="K49" s="309"/>
      <c r="L49" s="304"/>
      <c r="M49" s="305"/>
      <c r="N49" s="305"/>
      <c r="O49" s="305"/>
      <c r="P49" s="306"/>
      <c r="Q49" s="210">
        <f>Q47/(1+F38)^5</f>
        <v>193522922795.13675</v>
      </c>
      <c r="T49" s="82" t="s">
        <v>33</v>
      </c>
      <c r="U49" s="57">
        <f t="shared" ref="U49:AD49" si="37">U48*U47</f>
        <v>-7502618.7848097002</v>
      </c>
      <c r="V49" s="57">
        <f t="shared" si="37"/>
        <v>-8877338.1323735248</v>
      </c>
      <c r="W49" s="57">
        <f t="shared" si="37"/>
        <v>-9612088.6224981286</v>
      </c>
      <c r="X49" s="57">
        <f t="shared" si="37"/>
        <v>-12591978.767435003</v>
      </c>
      <c r="Y49" s="57">
        <f t="shared" si="37"/>
        <v>-22235476.646579977</v>
      </c>
      <c r="Z49" s="57">
        <f t="shared" si="37"/>
        <v>-48253286.13412632</v>
      </c>
      <c r="AA49" s="57">
        <f t="shared" si="37"/>
        <v>-53593344.74296394</v>
      </c>
      <c r="AB49" s="57">
        <f t="shared" si="37"/>
        <v>-5400559.8628551746</v>
      </c>
      <c r="AC49" s="57">
        <f t="shared" si="37"/>
        <v>-61808596.794307642</v>
      </c>
      <c r="AD49" s="64">
        <f t="shared" si="37"/>
        <v>-189719210.61440936</v>
      </c>
    </row>
    <row r="50" spans="1:30" x14ac:dyDescent="0.35">
      <c r="A50" s="84" t="s">
        <v>70</v>
      </c>
      <c r="B50" s="307"/>
      <c r="C50" s="308"/>
      <c r="D50" s="308"/>
      <c r="E50" s="308"/>
      <c r="F50" s="308"/>
      <c r="G50" s="308"/>
      <c r="H50" s="308"/>
      <c r="I50" s="308"/>
      <c r="J50" s="308"/>
      <c r="K50" s="309"/>
      <c r="L50" s="307"/>
      <c r="M50" s="308"/>
      <c r="N50" s="308"/>
      <c r="O50" s="308"/>
      <c r="P50" s="309"/>
      <c r="Q50" s="210">
        <f>Q48+Q49</f>
        <v>218262621787.52426</v>
      </c>
      <c r="T50" s="92" t="s">
        <v>35</v>
      </c>
      <c r="U50" s="105">
        <f>ABS(U48-U49)</f>
        <v>12522381.215190299</v>
      </c>
      <c r="V50" s="105">
        <f t="shared" ref="V50:AD50" si="38">ABS(V48-V49)</f>
        <v>11108661.867626475</v>
      </c>
      <c r="W50" s="105">
        <f t="shared" si="38"/>
        <v>22531911.377501871</v>
      </c>
      <c r="X50" s="105">
        <f t="shared" si="38"/>
        <v>40687021.232565001</v>
      </c>
      <c r="Y50" s="105">
        <f t="shared" si="38"/>
        <v>141705523.35342002</v>
      </c>
      <c r="Z50" s="105">
        <f t="shared" si="38"/>
        <v>101860713.86587368</v>
      </c>
      <c r="AA50" s="105">
        <f t="shared" si="38"/>
        <v>299764655.25703609</v>
      </c>
      <c r="AB50" s="105">
        <f t="shared" si="38"/>
        <v>415092440.1371448</v>
      </c>
      <c r="AC50" s="105">
        <f t="shared" si="38"/>
        <v>564214403.20569241</v>
      </c>
      <c r="AD50" s="102">
        <f t="shared" si="38"/>
        <v>1196220789.3855906</v>
      </c>
    </row>
    <row r="51" spans="1:30" ht="16" thickBot="1" x14ac:dyDescent="0.4">
      <c r="A51" s="98" t="s">
        <v>71</v>
      </c>
      <c r="B51" s="310"/>
      <c r="C51" s="311"/>
      <c r="D51" s="311"/>
      <c r="E51" s="311"/>
      <c r="F51" s="311"/>
      <c r="G51" s="311"/>
      <c r="H51" s="311"/>
      <c r="I51" s="311"/>
      <c r="J51" s="311"/>
      <c r="K51" s="312"/>
      <c r="L51" s="310"/>
      <c r="M51" s="311"/>
      <c r="N51" s="311"/>
      <c r="O51" s="311"/>
      <c r="P51" s="312"/>
      <c r="Q51" s="164">
        <f>Q50/I38</f>
        <v>492.80866382429923</v>
      </c>
      <c r="T51" s="94" t="s">
        <v>83</v>
      </c>
      <c r="U51" s="326"/>
      <c r="V51" s="327"/>
      <c r="W51" s="327"/>
      <c r="X51" s="327"/>
      <c r="Y51" s="327"/>
      <c r="Z51" s="327"/>
      <c r="AA51" s="327"/>
      <c r="AB51" s="327"/>
      <c r="AC51" s="328"/>
      <c r="AD51" s="106">
        <f>AVERAGE(AC47:AD47)</f>
        <v>0.11781031166820266</v>
      </c>
    </row>
    <row r="52" spans="1:30" ht="16" thickBot="1" x14ac:dyDescent="0.4"/>
    <row r="53" spans="1:30" x14ac:dyDescent="0.35">
      <c r="A53" s="79" t="s">
        <v>29</v>
      </c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Q53" s="156" t="s">
        <v>93</v>
      </c>
      <c r="R53" s="168"/>
    </row>
    <row r="54" spans="1:30" ht="16" thickBot="1" x14ac:dyDescent="0.4">
      <c r="Q54" s="157">
        <v>0.06</v>
      </c>
      <c r="R54" s="168"/>
      <c r="T54" s="325" t="s">
        <v>154</v>
      </c>
      <c r="U54" s="325"/>
      <c r="V54" s="325"/>
      <c r="W54" s="80"/>
      <c r="X54" s="80"/>
      <c r="Y54" s="80"/>
      <c r="AA54" s="80"/>
      <c r="AB54" s="80"/>
      <c r="AC54" s="80"/>
      <c r="AD54" s="80"/>
    </row>
    <row r="55" spans="1:30" ht="16" thickBot="1" x14ac:dyDescent="0.4">
      <c r="A55" s="78" t="s">
        <v>82</v>
      </c>
      <c r="B55" s="150" t="s">
        <v>54</v>
      </c>
      <c r="C55" s="153">
        <f>ROE!K57/100</f>
        <v>0.14689497938434617</v>
      </c>
      <c r="E55" s="151" t="s">
        <v>52</v>
      </c>
      <c r="F55" s="153">
        <f>WACC!B29</f>
        <v>7.6866251379434924E-2</v>
      </c>
      <c r="H55" s="151" t="s">
        <v>74</v>
      </c>
      <c r="I55" s="153">
        <f>WACC!E26</f>
        <v>675222000</v>
      </c>
      <c r="R55" s="168"/>
      <c r="T55" s="81"/>
      <c r="U55" s="140">
        <v>2011</v>
      </c>
      <c r="V55" s="140">
        <v>2012</v>
      </c>
      <c r="W55" s="140">
        <v>2013</v>
      </c>
      <c r="X55" s="140">
        <v>2014</v>
      </c>
      <c r="Y55" s="140">
        <v>2015</v>
      </c>
      <c r="Z55" s="140">
        <v>2016</v>
      </c>
      <c r="AA55" s="140">
        <v>2017</v>
      </c>
      <c r="AB55" s="140">
        <v>2018</v>
      </c>
      <c r="AC55" s="140">
        <v>2019</v>
      </c>
      <c r="AD55" s="204">
        <v>2020</v>
      </c>
    </row>
    <row r="56" spans="1:30" ht="16" thickBot="1" x14ac:dyDescent="0.4">
      <c r="B56" s="145"/>
      <c r="C56" s="145"/>
      <c r="D56" s="145"/>
      <c r="E56" s="145"/>
      <c r="F56" s="145"/>
      <c r="G56" s="145"/>
      <c r="H56" s="145"/>
      <c r="I56" s="145"/>
      <c r="J56" s="145"/>
      <c r="K56" s="139" t="s">
        <v>55</v>
      </c>
      <c r="L56" s="140">
        <v>1</v>
      </c>
      <c r="M56" s="140">
        <v>2</v>
      </c>
      <c r="N56" s="140">
        <v>3</v>
      </c>
      <c r="O56" s="140">
        <v>4</v>
      </c>
      <c r="P56" s="140">
        <v>5</v>
      </c>
      <c r="Q56" s="141" t="s">
        <v>57</v>
      </c>
      <c r="T56" s="82" t="s">
        <v>18</v>
      </c>
      <c r="U56" s="57">
        <v>37905000000</v>
      </c>
      <c r="V56" s="57">
        <v>50175000000</v>
      </c>
      <c r="W56" s="57">
        <v>59825000000</v>
      </c>
      <c r="X56" s="57">
        <v>66001000000</v>
      </c>
      <c r="Y56" s="57">
        <v>74989000000</v>
      </c>
      <c r="Z56" s="57">
        <v>90272000000</v>
      </c>
      <c r="AA56" s="57">
        <v>110855000000</v>
      </c>
      <c r="AB56" s="57">
        <v>136819000000</v>
      </c>
      <c r="AC56" s="57">
        <v>161857000000</v>
      </c>
      <c r="AD56" s="212">
        <v>182527000000</v>
      </c>
    </row>
    <row r="57" spans="1:30" x14ac:dyDescent="0.35">
      <c r="A57" s="81"/>
      <c r="B57" s="140">
        <v>2011</v>
      </c>
      <c r="C57" s="140">
        <v>2012</v>
      </c>
      <c r="D57" s="140">
        <v>2013</v>
      </c>
      <c r="E57" s="140">
        <v>2014</v>
      </c>
      <c r="F57" s="140">
        <v>2015</v>
      </c>
      <c r="G57" s="140">
        <v>2016</v>
      </c>
      <c r="H57" s="140">
        <v>2017</v>
      </c>
      <c r="I57" s="140">
        <v>2018</v>
      </c>
      <c r="J57" s="143">
        <v>2019</v>
      </c>
      <c r="K57" s="87">
        <v>2020</v>
      </c>
      <c r="L57" s="149" t="s">
        <v>40</v>
      </c>
      <c r="M57" s="54" t="s">
        <v>41</v>
      </c>
      <c r="N57" s="54" t="s">
        <v>42</v>
      </c>
      <c r="O57" s="54" t="s">
        <v>43</v>
      </c>
      <c r="P57" s="54" t="s">
        <v>44</v>
      </c>
      <c r="Q57" s="142" t="s">
        <v>131</v>
      </c>
      <c r="T57" s="82" t="s">
        <v>19</v>
      </c>
      <c r="U57" s="57">
        <v>-13188000000</v>
      </c>
      <c r="V57" s="57">
        <v>-20634000000</v>
      </c>
      <c r="W57" s="57">
        <v>-25858000000</v>
      </c>
      <c r="X57" s="57">
        <v>-25691000000</v>
      </c>
      <c r="Y57" s="57">
        <v>-28164000000</v>
      </c>
      <c r="Z57" s="57">
        <v>-35138000000</v>
      </c>
      <c r="AA57" s="57">
        <v>-45583000000</v>
      </c>
      <c r="AB57" s="57">
        <v>-59549000000</v>
      </c>
      <c r="AC57" s="57">
        <v>-71896000000</v>
      </c>
      <c r="AD57" s="64">
        <v>-84732000000</v>
      </c>
    </row>
    <row r="58" spans="1:30" x14ac:dyDescent="0.35">
      <c r="A58" s="84" t="s">
        <v>21</v>
      </c>
      <c r="B58" s="57">
        <v>9737000000</v>
      </c>
      <c r="C58" s="57">
        <v>10788000000</v>
      </c>
      <c r="D58" s="57">
        <v>12214000000</v>
      </c>
      <c r="E58" s="57">
        <v>13928000000</v>
      </c>
      <c r="F58" s="57">
        <v>16348000000</v>
      </c>
      <c r="G58" s="57">
        <v>19478000000</v>
      </c>
      <c r="H58" s="57">
        <v>12662000000</v>
      </c>
      <c r="I58" s="57">
        <v>30736000000</v>
      </c>
      <c r="J58" s="61">
        <v>34343000000</v>
      </c>
      <c r="K58" s="57">
        <v>40269000000</v>
      </c>
      <c r="L58" s="286"/>
      <c r="M58" s="287"/>
      <c r="N58" s="287"/>
      <c r="O58" s="287"/>
      <c r="P58" s="287"/>
      <c r="Q58" s="288"/>
      <c r="T58" s="82" t="s">
        <v>31</v>
      </c>
      <c r="U58" s="57">
        <v>-12975000000</v>
      </c>
      <c r="V58" s="57">
        <v>-16781000000</v>
      </c>
      <c r="W58" s="57">
        <v>-20001000000</v>
      </c>
      <c r="X58" s="57">
        <v>-23814000000</v>
      </c>
      <c r="Y58" s="57">
        <v>-27465000000</v>
      </c>
      <c r="Z58" s="57">
        <v>-31418000000</v>
      </c>
      <c r="AA58" s="57">
        <v>-36390000000</v>
      </c>
      <c r="AB58" s="57">
        <v>-45878000000</v>
      </c>
      <c r="AC58" s="57">
        <v>-54033000000</v>
      </c>
      <c r="AD58" s="64">
        <v>-56571000000</v>
      </c>
    </row>
    <row r="59" spans="1:30" x14ac:dyDescent="0.35">
      <c r="A59" s="84" t="s">
        <v>96</v>
      </c>
      <c r="B59" s="57">
        <v>4198000000</v>
      </c>
      <c r="C59" s="57">
        <v>4984000000</v>
      </c>
      <c r="D59" s="57">
        <v>5770000000</v>
      </c>
      <c r="E59" s="57">
        <v>7568000000</v>
      </c>
      <c r="F59" s="57">
        <v>10085000000</v>
      </c>
      <c r="G59" s="57">
        <v>13258000000</v>
      </c>
      <c r="H59" s="57">
        <v>15183000000</v>
      </c>
      <c r="I59" s="57">
        <v>12327000000</v>
      </c>
      <c r="J59" s="61">
        <v>19358000000</v>
      </c>
      <c r="K59" s="57">
        <v>23028000000</v>
      </c>
      <c r="L59" s="289"/>
      <c r="M59" s="290"/>
      <c r="N59" s="290"/>
      <c r="O59" s="290"/>
      <c r="P59" s="290"/>
      <c r="Q59" s="291"/>
      <c r="T59" s="86" t="s">
        <v>16</v>
      </c>
      <c r="U59" s="105">
        <f>SUM(U56:U58)</f>
        <v>11742000000</v>
      </c>
      <c r="V59" s="105">
        <f t="shared" ref="V59:AD59" si="39">SUM(V56:V58)</f>
        <v>12760000000</v>
      </c>
      <c r="W59" s="105">
        <f t="shared" si="39"/>
        <v>13966000000</v>
      </c>
      <c r="X59" s="105">
        <f t="shared" si="39"/>
        <v>16496000000</v>
      </c>
      <c r="Y59" s="105">
        <f t="shared" si="39"/>
        <v>19360000000</v>
      </c>
      <c r="Z59" s="105">
        <f t="shared" si="39"/>
        <v>23716000000</v>
      </c>
      <c r="AA59" s="105">
        <f t="shared" si="39"/>
        <v>28882000000</v>
      </c>
      <c r="AB59" s="105">
        <f t="shared" si="39"/>
        <v>31392000000</v>
      </c>
      <c r="AC59" s="105">
        <f t="shared" si="39"/>
        <v>35928000000</v>
      </c>
      <c r="AD59" s="102">
        <f t="shared" si="39"/>
        <v>41224000000</v>
      </c>
    </row>
    <row r="60" spans="1:30" x14ac:dyDescent="0.35">
      <c r="A60" s="89" t="s">
        <v>39</v>
      </c>
      <c r="B60" s="57">
        <f>U66</f>
        <v>45148065.730914071</v>
      </c>
      <c r="C60" s="57">
        <f>V66</f>
        <v>66783843.483748816</v>
      </c>
      <c r="D60" s="57">
        <f>W66</f>
        <v>69356983.360945046</v>
      </c>
      <c r="E60" s="57">
        <f>X66</f>
        <v>80479658.432448924</v>
      </c>
      <c r="F60" s="57">
        <f>Y66</f>
        <v>86160781.055255502</v>
      </c>
      <c r="G60" s="57">
        <f>Z66</f>
        <v>99443879.281112239</v>
      </c>
      <c r="H60" s="57">
        <f>AA66</f>
        <v>53952594.446182191</v>
      </c>
      <c r="I60" s="57">
        <f>AB66</f>
        <v>98775944.753500864</v>
      </c>
      <c r="J60" s="57">
        <f>AC66</f>
        <v>85257340.627442226</v>
      </c>
      <c r="K60" s="57">
        <f>AD66</f>
        <v>109329990.99515685</v>
      </c>
      <c r="L60" s="289"/>
      <c r="M60" s="290"/>
      <c r="N60" s="290"/>
      <c r="O60" s="290"/>
      <c r="P60" s="290"/>
      <c r="Q60" s="291"/>
      <c r="T60" s="82" t="s">
        <v>30</v>
      </c>
      <c r="U60" s="57">
        <v>-58000000</v>
      </c>
      <c r="V60" s="57">
        <v>-84000000</v>
      </c>
      <c r="W60" s="57">
        <v>-83000000</v>
      </c>
      <c r="X60" s="57">
        <v>-101000000</v>
      </c>
      <c r="Y60" s="57">
        <v>-104000000</v>
      </c>
      <c r="Z60" s="57">
        <v>-124000000</v>
      </c>
      <c r="AA60" s="57">
        <v>-109000000</v>
      </c>
      <c r="AB60" s="57">
        <v>-114000000</v>
      </c>
      <c r="AC60" s="57">
        <v>-100000000</v>
      </c>
      <c r="AD60" s="64">
        <v>-135000000</v>
      </c>
    </row>
    <row r="61" spans="1:30" x14ac:dyDescent="0.35">
      <c r="A61" s="84" t="s">
        <v>24</v>
      </c>
      <c r="B61" s="57">
        <v>630000000</v>
      </c>
      <c r="C61" s="57">
        <v>898000000</v>
      </c>
      <c r="D61" s="57">
        <v>-31000000</v>
      </c>
      <c r="E61" s="57">
        <v>364000000</v>
      </c>
      <c r="F61" s="57">
        <v>-409000000</v>
      </c>
      <c r="G61" s="57">
        <v>3300000000</v>
      </c>
      <c r="H61" s="57">
        <v>9246000000</v>
      </c>
      <c r="I61" s="57">
        <v>4908000000</v>
      </c>
      <c r="J61" s="61">
        <v>819000000</v>
      </c>
      <c r="K61" s="57">
        <v>1827000000</v>
      </c>
      <c r="L61" s="289"/>
      <c r="M61" s="290"/>
      <c r="N61" s="290"/>
      <c r="O61" s="290"/>
      <c r="P61" s="290"/>
      <c r="Q61" s="291"/>
      <c r="T61" s="86" t="s">
        <v>32</v>
      </c>
      <c r="U61" s="105">
        <f>U59+U60</f>
        <v>11684000000</v>
      </c>
      <c r="V61" s="105">
        <f t="shared" ref="V61:AD61" si="40">V59+V60</f>
        <v>12676000000</v>
      </c>
      <c r="W61" s="105">
        <f t="shared" si="40"/>
        <v>13883000000</v>
      </c>
      <c r="X61" s="105">
        <f t="shared" si="40"/>
        <v>16395000000</v>
      </c>
      <c r="Y61" s="105">
        <f t="shared" si="40"/>
        <v>19256000000</v>
      </c>
      <c r="Z61" s="105">
        <f t="shared" si="40"/>
        <v>23592000000</v>
      </c>
      <c r="AA61" s="105">
        <f t="shared" si="40"/>
        <v>28773000000</v>
      </c>
      <c r="AB61" s="105">
        <f t="shared" si="40"/>
        <v>31278000000</v>
      </c>
      <c r="AC61" s="105">
        <f t="shared" si="40"/>
        <v>35828000000</v>
      </c>
      <c r="AD61" s="102">
        <f t="shared" si="40"/>
        <v>41089000000</v>
      </c>
    </row>
    <row r="62" spans="1:30" x14ac:dyDescent="0.35">
      <c r="A62" s="84" t="s">
        <v>23</v>
      </c>
      <c r="B62" s="57">
        <v>-3438000000</v>
      </c>
      <c r="C62" s="57">
        <v>-3273000000</v>
      </c>
      <c r="D62" s="57">
        <v>-7358000000</v>
      </c>
      <c r="E62" s="57">
        <v>-10959000000</v>
      </c>
      <c r="F62" s="57">
        <v>-9915000000</v>
      </c>
      <c r="G62" s="57">
        <v>-10212000000</v>
      </c>
      <c r="H62" s="57">
        <v>-13184000000</v>
      </c>
      <c r="I62" s="57">
        <v>-25139000000</v>
      </c>
      <c r="J62" s="61">
        <v>-23548000000</v>
      </c>
      <c r="K62" s="57">
        <v>-22281000000</v>
      </c>
      <c r="L62" s="292"/>
      <c r="M62" s="293"/>
      <c r="N62" s="293"/>
      <c r="O62" s="293"/>
      <c r="P62" s="293"/>
      <c r="Q62" s="294"/>
      <c r="T62" s="82" t="s">
        <v>17</v>
      </c>
      <c r="U62" s="57">
        <v>-2589000000</v>
      </c>
      <c r="V62" s="57">
        <v>-2598000000</v>
      </c>
      <c r="W62" s="57">
        <v>-2282000000</v>
      </c>
      <c r="X62" s="57">
        <v>-3331000000</v>
      </c>
      <c r="Y62" s="57">
        <v>-3303000000</v>
      </c>
      <c r="Z62" s="57">
        <v>-4672000000</v>
      </c>
      <c r="AA62" s="57">
        <v>-14531000000</v>
      </c>
      <c r="AB62" s="57">
        <v>-4177000000</v>
      </c>
      <c r="AC62" s="57">
        <v>-5282000000</v>
      </c>
      <c r="AD62" s="64">
        <v>-7813000000</v>
      </c>
    </row>
    <row r="63" spans="1:30" x14ac:dyDescent="0.35">
      <c r="A63" s="90" t="s">
        <v>15</v>
      </c>
      <c r="B63" s="101">
        <f>SUM(B58:B62)</f>
        <v>11172148065.730913</v>
      </c>
      <c r="C63" s="101">
        <f>SUM(C58:C62)</f>
        <v>13463783843.483749</v>
      </c>
      <c r="D63" s="101">
        <f>SUM(D58:D62)</f>
        <v>10664356983.360947</v>
      </c>
      <c r="E63" s="101">
        <f>SUM(E58:E62)</f>
        <v>10981479658.432449</v>
      </c>
      <c r="F63" s="101">
        <f>SUM(F58:F62)</f>
        <v>16195160781.055256</v>
      </c>
      <c r="G63" s="101">
        <f>SUM(G58:G62)</f>
        <v>25923443879.281113</v>
      </c>
      <c r="H63" s="101">
        <f>SUM(H58:H62)</f>
        <v>23960952594.446182</v>
      </c>
      <c r="I63" s="101">
        <f>SUM(I58:I62)</f>
        <v>22930775944.753502</v>
      </c>
      <c r="J63" s="103">
        <f>SUM(J58:J62)</f>
        <v>31057257340.627441</v>
      </c>
      <c r="K63" s="101">
        <f>SUM(K58:K62)</f>
        <v>42952329990.995155</v>
      </c>
      <c r="L63" s="100">
        <f>K63*(1+$C$55)</f>
        <v>49261811619.532021</v>
      </c>
      <c r="M63" s="101">
        <f>L63*(1+$C$55)</f>
        <v>56498124421.818718</v>
      </c>
      <c r="N63" s="101">
        <f>M63*(1+$C$55)</f>
        <v>64797415244.015999</v>
      </c>
      <c r="O63" s="101">
        <f>N63*(1+$C$55)</f>
        <v>74315830220.444641</v>
      </c>
      <c r="P63" s="101">
        <f>O63*(1+$C$55)</f>
        <v>85232452568.607422</v>
      </c>
      <c r="Q63" s="210">
        <f>(P63*(1+Q54))/(F55-Q54)</f>
        <v>5356637802332.5049</v>
      </c>
      <c r="T63" s="86" t="s">
        <v>58</v>
      </c>
      <c r="U63" s="105">
        <f>ABS(U62/U61)</f>
        <v>0.22158507360492982</v>
      </c>
      <c r="V63" s="105">
        <f t="shared" ref="V63" si="41">ABS(V62/V61)</f>
        <v>0.20495424424108552</v>
      </c>
      <c r="W63" s="105">
        <f t="shared" ref="W63" si="42">ABS(W62/W61)</f>
        <v>0.16437369444644528</v>
      </c>
      <c r="X63" s="105">
        <f t="shared" ref="X63" si="43">ABS(X62/X61)</f>
        <v>0.20317169868862459</v>
      </c>
      <c r="Y63" s="105">
        <f t="shared" ref="Y63" si="44">ABS(Y62/Y61)</f>
        <v>0.17153095139177399</v>
      </c>
      <c r="Z63" s="105">
        <f t="shared" ref="Z63" si="45">ABS(Z62/Z61)</f>
        <v>0.19803323160393355</v>
      </c>
      <c r="AA63" s="105">
        <f t="shared" ref="AA63" si="46">ABS(AA62/AA61)</f>
        <v>0.50502206930108084</v>
      </c>
      <c r="AB63" s="105">
        <f t="shared" ref="AB63" si="47">ABS(AB62/AB61)</f>
        <v>0.13354434426753628</v>
      </c>
      <c r="AC63" s="105">
        <f t="shared" ref="AC63" si="48">ABS(AC62/AC61)</f>
        <v>0.14742659372557776</v>
      </c>
      <c r="AD63" s="102">
        <f t="shared" ref="AD63" si="49">ABS(AD62/AD61)</f>
        <v>0.19014821485068997</v>
      </c>
    </row>
    <row r="64" spans="1:30" x14ac:dyDescent="0.35">
      <c r="A64" s="89" t="s">
        <v>53</v>
      </c>
      <c r="B64" s="304"/>
      <c r="C64" s="305"/>
      <c r="D64" s="305"/>
      <c r="E64" s="305"/>
      <c r="F64" s="305"/>
      <c r="G64" s="305"/>
      <c r="H64" s="305"/>
      <c r="I64" s="305"/>
      <c r="J64" s="305"/>
      <c r="K64" s="306"/>
      <c r="L64" s="57">
        <f>L63/(1+$F$55)</f>
        <v>45745524624.27813</v>
      </c>
      <c r="M64" s="57">
        <f>M63/(1+$F$55^2)</f>
        <v>56166270472.271912</v>
      </c>
      <c r="N64" s="57">
        <f>N63/(1+$F$55^3)</f>
        <v>64768000329.248878</v>
      </c>
      <c r="O64" s="57">
        <f>O63/(1+$F$55^4)</f>
        <v>74313235987.437622</v>
      </c>
      <c r="P64" s="57">
        <f>P63/(1+$F$55^5)</f>
        <v>85232223860.094818</v>
      </c>
      <c r="Q64" s="210">
        <f>SUM(L64:P64)</f>
        <v>326225255273.33136</v>
      </c>
      <c r="T64" s="82" t="s">
        <v>30</v>
      </c>
      <c r="U64" s="57">
        <v>-58000000</v>
      </c>
      <c r="V64" s="57">
        <v>-84000000</v>
      </c>
      <c r="W64" s="57">
        <v>-83000000</v>
      </c>
      <c r="X64" s="57">
        <v>-101000000</v>
      </c>
      <c r="Y64" s="57">
        <v>-104000000</v>
      </c>
      <c r="Z64" s="57">
        <v>-124000000</v>
      </c>
      <c r="AA64" s="57">
        <v>-109000000</v>
      </c>
      <c r="AB64" s="57">
        <v>-114000000</v>
      </c>
      <c r="AC64" s="57">
        <v>-100000000</v>
      </c>
      <c r="AD64" s="64">
        <v>-135000000</v>
      </c>
    </row>
    <row r="65" spans="1:30" x14ac:dyDescent="0.35">
      <c r="A65" s="89" t="s">
        <v>69</v>
      </c>
      <c r="B65" s="307"/>
      <c r="C65" s="308"/>
      <c r="D65" s="308"/>
      <c r="E65" s="308"/>
      <c r="F65" s="308"/>
      <c r="G65" s="308"/>
      <c r="H65" s="308"/>
      <c r="I65" s="308"/>
      <c r="J65" s="308"/>
      <c r="K65" s="309"/>
      <c r="L65" s="295"/>
      <c r="M65" s="296"/>
      <c r="N65" s="296"/>
      <c r="O65" s="296"/>
      <c r="P65" s="297"/>
      <c r="Q65" s="210">
        <f>Q63/(1+F55)^5</f>
        <v>3698992486606.4727</v>
      </c>
      <c r="T65" s="82" t="s">
        <v>33</v>
      </c>
      <c r="U65" s="57">
        <f t="shared" ref="U65:AD65" si="50">U64*U63</f>
        <v>-12851934.269085929</v>
      </c>
      <c r="V65" s="57">
        <f t="shared" si="50"/>
        <v>-17216156.516251184</v>
      </c>
      <c r="W65" s="57">
        <f t="shared" si="50"/>
        <v>-13643016.639054958</v>
      </c>
      <c r="X65" s="57">
        <f t="shared" si="50"/>
        <v>-20520341.567551084</v>
      </c>
      <c r="Y65" s="57">
        <f t="shared" si="50"/>
        <v>-17839218.944744494</v>
      </c>
      <c r="Z65" s="57">
        <f t="shared" si="50"/>
        <v>-24556120.718887761</v>
      </c>
      <c r="AA65" s="57">
        <f t="shared" si="50"/>
        <v>-55047405.553817809</v>
      </c>
      <c r="AB65" s="57">
        <f t="shared" si="50"/>
        <v>-15224055.246499136</v>
      </c>
      <c r="AC65" s="57">
        <f t="shared" si="50"/>
        <v>-14742659.372557776</v>
      </c>
      <c r="AD65" s="64">
        <f t="shared" si="50"/>
        <v>-25670009.004843146</v>
      </c>
    </row>
    <row r="66" spans="1:30" x14ac:dyDescent="0.35">
      <c r="A66" s="84" t="s">
        <v>70</v>
      </c>
      <c r="B66" s="307"/>
      <c r="C66" s="308"/>
      <c r="D66" s="308"/>
      <c r="E66" s="308"/>
      <c r="F66" s="308"/>
      <c r="G66" s="308"/>
      <c r="H66" s="308"/>
      <c r="I66" s="308"/>
      <c r="J66" s="308"/>
      <c r="K66" s="309"/>
      <c r="L66" s="298"/>
      <c r="M66" s="299"/>
      <c r="N66" s="299"/>
      <c r="O66" s="299"/>
      <c r="P66" s="300"/>
      <c r="Q66" s="210">
        <f>Q64+Q65</f>
        <v>4025217741879.8042</v>
      </c>
      <c r="T66" s="92" t="s">
        <v>35</v>
      </c>
      <c r="U66" s="105">
        <f>ABS(U64-U65)</f>
        <v>45148065.730914071</v>
      </c>
      <c r="V66" s="105">
        <f t="shared" ref="V66:AD66" si="51">ABS(V64-V65)</f>
        <v>66783843.483748816</v>
      </c>
      <c r="W66" s="105">
        <f t="shared" si="51"/>
        <v>69356983.360945046</v>
      </c>
      <c r="X66" s="105">
        <f t="shared" si="51"/>
        <v>80479658.432448924</v>
      </c>
      <c r="Y66" s="105">
        <f t="shared" si="51"/>
        <v>86160781.055255502</v>
      </c>
      <c r="Z66" s="105">
        <f t="shared" si="51"/>
        <v>99443879.281112239</v>
      </c>
      <c r="AA66" s="105">
        <f t="shared" si="51"/>
        <v>53952594.446182191</v>
      </c>
      <c r="AB66" s="105">
        <f t="shared" si="51"/>
        <v>98775944.753500864</v>
      </c>
      <c r="AC66" s="105">
        <f t="shared" si="51"/>
        <v>85257340.627442226</v>
      </c>
      <c r="AD66" s="102">
        <f t="shared" si="51"/>
        <v>109329990.99515685</v>
      </c>
    </row>
    <row r="67" spans="1:30" ht="16" thickBot="1" x14ac:dyDescent="0.4">
      <c r="A67" s="98" t="s">
        <v>71</v>
      </c>
      <c r="B67" s="310"/>
      <c r="C67" s="311"/>
      <c r="D67" s="311"/>
      <c r="E67" s="311"/>
      <c r="F67" s="311"/>
      <c r="G67" s="311"/>
      <c r="H67" s="311"/>
      <c r="I67" s="311"/>
      <c r="J67" s="311"/>
      <c r="K67" s="312"/>
      <c r="L67" s="301"/>
      <c r="M67" s="302"/>
      <c r="N67" s="302"/>
      <c r="O67" s="302"/>
      <c r="P67" s="303"/>
      <c r="Q67" s="164">
        <f>Q66/I55</f>
        <v>5961.3249299931049</v>
      </c>
      <c r="T67" s="94" t="s">
        <v>83</v>
      </c>
      <c r="U67" s="326"/>
      <c r="V67" s="327"/>
      <c r="W67" s="327"/>
      <c r="X67" s="327"/>
      <c r="Y67" s="327"/>
      <c r="Z67" s="327"/>
      <c r="AA67" s="327"/>
      <c r="AB67" s="327"/>
      <c r="AC67" s="328"/>
      <c r="AD67" s="106">
        <f>AVERAGE(AC63:AD63)</f>
        <v>0.16878740428813388</v>
      </c>
    </row>
    <row r="69" spans="1:30" ht="16" thickBot="1" x14ac:dyDescent="0.4">
      <c r="A69" s="78" t="s">
        <v>148</v>
      </c>
    </row>
    <row r="70" spans="1:30" ht="30.5" customHeight="1" x14ac:dyDescent="0.35">
      <c r="A70" s="175" t="s">
        <v>109</v>
      </c>
      <c r="B70" s="176" t="s">
        <v>110</v>
      </c>
      <c r="C70" s="141" t="s">
        <v>111</v>
      </c>
      <c r="D70" s="209"/>
      <c r="E70" s="209"/>
      <c r="T70" s="209"/>
      <c r="U70" s="209"/>
      <c r="V70" s="144"/>
    </row>
    <row r="71" spans="1:30" x14ac:dyDescent="0.35">
      <c r="A71" s="177" t="s">
        <v>21</v>
      </c>
      <c r="B71" s="174" t="s">
        <v>99</v>
      </c>
      <c r="C71" s="178" t="s">
        <v>100</v>
      </c>
      <c r="D71" s="170"/>
      <c r="E71" s="80"/>
      <c r="F71" s="80"/>
      <c r="L71" s="80"/>
      <c r="T71" s="369"/>
      <c r="U71" s="217"/>
      <c r="V71" s="209"/>
    </row>
    <row r="72" spans="1:30" ht="31" x14ac:dyDescent="0.35">
      <c r="A72" s="177" t="s">
        <v>112</v>
      </c>
      <c r="B72" s="174" t="s">
        <v>101</v>
      </c>
      <c r="C72" s="178" t="s">
        <v>102</v>
      </c>
      <c r="D72" s="170"/>
      <c r="E72" s="80"/>
      <c r="F72" s="80"/>
      <c r="T72" s="369"/>
      <c r="U72" s="217"/>
      <c r="V72" s="209"/>
    </row>
    <row r="73" spans="1:30" ht="31" x14ac:dyDescent="0.35">
      <c r="A73" s="177" t="s">
        <v>113</v>
      </c>
      <c r="B73" s="174" t="s">
        <v>103</v>
      </c>
      <c r="C73" s="178" t="s">
        <v>104</v>
      </c>
      <c r="D73" s="80"/>
      <c r="E73" s="95"/>
      <c r="F73" s="95"/>
      <c r="T73" s="369"/>
      <c r="U73" s="217"/>
      <c r="V73" s="209"/>
    </row>
    <row r="74" spans="1:30" ht="31" x14ac:dyDescent="0.35">
      <c r="A74" s="179" t="s">
        <v>114</v>
      </c>
      <c r="B74" s="174" t="s">
        <v>101</v>
      </c>
      <c r="C74" s="178" t="s">
        <v>105</v>
      </c>
      <c r="D74" s="170"/>
      <c r="E74" s="80"/>
      <c r="N74" s="85"/>
      <c r="T74" s="209"/>
      <c r="U74" s="209"/>
      <c r="V74" s="209"/>
    </row>
    <row r="75" spans="1:30" ht="31" x14ac:dyDescent="0.35">
      <c r="A75" s="177" t="s">
        <v>115</v>
      </c>
      <c r="B75" s="174" t="s">
        <v>101</v>
      </c>
      <c r="C75" s="178" t="s">
        <v>106</v>
      </c>
      <c r="D75" s="80"/>
      <c r="E75" s="80"/>
      <c r="T75" s="209"/>
      <c r="U75" s="217"/>
      <c r="V75" s="209"/>
    </row>
    <row r="76" spans="1:30" ht="31.5" thickBot="1" x14ac:dyDescent="0.4">
      <c r="A76" s="180" t="s">
        <v>116</v>
      </c>
      <c r="B76" s="181" t="s">
        <v>101</v>
      </c>
      <c r="C76" s="182" t="s">
        <v>108</v>
      </c>
      <c r="D76" s="170"/>
      <c r="E76" s="80"/>
      <c r="T76" s="209"/>
      <c r="U76" s="209"/>
      <c r="V76" s="209"/>
    </row>
    <row r="77" spans="1:30" x14ac:dyDescent="0.35">
      <c r="A77" s="217"/>
      <c r="B77" s="217"/>
      <c r="C77" s="217"/>
      <c r="D77" s="170"/>
      <c r="E77" s="80"/>
      <c r="T77" s="209"/>
      <c r="U77" s="217"/>
      <c r="V77" s="209"/>
    </row>
    <row r="78" spans="1:30" ht="77" customHeight="1" x14ac:dyDescent="0.35">
      <c r="A78" s="172"/>
      <c r="B78" s="80"/>
      <c r="C78" s="169"/>
      <c r="D78" s="80"/>
      <c r="E78" s="80"/>
      <c r="T78" s="209"/>
      <c r="U78" s="209"/>
      <c r="V78" s="209"/>
    </row>
    <row r="79" spans="1:30" x14ac:dyDescent="0.35">
      <c r="A79" s="80"/>
      <c r="B79" s="170"/>
      <c r="C79" s="169"/>
      <c r="D79" s="173"/>
      <c r="E79" s="80"/>
      <c r="L79" s="80"/>
      <c r="T79" s="209"/>
      <c r="U79" s="209"/>
      <c r="V79" s="209"/>
    </row>
    <row r="80" spans="1:30" x14ac:dyDescent="0.35">
      <c r="A80" s="170"/>
      <c r="B80" s="170"/>
      <c r="C80" s="171"/>
      <c r="D80" s="173"/>
      <c r="E80" s="80"/>
      <c r="L80" s="80"/>
    </row>
    <row r="81" spans="1:12" ht="30.5" customHeight="1" x14ac:dyDescent="0.35">
      <c r="A81" s="80"/>
      <c r="B81" s="80"/>
      <c r="C81" s="169"/>
      <c r="D81" s="80"/>
      <c r="E81" s="80"/>
      <c r="L81" s="80"/>
    </row>
    <row r="82" spans="1:12" x14ac:dyDescent="0.35">
      <c r="A82" s="170"/>
      <c r="B82" s="170"/>
      <c r="C82" s="169"/>
      <c r="D82" s="170"/>
      <c r="E82" s="80"/>
      <c r="L82" s="80"/>
    </row>
    <row r="83" spans="1:12" ht="77" customHeight="1" x14ac:dyDescent="0.35">
      <c r="A83" s="80"/>
      <c r="B83" s="80"/>
      <c r="C83" s="169"/>
      <c r="D83" s="80"/>
      <c r="E83" s="80"/>
      <c r="L83" s="80"/>
    </row>
    <row r="84" spans="1:12" x14ac:dyDescent="0.35">
      <c r="A84" s="170"/>
      <c r="B84" s="170"/>
      <c r="C84" s="169"/>
      <c r="D84" s="170"/>
      <c r="E84" s="80"/>
      <c r="L84" s="80"/>
    </row>
    <row r="85" spans="1:12" x14ac:dyDescent="0.35">
      <c r="A85" s="80"/>
      <c r="B85" s="80"/>
      <c r="C85" s="169"/>
      <c r="D85" s="80"/>
      <c r="E85" s="80"/>
      <c r="L85" s="80"/>
    </row>
    <row r="86" spans="1:12" x14ac:dyDescent="0.35">
      <c r="L86" s="80"/>
    </row>
    <row r="87" spans="1:12" x14ac:dyDescent="0.35">
      <c r="L87" s="80"/>
    </row>
    <row r="88" spans="1:12" x14ac:dyDescent="0.35">
      <c r="L88" s="80"/>
    </row>
  </sheetData>
  <mergeCells count="21">
    <mergeCell ref="B64:K67"/>
    <mergeCell ref="L65:P67"/>
    <mergeCell ref="T4:V4"/>
    <mergeCell ref="U67:AC67"/>
    <mergeCell ref="U51:AC51"/>
    <mergeCell ref="U34:AC34"/>
    <mergeCell ref="U17:AC17"/>
    <mergeCell ref="T54:V54"/>
    <mergeCell ref="T38:V38"/>
    <mergeCell ref="T21:V21"/>
    <mergeCell ref="L58:Q62"/>
    <mergeCell ref="A1:G1"/>
    <mergeCell ref="L25:Q29"/>
    <mergeCell ref="L8:Q11"/>
    <mergeCell ref="L15:P17"/>
    <mergeCell ref="B14:K17"/>
    <mergeCell ref="B31:K34"/>
    <mergeCell ref="L32:P34"/>
    <mergeCell ref="L41:Q46"/>
    <mergeCell ref="L49:P51"/>
    <mergeCell ref="B48:K5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0F3E-05B4-44C7-AA18-F9EF28CF120D}">
  <dimension ref="A1:W75"/>
  <sheetViews>
    <sheetView tabSelected="1" topLeftCell="D46" zoomScale="55" zoomScaleNormal="55" workbookViewId="0">
      <selection activeCell="D28" sqref="D28"/>
    </sheetView>
  </sheetViews>
  <sheetFormatPr defaultRowHeight="14.5" x14ac:dyDescent="0.35"/>
  <cols>
    <col min="1" max="1" width="56.6328125" style="9" bestFit="1" customWidth="1"/>
    <col min="2" max="2" width="12.6328125" style="9" bestFit="1" customWidth="1"/>
    <col min="3" max="3" width="43.90625" style="9" bestFit="1" customWidth="1"/>
    <col min="4" max="13" width="15.26953125" style="9" bestFit="1" customWidth="1"/>
    <col min="14" max="14" width="16.6328125" style="9" bestFit="1" customWidth="1"/>
    <col min="15" max="15" width="15.6328125" style="9" customWidth="1"/>
    <col min="16" max="16" width="15.26953125" style="9" bestFit="1" customWidth="1"/>
    <col min="17" max="17" width="33.1796875" style="9" bestFit="1" customWidth="1"/>
    <col min="18" max="18" width="8.7265625" style="9"/>
    <col min="19" max="19" width="16.6328125" style="9" bestFit="1" customWidth="1"/>
    <col min="20" max="20" width="8.7265625" style="9"/>
    <col min="21" max="21" width="16.6328125" style="9" bestFit="1" customWidth="1"/>
    <col min="22" max="16384" width="8.7265625" style="9"/>
  </cols>
  <sheetData>
    <row r="1" spans="1:19" ht="15.5" x14ac:dyDescent="0.35">
      <c r="A1" s="313" t="s">
        <v>134</v>
      </c>
      <c r="B1" s="313"/>
      <c r="C1" s="313"/>
      <c r="D1" s="313"/>
      <c r="E1" s="313"/>
      <c r="F1" s="313"/>
      <c r="G1" s="313"/>
    </row>
    <row r="2" spans="1:19" ht="15" thickBot="1" x14ac:dyDescent="0.4"/>
    <row r="3" spans="1:19" x14ac:dyDescent="0.35">
      <c r="A3" s="115" t="s">
        <v>20</v>
      </c>
      <c r="Q3" s="156" t="s">
        <v>93</v>
      </c>
    </row>
    <row r="4" spans="1:19" ht="15" thickBot="1" x14ac:dyDescent="0.4">
      <c r="Q4" s="157">
        <v>0.04</v>
      </c>
    </row>
    <row r="5" spans="1:19" ht="16" thickBot="1" x14ac:dyDescent="0.4">
      <c r="A5" s="116" t="s">
        <v>82</v>
      </c>
      <c r="B5" s="161" t="s">
        <v>73</v>
      </c>
      <c r="C5" s="158">
        <f>ROE!K15/100</f>
        <v>0.15245401220677399</v>
      </c>
      <c r="E5" s="161" t="s">
        <v>72</v>
      </c>
      <c r="F5" s="158">
        <f>WACC!H7</f>
        <v>9.1899999999999996E-2</v>
      </c>
      <c r="H5" s="161" t="s">
        <v>74</v>
      </c>
      <c r="I5" s="158">
        <f>WACC!E5</f>
        <v>2849000000</v>
      </c>
    </row>
    <row r="6" spans="1:19" ht="15" thickBot="1" x14ac:dyDescent="0.4">
      <c r="B6" s="183"/>
      <c r="C6" s="184"/>
      <c r="D6" s="184"/>
      <c r="E6" s="184"/>
      <c r="F6" s="184"/>
      <c r="G6" s="184"/>
      <c r="H6" s="184"/>
      <c r="I6" s="184"/>
      <c r="J6" s="184"/>
      <c r="K6" s="201" t="s">
        <v>55</v>
      </c>
      <c r="L6" s="189">
        <v>1</v>
      </c>
      <c r="M6" s="189">
        <v>2</v>
      </c>
      <c r="N6" s="189">
        <v>3</v>
      </c>
      <c r="O6" s="191">
        <v>4</v>
      </c>
      <c r="P6" s="191">
        <v>5</v>
      </c>
      <c r="Q6" s="192" t="s">
        <v>57</v>
      </c>
    </row>
    <row r="7" spans="1:19" x14ac:dyDescent="0.35">
      <c r="A7" s="108"/>
      <c r="B7" s="189">
        <v>2011</v>
      </c>
      <c r="C7" s="189">
        <v>2012</v>
      </c>
      <c r="D7" s="189">
        <v>2013</v>
      </c>
      <c r="E7" s="189">
        <v>2014</v>
      </c>
      <c r="F7" s="189">
        <v>2015</v>
      </c>
      <c r="G7" s="186">
        <v>2016</v>
      </c>
      <c r="H7" s="186">
        <v>2017</v>
      </c>
      <c r="I7" s="186">
        <v>2018</v>
      </c>
      <c r="J7" s="202">
        <v>2019</v>
      </c>
      <c r="K7" s="203">
        <v>2020</v>
      </c>
      <c r="L7" s="10" t="s">
        <v>121</v>
      </c>
      <c r="M7" s="190" t="s">
        <v>122</v>
      </c>
      <c r="N7" s="190" t="s">
        <v>123</v>
      </c>
      <c r="O7" s="190" t="s">
        <v>124</v>
      </c>
      <c r="P7" s="190" t="s">
        <v>125</v>
      </c>
      <c r="Q7" s="195" t="s">
        <v>131</v>
      </c>
    </row>
    <row r="8" spans="1:19" x14ac:dyDescent="0.35">
      <c r="A8" s="118" t="s">
        <v>21</v>
      </c>
      <c r="B8" s="8">
        <v>1000000000</v>
      </c>
      <c r="C8" s="8">
        <v>53000000</v>
      </c>
      <c r="D8" s="8">
        <v>1500000000</v>
      </c>
      <c r="E8" s="8">
        <v>2940000000</v>
      </c>
      <c r="F8" s="8">
        <v>3688000000</v>
      </c>
      <c r="G8" s="8">
        <v>10217000000</v>
      </c>
      <c r="H8" s="8">
        <v>15934000000</v>
      </c>
      <c r="I8" s="8">
        <v>22112000000</v>
      </c>
      <c r="J8" s="14">
        <v>18485000000</v>
      </c>
      <c r="K8" s="14">
        <v>29146000000</v>
      </c>
      <c r="L8" s="329"/>
      <c r="M8" s="330"/>
      <c r="N8" s="330"/>
      <c r="O8" s="330"/>
      <c r="P8" s="330"/>
      <c r="Q8" s="331"/>
    </row>
    <row r="9" spans="1:19" ht="15.5" x14ac:dyDescent="0.35">
      <c r="A9" s="84" t="s">
        <v>96</v>
      </c>
      <c r="B9" s="8">
        <v>544000000</v>
      </c>
      <c r="C9" s="8">
        <v>2050000000</v>
      </c>
      <c r="D9" s="8">
        <v>2046000000</v>
      </c>
      <c r="E9" s="8">
        <v>2779000000</v>
      </c>
      <c r="F9" s="8">
        <v>4127000000</v>
      </c>
      <c r="G9" s="8">
        <v>5133000000</v>
      </c>
      <c r="H9" s="8">
        <v>6395000000</v>
      </c>
      <c r="I9" s="8">
        <v>8689000000</v>
      </c>
      <c r="J9" s="14">
        <v>10579000000</v>
      </c>
      <c r="K9" s="14">
        <v>12324000000</v>
      </c>
      <c r="L9" s="332"/>
      <c r="M9" s="333"/>
      <c r="N9" s="333"/>
      <c r="O9" s="333"/>
      <c r="P9" s="333"/>
      <c r="Q9" s="334"/>
    </row>
    <row r="10" spans="1:19" x14ac:dyDescent="0.35">
      <c r="A10" s="118" t="s">
        <v>24</v>
      </c>
      <c r="B10" s="8">
        <v>5000000</v>
      </c>
      <c r="C10" s="8">
        <v>-491000000</v>
      </c>
      <c r="D10" s="8">
        <v>676000000</v>
      </c>
      <c r="E10" s="8">
        <v>-262000000</v>
      </c>
      <c r="F10" s="8">
        <v>784000000</v>
      </c>
      <c r="G10" s="8">
        <v>758000000</v>
      </c>
      <c r="H10" s="8">
        <v>1887000000</v>
      </c>
      <c r="I10" s="8">
        <v>-1527000000</v>
      </c>
      <c r="J10" s="14">
        <v>7250000000</v>
      </c>
      <c r="K10" s="14">
        <v>-2723000000</v>
      </c>
      <c r="L10" s="332"/>
      <c r="M10" s="333"/>
      <c r="N10" s="333"/>
      <c r="O10" s="333"/>
      <c r="P10" s="333"/>
      <c r="Q10" s="334"/>
    </row>
    <row r="11" spans="1:19" x14ac:dyDescent="0.35">
      <c r="A11" s="120" t="s">
        <v>23</v>
      </c>
      <c r="B11" s="8">
        <v>-606000000</v>
      </c>
      <c r="C11" s="8">
        <v>-1235000000</v>
      </c>
      <c r="D11" s="8">
        <v>-1362000000</v>
      </c>
      <c r="E11" s="8">
        <v>-1831000000</v>
      </c>
      <c r="F11" s="8">
        <v>-2523000000</v>
      </c>
      <c r="G11" s="8">
        <v>-4491000000</v>
      </c>
      <c r="H11" s="8">
        <v>-6733000000</v>
      </c>
      <c r="I11" s="8">
        <v>-13915000000</v>
      </c>
      <c r="J11" s="14">
        <v>-15102000000</v>
      </c>
      <c r="K11" s="14">
        <v>-15115000000</v>
      </c>
      <c r="L11" s="332"/>
      <c r="M11" s="333"/>
      <c r="N11" s="333"/>
      <c r="O11" s="333"/>
      <c r="P11" s="333"/>
      <c r="Q11" s="334"/>
    </row>
    <row r="12" spans="1:19" x14ac:dyDescent="0.35">
      <c r="A12" s="121" t="s">
        <v>98</v>
      </c>
      <c r="B12" s="8" t="s">
        <v>28</v>
      </c>
      <c r="C12" s="8">
        <v>-366000000</v>
      </c>
      <c r="D12" s="8">
        <v>-391000000</v>
      </c>
      <c r="E12" s="8">
        <v>-243000000</v>
      </c>
      <c r="F12" s="8">
        <v>-119000000</v>
      </c>
      <c r="G12" s="8">
        <v>-312000000</v>
      </c>
      <c r="H12" s="8" t="s">
        <v>22</v>
      </c>
      <c r="I12" s="8" t="s">
        <v>22</v>
      </c>
      <c r="J12" s="14">
        <v>-552000000</v>
      </c>
      <c r="K12" s="14">
        <v>-604000000</v>
      </c>
      <c r="L12" s="335"/>
      <c r="M12" s="336"/>
      <c r="N12" s="336"/>
      <c r="O12" s="336"/>
      <c r="P12" s="336"/>
      <c r="Q12" s="337"/>
    </row>
    <row r="13" spans="1:19" x14ac:dyDescent="0.35">
      <c r="A13" s="122" t="s">
        <v>25</v>
      </c>
      <c r="B13" s="123">
        <f>SUM(B8:B12)</f>
        <v>943000000</v>
      </c>
      <c r="C13" s="123">
        <f t="shared" ref="C13:K13" si="0">SUM(C8:C12)</f>
        <v>11000000</v>
      </c>
      <c r="D13" s="123">
        <f t="shared" si="0"/>
        <v>2469000000</v>
      </c>
      <c r="E13" s="123">
        <f t="shared" si="0"/>
        <v>3383000000</v>
      </c>
      <c r="F13" s="123">
        <f t="shared" si="0"/>
        <v>5957000000</v>
      </c>
      <c r="G13" s="123">
        <f t="shared" si="0"/>
        <v>11305000000</v>
      </c>
      <c r="H13" s="123">
        <f t="shared" si="0"/>
        <v>17483000000</v>
      </c>
      <c r="I13" s="123">
        <f t="shared" si="0"/>
        <v>15359000000</v>
      </c>
      <c r="J13" s="124">
        <f t="shared" si="0"/>
        <v>20660000000</v>
      </c>
      <c r="K13" s="124">
        <f t="shared" si="0"/>
        <v>23028000000</v>
      </c>
      <c r="L13" s="123">
        <f>K13*(1+$C$5)</f>
        <v>26538710993.097588</v>
      </c>
      <c r="M13" s="123">
        <f>L13*(1+$C$5)</f>
        <v>30584643962.791332</v>
      </c>
      <c r="N13" s="123">
        <f>M13*(1+$C$5)</f>
        <v>35247395646.834557</v>
      </c>
      <c r="O13" s="123">
        <f>N13*(1+$C$5)</f>
        <v>40621002533.034058</v>
      </c>
      <c r="P13" s="123">
        <f>O13*(1+$C$5)</f>
        <v>46813837349.056625</v>
      </c>
      <c r="Q13" s="35">
        <f>P13*(1+Q4)/(F5-Q4)</f>
        <v>938080748420.40259</v>
      </c>
    </row>
    <row r="14" spans="1:19" x14ac:dyDescent="0.35">
      <c r="A14" s="126" t="s">
        <v>53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11">
        <f>L13/(1+$F$5)</f>
        <v>24305074634.213375</v>
      </c>
      <c r="M14" s="11">
        <f>M13/(1+$F$5^2)</f>
        <v>30328501269.187267</v>
      </c>
      <c r="N14" s="11">
        <f>N13/(1+$F$5^3)</f>
        <v>35220059542.71241</v>
      </c>
      <c r="O14" s="11">
        <f>O13/(1+$F$5^4)</f>
        <v>40618105311.484612</v>
      </c>
      <c r="P14" s="11">
        <f>P13/(1+$F$5^5)</f>
        <v>46813530482.929688</v>
      </c>
      <c r="Q14" s="37">
        <f>SUM(L14:P14)</f>
        <v>177285271240.52734</v>
      </c>
    </row>
    <row r="15" spans="1:19" x14ac:dyDescent="0.35">
      <c r="A15" s="126" t="s">
        <v>69</v>
      </c>
      <c r="B15" s="332"/>
      <c r="C15" s="333"/>
      <c r="D15" s="333"/>
      <c r="E15" s="333"/>
      <c r="F15" s="333"/>
      <c r="G15" s="333"/>
      <c r="H15" s="333"/>
      <c r="I15" s="333"/>
      <c r="J15" s="333"/>
      <c r="K15" s="333"/>
      <c r="L15" s="329"/>
      <c r="M15" s="330"/>
      <c r="N15" s="330"/>
      <c r="O15" s="330"/>
      <c r="P15" s="338"/>
      <c r="Q15" s="34">
        <f>Q13/(1+F5)^5</f>
        <v>604402000838.74463</v>
      </c>
    </row>
    <row r="16" spans="1:19" x14ac:dyDescent="0.35">
      <c r="A16" s="109" t="s">
        <v>70</v>
      </c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2"/>
      <c r="M16" s="333"/>
      <c r="N16" s="333"/>
      <c r="O16" s="333"/>
      <c r="P16" s="341"/>
      <c r="Q16" s="34">
        <f>SUM(Q14:Q15)</f>
        <v>781687272079.27197</v>
      </c>
      <c r="S16" s="33"/>
    </row>
    <row r="17" spans="1:19" ht="15" thickBot="1" x14ac:dyDescent="0.4">
      <c r="A17" s="110" t="s">
        <v>71</v>
      </c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9"/>
      <c r="M17" s="340"/>
      <c r="N17" s="340"/>
      <c r="O17" s="340"/>
      <c r="P17" s="342"/>
      <c r="Q17" s="162">
        <f>Q16/I5</f>
        <v>274.37250687233131</v>
      </c>
    </row>
    <row r="18" spans="1:19" ht="15" thickBot="1" x14ac:dyDescent="0.4"/>
    <row r="19" spans="1:19" x14ac:dyDescent="0.35">
      <c r="A19" s="115" t="s">
        <v>26</v>
      </c>
      <c r="Q19" s="156" t="s">
        <v>93</v>
      </c>
    </row>
    <row r="20" spans="1:19" ht="15" thickBot="1" x14ac:dyDescent="0.4">
      <c r="B20" s="117"/>
      <c r="Q20" s="157">
        <v>0.06</v>
      </c>
    </row>
    <row r="21" spans="1:19" ht="16" thickBot="1" x14ac:dyDescent="0.4">
      <c r="A21" s="116" t="s">
        <v>82</v>
      </c>
      <c r="B21" s="161" t="s">
        <v>73</v>
      </c>
      <c r="C21" s="158">
        <f>ROE!K29/100</f>
        <v>9.3634347865796441E-2</v>
      </c>
      <c r="E21" s="161" t="s">
        <v>72</v>
      </c>
      <c r="F21" s="158">
        <f>WACC!H14</f>
        <v>8.4699999999999984E-2</v>
      </c>
      <c r="H21" s="161" t="s">
        <v>74</v>
      </c>
      <c r="I21" s="158">
        <f>WACC!E12</f>
        <v>527000000</v>
      </c>
    </row>
    <row r="22" spans="1:19" ht="15" thickBot="1" x14ac:dyDescent="0.4">
      <c r="A22" s="127"/>
      <c r="B22" s="198"/>
      <c r="C22" s="198"/>
      <c r="D22" s="198"/>
      <c r="E22" s="198"/>
      <c r="F22" s="198"/>
      <c r="G22" s="198"/>
      <c r="H22" s="198"/>
      <c r="I22" s="198"/>
      <c r="J22" s="198"/>
      <c r="K22" s="199" t="s">
        <v>55</v>
      </c>
      <c r="L22" s="188">
        <v>1</v>
      </c>
      <c r="M22" s="189">
        <v>2</v>
      </c>
      <c r="N22" s="189">
        <v>3</v>
      </c>
      <c r="O22" s="191">
        <v>4</v>
      </c>
      <c r="P22" s="191">
        <v>5</v>
      </c>
      <c r="Q22" s="192" t="s">
        <v>57</v>
      </c>
    </row>
    <row r="23" spans="1:19" x14ac:dyDescent="0.35">
      <c r="A23" s="128"/>
      <c r="B23" s="200">
        <v>2011</v>
      </c>
      <c r="C23" s="200">
        <v>2012</v>
      </c>
      <c r="D23" s="200">
        <v>2013</v>
      </c>
      <c r="E23" s="200">
        <v>2014</v>
      </c>
      <c r="F23" s="200">
        <v>2015</v>
      </c>
      <c r="G23" s="200">
        <v>2016</v>
      </c>
      <c r="H23" s="200">
        <v>2017</v>
      </c>
      <c r="I23" s="200">
        <v>2018</v>
      </c>
      <c r="J23" s="200">
        <v>2019</v>
      </c>
      <c r="K23" s="200">
        <v>2020</v>
      </c>
      <c r="L23" s="10" t="s">
        <v>121</v>
      </c>
      <c r="M23" s="190" t="s">
        <v>122</v>
      </c>
      <c r="N23" s="190" t="s">
        <v>123</v>
      </c>
      <c r="O23" s="190" t="s">
        <v>124</v>
      </c>
      <c r="P23" s="190" t="s">
        <v>125</v>
      </c>
      <c r="Q23" s="195" t="s">
        <v>131</v>
      </c>
    </row>
    <row r="24" spans="1:19" x14ac:dyDescent="0.35">
      <c r="A24" s="109" t="s">
        <v>21</v>
      </c>
      <c r="B24" s="130">
        <v>631000000</v>
      </c>
      <c r="C24" s="8">
        <v>-39000000</v>
      </c>
      <c r="D24" s="8">
        <v>274000000</v>
      </c>
      <c r="E24" s="8">
        <v>-241000000</v>
      </c>
      <c r="F24" s="8">
        <v>596000000</v>
      </c>
      <c r="G24" s="8">
        <v>2371000000</v>
      </c>
      <c r="H24" s="8">
        <v>3033000000</v>
      </c>
      <c r="I24" s="8">
        <v>10073000000</v>
      </c>
      <c r="J24" s="8">
        <v>11588000000</v>
      </c>
      <c r="K24" s="8">
        <v>21331000000</v>
      </c>
      <c r="L24" s="329" t="s">
        <v>56</v>
      </c>
      <c r="M24" s="330"/>
      <c r="N24" s="330"/>
      <c r="O24" s="330"/>
      <c r="P24" s="330"/>
      <c r="Q24" s="331"/>
    </row>
    <row r="25" spans="1:19" ht="15.5" x14ac:dyDescent="0.35">
      <c r="A25" s="84" t="s">
        <v>96</v>
      </c>
      <c r="B25" s="8">
        <v>1808000000</v>
      </c>
      <c r="C25" s="8">
        <v>2696000000</v>
      </c>
      <c r="D25" s="8">
        <v>4434000000</v>
      </c>
      <c r="E25" s="8">
        <v>6109000000</v>
      </c>
      <c r="F25" s="8">
        <v>8767000000</v>
      </c>
      <c r="G25" s="8">
        <v>10156000000</v>
      </c>
      <c r="H25" s="8">
        <v>15574000000</v>
      </c>
      <c r="I25" s="8">
        <v>21693000000</v>
      </c>
      <c r="J25" s="8">
        <v>29364000000</v>
      </c>
      <c r="K25" s="8">
        <v>31252000000</v>
      </c>
      <c r="L25" s="332"/>
      <c r="M25" s="333"/>
      <c r="N25" s="333"/>
      <c r="O25" s="333"/>
      <c r="P25" s="333"/>
      <c r="Q25" s="334"/>
    </row>
    <row r="26" spans="1:19" x14ac:dyDescent="0.35">
      <c r="A26" s="109" t="s">
        <v>24</v>
      </c>
      <c r="B26" s="8">
        <v>1464000000</v>
      </c>
      <c r="C26" s="8">
        <v>1523000000</v>
      </c>
      <c r="D26" s="8">
        <v>767000000</v>
      </c>
      <c r="E26" s="8">
        <v>974000000</v>
      </c>
      <c r="F26" s="8">
        <v>2557000000</v>
      </c>
      <c r="G26" s="8">
        <v>3916000000</v>
      </c>
      <c r="H26" s="8">
        <v>-173000000</v>
      </c>
      <c r="I26" s="8">
        <v>-1043000000</v>
      </c>
      <c r="J26" s="8">
        <v>-2438000000</v>
      </c>
      <c r="K26" s="8">
        <v>13481000000</v>
      </c>
      <c r="L26" s="332"/>
      <c r="M26" s="333"/>
      <c r="N26" s="333"/>
      <c r="O26" s="333"/>
      <c r="P26" s="333"/>
      <c r="Q26" s="334"/>
    </row>
    <row r="27" spans="1:19" x14ac:dyDescent="0.35">
      <c r="A27" s="131" t="s">
        <v>23</v>
      </c>
      <c r="B27" s="8">
        <v>-1811000000</v>
      </c>
      <c r="C27" s="8">
        <v>-3785000000</v>
      </c>
      <c r="D27" s="8">
        <v>-3444000000</v>
      </c>
      <c r="E27" s="8">
        <v>-4893000000</v>
      </c>
      <c r="F27" s="8">
        <v>-4589000000</v>
      </c>
      <c r="G27" s="8">
        <v>-6737000000</v>
      </c>
      <c r="H27" s="8">
        <v>-11955000000</v>
      </c>
      <c r="I27" s="8">
        <v>-13427000000</v>
      </c>
      <c r="J27" s="8">
        <v>-16861000000</v>
      </c>
      <c r="K27" s="8">
        <v>-40140000000</v>
      </c>
      <c r="L27" s="332"/>
      <c r="M27" s="333"/>
      <c r="N27" s="333"/>
      <c r="O27" s="333"/>
      <c r="P27" s="333"/>
      <c r="Q27" s="334"/>
    </row>
    <row r="28" spans="1:19" x14ac:dyDescent="0.35">
      <c r="A28" s="121" t="s">
        <v>98</v>
      </c>
      <c r="B28" s="8" t="s">
        <v>34</v>
      </c>
      <c r="C28" s="8" t="s">
        <v>34</v>
      </c>
      <c r="D28" s="8" t="s">
        <v>34</v>
      </c>
      <c r="E28" s="8">
        <v>-1420000000</v>
      </c>
      <c r="F28" s="8">
        <v>-2583000000</v>
      </c>
      <c r="G28" s="8">
        <v>-4007000000</v>
      </c>
      <c r="H28" s="8">
        <v>-4999000000</v>
      </c>
      <c r="I28" s="8">
        <v>-7786000000</v>
      </c>
      <c r="J28" s="8">
        <v>-9655000000</v>
      </c>
      <c r="K28" s="8">
        <v>-10695000000</v>
      </c>
      <c r="L28" s="335"/>
      <c r="M28" s="336"/>
      <c r="N28" s="336"/>
      <c r="O28" s="336"/>
      <c r="P28" s="336"/>
      <c r="Q28" s="337"/>
    </row>
    <row r="29" spans="1:19" x14ac:dyDescent="0.35">
      <c r="A29" s="114" t="s">
        <v>25</v>
      </c>
      <c r="B29" s="123">
        <f>SUM(B24:B28)</f>
        <v>2092000000</v>
      </c>
      <c r="C29" s="123">
        <f t="shared" ref="C29:J29" si="1">SUM(C24:C28)</f>
        <v>395000000</v>
      </c>
      <c r="D29" s="123">
        <f t="shared" si="1"/>
        <v>2031000000</v>
      </c>
      <c r="E29" s="123">
        <f t="shared" si="1"/>
        <v>529000000</v>
      </c>
      <c r="F29" s="123">
        <f t="shared" si="1"/>
        <v>4748000000</v>
      </c>
      <c r="G29" s="123">
        <f t="shared" si="1"/>
        <v>5699000000</v>
      </c>
      <c r="H29" s="123">
        <f t="shared" si="1"/>
        <v>1480000000</v>
      </c>
      <c r="I29" s="123">
        <f t="shared" si="1"/>
        <v>9510000000</v>
      </c>
      <c r="J29" s="123">
        <f t="shared" si="1"/>
        <v>11998000000</v>
      </c>
      <c r="K29" s="123">
        <f>SUM(K24:K28)</f>
        <v>15229000000</v>
      </c>
      <c r="L29" s="8">
        <f>K29*(1+$C$21)</f>
        <v>16654957483.648212</v>
      </c>
      <c r="M29" s="8">
        <f>L29*(1+$C$21)</f>
        <v>18214433566.362179</v>
      </c>
      <c r="N29" s="8">
        <f>M29*(1+$C$21)</f>
        <v>19919930175.093372</v>
      </c>
      <c r="O29" s="8">
        <f>N29*(1+$C$21)</f>
        <v>21785119846.570438</v>
      </c>
      <c r="P29" s="8">
        <f>O29*(1+$C$21)</f>
        <v>23824955336.582279</v>
      </c>
      <c r="Q29" s="34">
        <f>(P29*(1+Q20))/(F21-Q20)</f>
        <v>1022447475982.8839</v>
      </c>
    </row>
    <row r="30" spans="1:19" x14ac:dyDescent="0.35">
      <c r="A30" s="126" t="s">
        <v>53</v>
      </c>
      <c r="B30" s="329"/>
      <c r="C30" s="330"/>
      <c r="D30" s="330"/>
      <c r="E30" s="330"/>
      <c r="F30" s="330"/>
      <c r="G30" s="330"/>
      <c r="H30" s="330"/>
      <c r="I30" s="330"/>
      <c r="J30" s="330"/>
      <c r="K30" s="338"/>
      <c r="L30" s="8">
        <f>L29/(1+$F$21)</f>
        <v>15354436695.536289</v>
      </c>
      <c r="M30" s="8">
        <f>M29/(1+$F$21^2)</f>
        <v>18084692355.779507</v>
      </c>
      <c r="N30" s="8">
        <f>N29/(1+$F$21^3)</f>
        <v>19907833271.324207</v>
      </c>
      <c r="O30" s="8">
        <f>O29/(1+$F$21^4)</f>
        <v>21783998677.151848</v>
      </c>
      <c r="P30" s="8">
        <f>P29/(1+$F$21^5)</f>
        <v>23824851476.836891</v>
      </c>
      <c r="Q30" s="34">
        <f>SUM(L30:P30)</f>
        <v>98955812476.628723</v>
      </c>
    </row>
    <row r="31" spans="1:19" x14ac:dyDescent="0.35">
      <c r="A31" s="126" t="s">
        <v>69</v>
      </c>
      <c r="B31" s="332"/>
      <c r="C31" s="333"/>
      <c r="D31" s="333"/>
      <c r="E31" s="333"/>
      <c r="F31" s="333"/>
      <c r="G31" s="333"/>
      <c r="H31" s="333"/>
      <c r="I31" s="333"/>
      <c r="J31" s="333"/>
      <c r="K31" s="341"/>
      <c r="L31" s="329"/>
      <c r="M31" s="330"/>
      <c r="N31" s="330"/>
      <c r="O31" s="330"/>
      <c r="P31" s="338"/>
      <c r="Q31" s="34">
        <f>Q29/(1+F21)^5</f>
        <v>680914850969.92236</v>
      </c>
    </row>
    <row r="32" spans="1:19" x14ac:dyDescent="0.35">
      <c r="A32" s="109" t="s">
        <v>70</v>
      </c>
      <c r="B32" s="332"/>
      <c r="C32" s="333"/>
      <c r="D32" s="333"/>
      <c r="E32" s="333"/>
      <c r="F32" s="333"/>
      <c r="G32" s="333"/>
      <c r="H32" s="333"/>
      <c r="I32" s="333"/>
      <c r="J32" s="333"/>
      <c r="K32" s="341"/>
      <c r="L32" s="332"/>
      <c r="M32" s="333"/>
      <c r="N32" s="333"/>
      <c r="O32" s="333"/>
      <c r="P32" s="341"/>
      <c r="Q32" s="34">
        <f>SUM(Q30:Q31)</f>
        <v>779870663446.55103</v>
      </c>
      <c r="S32" s="33"/>
    </row>
    <row r="33" spans="1:17" ht="15" thickBot="1" x14ac:dyDescent="0.4">
      <c r="A33" s="110" t="s">
        <v>71</v>
      </c>
      <c r="B33" s="339"/>
      <c r="C33" s="340"/>
      <c r="D33" s="340"/>
      <c r="E33" s="340"/>
      <c r="F33" s="340"/>
      <c r="G33" s="340"/>
      <c r="H33" s="340"/>
      <c r="I33" s="340"/>
      <c r="J33" s="340"/>
      <c r="K33" s="342"/>
      <c r="L33" s="339"/>
      <c r="M33" s="340"/>
      <c r="N33" s="340"/>
      <c r="O33" s="340"/>
      <c r="P33" s="342"/>
      <c r="Q33" s="162">
        <f>Q32/I21</f>
        <v>1479.8304809232468</v>
      </c>
    </row>
    <row r="34" spans="1:17" ht="15" thickBot="1" x14ac:dyDescent="0.4"/>
    <row r="35" spans="1:17" x14ac:dyDescent="0.35">
      <c r="A35" s="115" t="s">
        <v>27</v>
      </c>
      <c r="Q35" s="156" t="s">
        <v>93</v>
      </c>
    </row>
    <row r="36" spans="1:17" ht="15" thickBot="1" x14ac:dyDescent="0.4">
      <c r="Q36" s="157">
        <v>0.04</v>
      </c>
    </row>
    <row r="37" spans="1:17" ht="16" thickBot="1" x14ac:dyDescent="0.4">
      <c r="A37" s="116" t="s">
        <v>82</v>
      </c>
      <c r="B37" s="161" t="s">
        <v>73</v>
      </c>
      <c r="C37" s="158">
        <f>ROE!K43/100</f>
        <v>0.16071233476764615</v>
      </c>
      <c r="E37" s="161" t="s">
        <v>72</v>
      </c>
      <c r="F37" s="158">
        <f>WACC!H21</f>
        <v>6.6699999999999995E-2</v>
      </c>
      <c r="H37" s="161" t="s">
        <v>74</v>
      </c>
      <c r="I37" s="158">
        <f>WACC!E19</f>
        <v>442895261</v>
      </c>
    </row>
    <row r="38" spans="1:17" ht="15" thickBot="1" x14ac:dyDescent="0.4">
      <c r="B38" s="183"/>
      <c r="C38" s="184"/>
      <c r="D38" s="184"/>
      <c r="E38" s="184"/>
      <c r="F38" s="184"/>
      <c r="G38" s="184"/>
      <c r="H38" s="184"/>
      <c r="I38" s="184"/>
      <c r="J38" s="184"/>
      <c r="K38" s="185" t="s">
        <v>55</v>
      </c>
      <c r="L38" s="189">
        <v>1</v>
      </c>
      <c r="M38" s="189">
        <v>2</v>
      </c>
      <c r="N38" s="189">
        <v>3</v>
      </c>
      <c r="O38" s="191">
        <v>4</v>
      </c>
      <c r="P38" s="191">
        <v>5</v>
      </c>
      <c r="Q38" s="192" t="s">
        <v>57</v>
      </c>
    </row>
    <row r="39" spans="1:17" x14ac:dyDescent="0.35">
      <c r="A39" s="108"/>
      <c r="B39" s="189">
        <v>2011</v>
      </c>
      <c r="C39" s="189">
        <v>2012</v>
      </c>
      <c r="D39" s="189">
        <v>2013</v>
      </c>
      <c r="E39" s="189">
        <v>2014</v>
      </c>
      <c r="F39" s="189">
        <v>2015</v>
      </c>
      <c r="G39" s="189">
        <v>2016</v>
      </c>
      <c r="H39" s="189">
        <v>2017</v>
      </c>
      <c r="I39" s="189">
        <v>2018</v>
      </c>
      <c r="J39" s="193">
        <v>2019</v>
      </c>
      <c r="K39" s="10">
        <v>2020</v>
      </c>
      <c r="L39" s="194" t="s">
        <v>121</v>
      </c>
      <c r="M39" s="190" t="s">
        <v>122</v>
      </c>
      <c r="N39" s="190" t="s">
        <v>123</v>
      </c>
      <c r="O39" s="190" t="s">
        <v>124</v>
      </c>
      <c r="P39" s="190" t="s">
        <v>125</v>
      </c>
      <c r="Q39" s="195" t="s">
        <v>131</v>
      </c>
    </row>
    <row r="40" spans="1:17" x14ac:dyDescent="0.35">
      <c r="A40" s="109" t="s">
        <v>21</v>
      </c>
      <c r="B40" s="8">
        <v>226126000</v>
      </c>
      <c r="C40" s="8">
        <v>17152000</v>
      </c>
      <c r="D40" s="8">
        <v>112403000</v>
      </c>
      <c r="E40" s="8">
        <v>266799000</v>
      </c>
      <c r="F40" s="8">
        <v>122641000</v>
      </c>
      <c r="G40" s="8">
        <v>186678000</v>
      </c>
      <c r="H40" s="8">
        <v>558929000</v>
      </c>
      <c r="I40" s="8">
        <v>1211242000</v>
      </c>
      <c r="J40" s="14">
        <v>1866916000</v>
      </c>
      <c r="K40" s="8">
        <v>2761395000</v>
      </c>
      <c r="L40" s="329"/>
      <c r="M40" s="330"/>
      <c r="N40" s="330"/>
      <c r="O40" s="330"/>
      <c r="P40" s="330"/>
      <c r="Q40" s="331"/>
    </row>
    <row r="41" spans="1:17" ht="15.5" x14ac:dyDescent="0.35">
      <c r="A41" s="84" t="s">
        <v>96</v>
      </c>
      <c r="B41" s="8">
        <v>-27562000</v>
      </c>
      <c r="C41" s="8">
        <v>2495114000</v>
      </c>
      <c r="D41" s="8">
        <v>2915319000</v>
      </c>
      <c r="E41" s="8">
        <v>3386040000</v>
      </c>
      <c r="F41" s="8">
        <v>4726685000</v>
      </c>
      <c r="G41" s="8">
        <v>6800244000</v>
      </c>
      <c r="H41" s="8">
        <v>7401909000</v>
      </c>
      <c r="I41" s="8">
        <v>8857949000</v>
      </c>
      <c r="J41" s="14">
        <v>9119402000</v>
      </c>
      <c r="K41" s="8">
        <v>11476839000</v>
      </c>
      <c r="L41" s="332"/>
      <c r="M41" s="333"/>
      <c r="N41" s="333"/>
      <c r="O41" s="333"/>
      <c r="P41" s="333"/>
      <c r="Q41" s="334"/>
    </row>
    <row r="42" spans="1:17" x14ac:dyDescent="0.35">
      <c r="A42" s="132" t="s">
        <v>97</v>
      </c>
      <c r="B42" s="11">
        <v>-2320732000</v>
      </c>
      <c r="C42" s="11">
        <v>-2515506000</v>
      </c>
      <c r="D42" s="11">
        <v>-3049758000</v>
      </c>
      <c r="E42" s="11">
        <v>-3773459000</v>
      </c>
      <c r="F42" s="11">
        <v>-5771652000</v>
      </c>
      <c r="G42" s="11">
        <v>-8653286000</v>
      </c>
      <c r="H42" s="11">
        <v>-9805763000</v>
      </c>
      <c r="I42" s="11">
        <v>-13043437000</v>
      </c>
      <c r="J42" s="15">
        <v>-13916683000</v>
      </c>
      <c r="K42" s="11">
        <v>-11779284000</v>
      </c>
      <c r="L42" s="332"/>
      <c r="M42" s="333"/>
      <c r="N42" s="333"/>
      <c r="O42" s="333"/>
      <c r="P42" s="333"/>
      <c r="Q42" s="334"/>
    </row>
    <row r="43" spans="1:17" x14ac:dyDescent="0.35">
      <c r="A43" s="109" t="s">
        <v>24</v>
      </c>
      <c r="B43" s="8">
        <v>119148000</v>
      </c>
      <c r="C43" s="8">
        <v>26005000</v>
      </c>
      <c r="D43" s="8">
        <v>119867000</v>
      </c>
      <c r="E43" s="8">
        <v>137103000</v>
      </c>
      <c r="F43" s="8">
        <v>172887000</v>
      </c>
      <c r="G43" s="8">
        <v>192380000</v>
      </c>
      <c r="H43" s="8">
        <v>58977000</v>
      </c>
      <c r="I43" s="8">
        <v>293767000</v>
      </c>
      <c r="J43" s="14">
        <v>43043000</v>
      </c>
      <c r="K43" s="8">
        <v>-31873000</v>
      </c>
      <c r="L43" s="332"/>
      <c r="M43" s="333"/>
      <c r="N43" s="333"/>
      <c r="O43" s="333"/>
      <c r="P43" s="333"/>
      <c r="Q43" s="334"/>
    </row>
    <row r="44" spans="1:17" x14ac:dyDescent="0.35">
      <c r="A44" s="131" t="s">
        <v>23</v>
      </c>
      <c r="B44" s="8">
        <v>-49682000</v>
      </c>
      <c r="C44" s="8">
        <v>-41457000</v>
      </c>
      <c r="D44" s="8">
        <v>-54143000</v>
      </c>
      <c r="E44" s="8">
        <v>-69726000</v>
      </c>
      <c r="F44" s="8">
        <v>-91248000</v>
      </c>
      <c r="G44" s="8">
        <v>-107653000</v>
      </c>
      <c r="H44" s="8">
        <v>-173302000</v>
      </c>
      <c r="I44" s="8">
        <v>-173946000</v>
      </c>
      <c r="J44" s="14">
        <v>-253035000</v>
      </c>
      <c r="K44" s="8">
        <v>-497923000</v>
      </c>
      <c r="L44" s="332"/>
      <c r="M44" s="333"/>
      <c r="N44" s="333"/>
      <c r="O44" s="333"/>
      <c r="P44" s="333"/>
      <c r="Q44" s="334"/>
    </row>
    <row r="45" spans="1:17" x14ac:dyDescent="0.35">
      <c r="A45" s="121" t="s">
        <v>98</v>
      </c>
      <c r="B45" s="8" t="s">
        <v>34</v>
      </c>
      <c r="C45" s="8">
        <v>-2319000</v>
      </c>
      <c r="D45" s="8">
        <v>-1180000</v>
      </c>
      <c r="E45" s="8">
        <v>-1093000</v>
      </c>
      <c r="F45" s="8">
        <v>-545000</v>
      </c>
      <c r="G45" s="8" t="s">
        <v>34</v>
      </c>
      <c r="H45" s="8" t="s">
        <v>34</v>
      </c>
      <c r="I45" s="8" t="s">
        <v>34</v>
      </c>
      <c r="J45" s="8" t="s">
        <v>34</v>
      </c>
      <c r="K45" s="8" t="s">
        <v>34</v>
      </c>
      <c r="L45" s="335"/>
      <c r="M45" s="336"/>
      <c r="N45" s="336"/>
      <c r="O45" s="336"/>
      <c r="P45" s="336"/>
      <c r="Q45" s="337"/>
    </row>
    <row r="46" spans="1:17" x14ac:dyDescent="0.35">
      <c r="A46" s="114" t="s">
        <v>25</v>
      </c>
      <c r="B46" s="123">
        <f t="shared" ref="B46:K46" si="2">SUM(B40:B45)</f>
        <v>-2052702000</v>
      </c>
      <c r="C46" s="123">
        <f t="shared" si="2"/>
        <v>-21011000</v>
      </c>
      <c r="D46" s="123">
        <f t="shared" si="2"/>
        <v>42508000</v>
      </c>
      <c r="E46" s="123">
        <f t="shared" si="2"/>
        <v>-54336000</v>
      </c>
      <c r="F46" s="123">
        <f t="shared" si="2"/>
        <v>-841232000</v>
      </c>
      <c r="G46" s="123">
        <f t="shared" si="2"/>
        <v>-1581637000</v>
      </c>
      <c r="H46" s="123">
        <f t="shared" si="2"/>
        <v>-1959250000</v>
      </c>
      <c r="I46" s="123">
        <f t="shared" si="2"/>
        <v>-2854425000</v>
      </c>
      <c r="J46" s="124">
        <f t="shared" si="2"/>
        <v>-3140357000</v>
      </c>
      <c r="K46" s="123">
        <f t="shared" si="2"/>
        <v>1929154000</v>
      </c>
      <c r="L46" s="8">
        <f>K46*(1+$C$37)</f>
        <v>2239192843.4663439</v>
      </c>
      <c r="M46" s="8">
        <f>L46*(1+$C$37)</f>
        <v>2599058753.3348246</v>
      </c>
      <c r="N46" s="8">
        <f>M46*(1+$C$37)</f>
        <v>3016759553.7815523</v>
      </c>
      <c r="O46" s="8">
        <f>N46*(1+$C$37)</f>
        <v>3501590025.1023884</v>
      </c>
      <c r="P46" s="8">
        <f>O46*(1+$C$37)</f>
        <v>4064338733.4356942</v>
      </c>
      <c r="Q46" s="34">
        <f>(P46*(1+Q36))/(F37-Q36)</f>
        <v>158311321452.17691</v>
      </c>
    </row>
    <row r="47" spans="1:17" x14ac:dyDescent="0.35">
      <c r="A47" s="133" t="s">
        <v>53</v>
      </c>
      <c r="B47" s="329"/>
      <c r="C47" s="330"/>
      <c r="D47" s="330"/>
      <c r="E47" s="330"/>
      <c r="F47" s="330"/>
      <c r="G47" s="330"/>
      <c r="H47" s="330"/>
      <c r="I47" s="330"/>
      <c r="J47" s="330"/>
      <c r="K47" s="338"/>
      <c r="L47" s="134">
        <f>L46/(1+$F$37)</f>
        <v>2099177691.4468398</v>
      </c>
      <c r="M47" s="135">
        <f>M46/(1+$F$37^2)</f>
        <v>2587547041.1787949</v>
      </c>
      <c r="N47" s="135">
        <f>N46/(1+$F$37^3)</f>
        <v>3015864623.2089839</v>
      </c>
      <c r="O47" s="135">
        <f>O46/(1+$F$37^4)</f>
        <v>3501520720.8255234</v>
      </c>
      <c r="P47" s="135">
        <f>P46/(1+$F$37^5)</f>
        <v>4064333367.8332357</v>
      </c>
      <c r="Q47" s="36">
        <f>SUM(L47:P47)</f>
        <v>15268443444.493378</v>
      </c>
    </row>
    <row r="48" spans="1:17" x14ac:dyDescent="0.35">
      <c r="A48" s="133" t="s">
        <v>69</v>
      </c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29"/>
      <c r="M48" s="330"/>
      <c r="N48" s="330"/>
      <c r="O48" s="330"/>
      <c r="P48" s="338"/>
      <c r="Q48" s="75">
        <f>Q46/(1+F37)^5</f>
        <v>114630582312.8575</v>
      </c>
    </row>
    <row r="49" spans="1:23" x14ac:dyDescent="0.35">
      <c r="A49" s="118" t="s">
        <v>70</v>
      </c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2"/>
      <c r="M49" s="333"/>
      <c r="N49" s="333"/>
      <c r="O49" s="333"/>
      <c r="P49" s="341"/>
      <c r="Q49" s="75">
        <f>Q47+Q48</f>
        <v>129899025757.35088</v>
      </c>
      <c r="S49" s="33"/>
    </row>
    <row r="50" spans="1:23" ht="15" thickBot="1" x14ac:dyDescent="0.4">
      <c r="A50" s="136" t="s">
        <v>71</v>
      </c>
      <c r="B50" s="339"/>
      <c r="C50" s="340"/>
      <c r="D50" s="340"/>
      <c r="E50" s="340"/>
      <c r="F50" s="340"/>
      <c r="G50" s="340"/>
      <c r="H50" s="340"/>
      <c r="I50" s="340"/>
      <c r="J50" s="340"/>
      <c r="K50" s="340"/>
      <c r="L50" s="339"/>
      <c r="M50" s="340"/>
      <c r="N50" s="340"/>
      <c r="O50" s="340"/>
      <c r="P50" s="342"/>
      <c r="Q50" s="163">
        <f>Q49/I37</f>
        <v>293.29513588394633</v>
      </c>
      <c r="R50" s="137"/>
      <c r="S50" s="137"/>
      <c r="T50" s="137"/>
      <c r="U50" s="137"/>
      <c r="V50" s="137"/>
      <c r="W50" s="137"/>
    </row>
    <row r="51" spans="1:23" ht="15" thickBot="1" x14ac:dyDescent="0.4"/>
    <row r="52" spans="1:23" x14ac:dyDescent="0.35">
      <c r="A52" s="115" t="s">
        <v>29</v>
      </c>
      <c r="B52" s="117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Q52" s="156" t="s">
        <v>93</v>
      </c>
    </row>
    <row r="53" spans="1:23" ht="15" thickBot="1" x14ac:dyDescent="0.4">
      <c r="Q53" s="157">
        <v>0.06</v>
      </c>
    </row>
    <row r="54" spans="1:23" ht="16" thickBot="1" x14ac:dyDescent="0.4">
      <c r="A54" s="116" t="s">
        <v>82</v>
      </c>
      <c r="B54" s="161" t="s">
        <v>73</v>
      </c>
      <c r="C54" s="158">
        <f>ROE!K57/100</f>
        <v>0.14689497938434617</v>
      </c>
      <c r="E54" s="161" t="s">
        <v>72</v>
      </c>
      <c r="F54" s="159">
        <f>WACC!H28</f>
        <v>7.6899999999999996E-2</v>
      </c>
      <c r="H54" s="161" t="s">
        <v>74</v>
      </c>
      <c r="I54" s="160">
        <f>WACC!E26</f>
        <v>675222000</v>
      </c>
      <c r="P54" s="117"/>
    </row>
    <row r="55" spans="1:23" ht="15" thickBot="1" x14ac:dyDescent="0.4">
      <c r="B55" s="183"/>
      <c r="C55" s="184"/>
      <c r="D55" s="184"/>
      <c r="E55" s="184"/>
      <c r="F55" s="184"/>
      <c r="G55" s="184"/>
      <c r="H55" s="184"/>
      <c r="I55" s="184"/>
      <c r="J55" s="184"/>
      <c r="K55" s="185" t="s">
        <v>55</v>
      </c>
      <c r="L55" s="186">
        <v>1</v>
      </c>
      <c r="M55" s="186">
        <v>2</v>
      </c>
      <c r="N55" s="186">
        <v>3</v>
      </c>
      <c r="O55" s="187">
        <v>4</v>
      </c>
      <c r="P55" s="187">
        <v>5</v>
      </c>
      <c r="Q55" s="196" t="s">
        <v>57</v>
      </c>
    </row>
    <row r="56" spans="1:23" x14ac:dyDescent="0.35">
      <c r="A56" s="108"/>
      <c r="B56" s="188">
        <v>2011</v>
      </c>
      <c r="C56" s="189">
        <v>2012</v>
      </c>
      <c r="D56" s="189">
        <v>2013</v>
      </c>
      <c r="E56" s="189">
        <v>2014</v>
      </c>
      <c r="F56" s="189">
        <v>2015</v>
      </c>
      <c r="G56" s="189">
        <v>2016</v>
      </c>
      <c r="H56" s="189">
        <v>2017</v>
      </c>
      <c r="I56" s="189">
        <v>2018</v>
      </c>
      <c r="J56" s="189">
        <v>2019</v>
      </c>
      <c r="K56" s="10">
        <v>2020</v>
      </c>
      <c r="L56" s="10" t="s">
        <v>121</v>
      </c>
      <c r="M56" s="190" t="s">
        <v>122</v>
      </c>
      <c r="N56" s="190" t="s">
        <v>123</v>
      </c>
      <c r="O56" s="190" t="s">
        <v>124</v>
      </c>
      <c r="P56" s="190" t="s">
        <v>125</v>
      </c>
      <c r="Q56" s="195" t="s">
        <v>131</v>
      </c>
    </row>
    <row r="57" spans="1:23" x14ac:dyDescent="0.35">
      <c r="A57" s="109" t="s">
        <v>21</v>
      </c>
      <c r="B57" s="138">
        <v>9737000000</v>
      </c>
      <c r="C57" s="8">
        <v>10788000000</v>
      </c>
      <c r="D57" s="8">
        <v>12214000000</v>
      </c>
      <c r="E57" s="8">
        <v>13928000000</v>
      </c>
      <c r="F57" s="8">
        <v>16348000000</v>
      </c>
      <c r="G57" s="8">
        <v>19478000000</v>
      </c>
      <c r="H57" s="8">
        <v>12662000000</v>
      </c>
      <c r="I57" s="8">
        <v>30736000000</v>
      </c>
      <c r="J57" s="8">
        <v>34343000000</v>
      </c>
      <c r="K57" s="138">
        <v>40269000000</v>
      </c>
      <c r="L57" s="343"/>
      <c r="M57" s="344"/>
      <c r="N57" s="344"/>
      <c r="O57" s="344"/>
      <c r="P57" s="344"/>
      <c r="Q57" s="345"/>
    </row>
    <row r="58" spans="1:23" ht="15.5" x14ac:dyDescent="0.35">
      <c r="A58" s="84" t="s">
        <v>96</v>
      </c>
      <c r="B58" s="138">
        <v>4198000000</v>
      </c>
      <c r="C58" s="8">
        <v>4984000000</v>
      </c>
      <c r="D58" s="8">
        <v>5770000000</v>
      </c>
      <c r="E58" s="8">
        <v>7568000000</v>
      </c>
      <c r="F58" s="8">
        <v>10085000000</v>
      </c>
      <c r="G58" s="8">
        <v>13258000000</v>
      </c>
      <c r="H58" s="8">
        <v>15183000000</v>
      </c>
      <c r="I58" s="8">
        <v>12327000000</v>
      </c>
      <c r="J58" s="8">
        <v>19358000000</v>
      </c>
      <c r="K58" s="138">
        <v>23028000000</v>
      </c>
      <c r="L58" s="346"/>
      <c r="M58" s="347"/>
      <c r="N58" s="347"/>
      <c r="O58" s="347"/>
      <c r="P58" s="347"/>
      <c r="Q58" s="348"/>
    </row>
    <row r="59" spans="1:23" x14ac:dyDescent="0.35">
      <c r="A59" s="109" t="s">
        <v>24</v>
      </c>
      <c r="B59" s="138">
        <v>630000000</v>
      </c>
      <c r="C59" s="8">
        <v>898000000</v>
      </c>
      <c r="D59" s="8">
        <v>-31000000</v>
      </c>
      <c r="E59" s="8">
        <v>364000000</v>
      </c>
      <c r="F59" s="8">
        <v>-409000000</v>
      </c>
      <c r="G59" s="8">
        <v>3300000000</v>
      </c>
      <c r="H59" s="8">
        <v>9246000000</v>
      </c>
      <c r="I59" s="8">
        <v>4908000000</v>
      </c>
      <c r="J59" s="8">
        <v>819000000</v>
      </c>
      <c r="K59" s="138">
        <v>1827000000</v>
      </c>
      <c r="L59" s="346"/>
      <c r="M59" s="347"/>
      <c r="N59" s="347"/>
      <c r="O59" s="347"/>
      <c r="P59" s="347"/>
      <c r="Q59" s="348"/>
    </row>
    <row r="60" spans="1:23" x14ac:dyDescent="0.35">
      <c r="A60" s="131" t="s">
        <v>23</v>
      </c>
      <c r="B60" s="138">
        <v>-3438000000</v>
      </c>
      <c r="C60" s="8">
        <v>-3273000000</v>
      </c>
      <c r="D60" s="8">
        <v>-7358000000</v>
      </c>
      <c r="E60" s="8">
        <v>-10959000000</v>
      </c>
      <c r="F60" s="8">
        <v>-9915000000</v>
      </c>
      <c r="G60" s="8">
        <v>-10212000000</v>
      </c>
      <c r="H60" s="8">
        <v>-13184000000</v>
      </c>
      <c r="I60" s="8">
        <v>-25139000000</v>
      </c>
      <c r="J60" s="8">
        <v>-23548000000</v>
      </c>
      <c r="K60" s="138">
        <v>-22281000000</v>
      </c>
      <c r="L60" s="346"/>
      <c r="M60" s="347"/>
      <c r="N60" s="347"/>
      <c r="O60" s="347"/>
      <c r="P60" s="347"/>
      <c r="Q60" s="348"/>
    </row>
    <row r="61" spans="1:23" x14ac:dyDescent="0.35">
      <c r="A61" s="121" t="s">
        <v>98</v>
      </c>
      <c r="B61" s="8" t="s">
        <v>34</v>
      </c>
      <c r="C61" s="8" t="s">
        <v>34</v>
      </c>
      <c r="D61" s="8" t="s">
        <v>34</v>
      </c>
      <c r="E61" s="8" t="s">
        <v>34</v>
      </c>
      <c r="F61" s="8" t="s">
        <v>34</v>
      </c>
      <c r="G61" s="8" t="s">
        <v>34</v>
      </c>
      <c r="H61" s="8" t="s">
        <v>34</v>
      </c>
      <c r="I61" s="8" t="s">
        <v>34</v>
      </c>
      <c r="J61" s="8" t="s">
        <v>34</v>
      </c>
      <c r="K61" s="8" t="s">
        <v>34</v>
      </c>
      <c r="L61" s="349"/>
      <c r="M61" s="350"/>
      <c r="N61" s="350"/>
      <c r="O61" s="350"/>
      <c r="P61" s="350"/>
      <c r="Q61" s="351"/>
    </row>
    <row r="62" spans="1:23" x14ac:dyDescent="0.35">
      <c r="A62" s="114" t="s">
        <v>25</v>
      </c>
      <c r="B62" s="125">
        <f>SUM(B57:B61)</f>
        <v>11127000000</v>
      </c>
      <c r="C62" s="123">
        <f t="shared" ref="C62" si="3">SUM(C57:C61)</f>
        <v>13397000000</v>
      </c>
      <c r="D62" s="123">
        <f t="shared" ref="D62" si="4">SUM(D57:D61)</f>
        <v>10595000000</v>
      </c>
      <c r="E62" s="123">
        <f t="shared" ref="E62" si="5">SUM(E57:E61)</f>
        <v>10901000000</v>
      </c>
      <c r="F62" s="123">
        <f t="shared" ref="F62" si="6">SUM(F57:F61)</f>
        <v>16109000000</v>
      </c>
      <c r="G62" s="123">
        <f t="shared" ref="G62" si="7">SUM(G57:G61)</f>
        <v>25824000000</v>
      </c>
      <c r="H62" s="123">
        <f t="shared" ref="H62" si="8">SUM(H57:H61)</f>
        <v>23907000000</v>
      </c>
      <c r="I62" s="123">
        <f t="shared" ref="I62" si="9">SUM(I57:I61)</f>
        <v>22832000000</v>
      </c>
      <c r="J62" s="123">
        <f t="shared" ref="J62" si="10">SUM(J57:J61)</f>
        <v>30972000000</v>
      </c>
      <c r="K62" s="123">
        <f t="shared" ref="K62" si="11">SUM(K57:K61)</f>
        <v>42843000000</v>
      </c>
      <c r="L62" s="123">
        <f>K62*(1+$C$54)</f>
        <v>49136421601.763542</v>
      </c>
      <c r="M62" s="123">
        <f>L62*(1+$C$54)</f>
        <v>56354315239.975136</v>
      </c>
      <c r="N62" s="123">
        <f>M62*(1+$C$54)</f>
        <v>64632481215.370224</v>
      </c>
      <c r="O62" s="123">
        <f>N62*(1+$C$54)</f>
        <v>74126668211.061172</v>
      </c>
      <c r="P62" s="123">
        <f>O62*(1+$C$54)</f>
        <v>85015503609.755264</v>
      </c>
      <c r="Q62" s="35">
        <f>(P62*(1+Q53))/(F54-Q53)</f>
        <v>5332333362505.3613</v>
      </c>
    </row>
    <row r="63" spans="1:23" x14ac:dyDescent="0.35">
      <c r="A63" s="126" t="s">
        <v>53</v>
      </c>
      <c r="B63" s="329"/>
      <c r="C63" s="330"/>
      <c r="D63" s="330"/>
      <c r="E63" s="330"/>
      <c r="F63" s="330"/>
      <c r="G63" s="330"/>
      <c r="H63" s="330"/>
      <c r="I63" s="330"/>
      <c r="J63" s="330"/>
      <c r="K63" s="338"/>
      <c r="L63" s="129">
        <f>L62/(1+$F$54)</f>
        <v>45627654937.100517</v>
      </c>
      <c r="M63" s="129">
        <f>M62/(1+$F$54^2)</f>
        <v>56023016966.611221</v>
      </c>
      <c r="N63" s="129">
        <f>N62/(1+$F$54^3)</f>
        <v>64603102527.53392</v>
      </c>
      <c r="O63" s="129">
        <f>O62/(1+$F$54^4)</f>
        <v>74124076034.065903</v>
      </c>
      <c r="P63" s="129">
        <f>P62/(1+$F$54^5)</f>
        <v>85015274982.152374</v>
      </c>
      <c r="Q63" s="36">
        <f>SUM(L63:P63)</f>
        <v>325393125447.46399</v>
      </c>
    </row>
    <row r="64" spans="1:23" x14ac:dyDescent="0.35">
      <c r="A64" s="126" t="s">
        <v>69</v>
      </c>
      <c r="B64" s="332"/>
      <c r="C64" s="333"/>
      <c r="D64" s="333"/>
      <c r="E64" s="333"/>
      <c r="F64" s="333"/>
      <c r="G64" s="333"/>
      <c r="H64" s="333"/>
      <c r="I64" s="333"/>
      <c r="J64" s="333"/>
      <c r="K64" s="341"/>
      <c r="L64" s="329"/>
      <c r="M64" s="330"/>
      <c r="N64" s="330"/>
      <c r="O64" s="330"/>
      <c r="P64" s="338"/>
      <c r="Q64" s="34">
        <f>Q62/(1+F54)^5</f>
        <v>3681632267155.2446</v>
      </c>
    </row>
    <row r="65" spans="1:17" x14ac:dyDescent="0.35">
      <c r="A65" s="109" t="s">
        <v>70</v>
      </c>
      <c r="B65" s="332"/>
      <c r="C65" s="333"/>
      <c r="D65" s="333"/>
      <c r="E65" s="333"/>
      <c r="F65" s="333"/>
      <c r="G65" s="333"/>
      <c r="H65" s="333"/>
      <c r="I65" s="333"/>
      <c r="J65" s="333"/>
      <c r="K65" s="341"/>
      <c r="L65" s="332"/>
      <c r="M65" s="333"/>
      <c r="N65" s="333"/>
      <c r="O65" s="333"/>
      <c r="P65" s="341"/>
      <c r="Q65" s="34">
        <f>SUM(Q63:Q64)</f>
        <v>4007025392602.7085</v>
      </c>
    </row>
    <row r="66" spans="1:17" ht="15" thickBot="1" x14ac:dyDescent="0.4">
      <c r="A66" s="110" t="s">
        <v>71</v>
      </c>
      <c r="B66" s="339"/>
      <c r="C66" s="340"/>
      <c r="D66" s="340"/>
      <c r="E66" s="340"/>
      <c r="F66" s="340"/>
      <c r="G66" s="340"/>
      <c r="H66" s="340"/>
      <c r="I66" s="340"/>
      <c r="J66" s="340"/>
      <c r="K66" s="342"/>
      <c r="L66" s="339"/>
      <c r="M66" s="340"/>
      <c r="N66" s="340"/>
      <c r="O66" s="340"/>
      <c r="P66" s="342"/>
      <c r="Q66" s="162">
        <f>Q65/I54</f>
        <v>5934.3821626112722</v>
      </c>
    </row>
    <row r="68" spans="1:17" ht="15" thickBot="1" x14ac:dyDescent="0.4">
      <c r="A68" s="9" t="s">
        <v>149</v>
      </c>
    </row>
    <row r="69" spans="1:17" ht="15.5" x14ac:dyDescent="0.35">
      <c r="A69" s="175" t="s">
        <v>109</v>
      </c>
      <c r="B69" s="176" t="s">
        <v>110</v>
      </c>
      <c r="C69" s="141" t="s">
        <v>111</v>
      </c>
      <c r="Q69" s="33"/>
    </row>
    <row r="70" spans="1:17" ht="31" x14ac:dyDescent="0.35">
      <c r="A70" s="360" t="s">
        <v>21</v>
      </c>
      <c r="B70" s="361" t="s">
        <v>99</v>
      </c>
      <c r="C70" s="362" t="s">
        <v>100</v>
      </c>
    </row>
    <row r="71" spans="1:17" ht="31" x14ac:dyDescent="0.35">
      <c r="A71" s="360" t="s">
        <v>112</v>
      </c>
      <c r="B71" s="361" t="s">
        <v>101</v>
      </c>
      <c r="C71" s="362" t="s">
        <v>102</v>
      </c>
      <c r="K71" s="33"/>
      <c r="L71" s="33"/>
      <c r="M71" s="33"/>
      <c r="N71" s="33"/>
      <c r="Q71" s="33"/>
    </row>
    <row r="72" spans="1:17" ht="62" x14ac:dyDescent="0.35">
      <c r="A72" s="360" t="s">
        <v>163</v>
      </c>
      <c r="B72" s="361" t="s">
        <v>101</v>
      </c>
      <c r="C72" s="362" t="s">
        <v>105</v>
      </c>
      <c r="Q72" s="33"/>
    </row>
    <row r="73" spans="1:17" ht="31" x14ac:dyDescent="0.35">
      <c r="A73" s="360" t="s">
        <v>115</v>
      </c>
      <c r="B73" s="361" t="s">
        <v>101</v>
      </c>
      <c r="C73" s="362" t="s">
        <v>106</v>
      </c>
      <c r="Q73" s="33"/>
    </row>
    <row r="74" spans="1:17" ht="46.5" x14ac:dyDescent="0.35">
      <c r="A74" s="360" t="s">
        <v>116</v>
      </c>
      <c r="B74" s="361" t="s">
        <v>101</v>
      </c>
      <c r="C74" s="362" t="s">
        <v>108</v>
      </c>
      <c r="Q74" s="33"/>
    </row>
    <row r="75" spans="1:17" ht="31.5" thickBot="1" x14ac:dyDescent="0.4">
      <c r="A75" s="363" t="s">
        <v>117</v>
      </c>
      <c r="B75" s="364" t="s">
        <v>101</v>
      </c>
      <c r="C75" s="365" t="s">
        <v>107</v>
      </c>
    </row>
  </sheetData>
  <mergeCells count="13">
    <mergeCell ref="L64:P66"/>
    <mergeCell ref="B63:K66"/>
    <mergeCell ref="L15:P17"/>
    <mergeCell ref="L8:Q12"/>
    <mergeCell ref="B14:K17"/>
    <mergeCell ref="B30:K33"/>
    <mergeCell ref="L24:Q28"/>
    <mergeCell ref="L31:P33"/>
    <mergeCell ref="A1:G1"/>
    <mergeCell ref="L40:Q45"/>
    <mergeCell ref="B47:K50"/>
    <mergeCell ref="L48:P50"/>
    <mergeCell ref="L57:Q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276A-9C8D-41DA-8EC0-2F68DBB28A96}">
  <dimension ref="A1:Q28"/>
  <sheetViews>
    <sheetView zoomScale="70" zoomScaleNormal="70" workbookViewId="0">
      <selection activeCell="G32" sqref="G32"/>
    </sheetView>
  </sheetViews>
  <sheetFormatPr defaultRowHeight="14.5" x14ac:dyDescent="0.35"/>
  <cols>
    <col min="1" max="1" width="16.26953125" bestFit="1" customWidth="1"/>
    <col min="2" max="2" width="22.6328125" bestFit="1" customWidth="1"/>
    <col min="3" max="3" width="17.6328125" bestFit="1" customWidth="1"/>
    <col min="4" max="4" width="11.81640625" bestFit="1" customWidth="1"/>
    <col min="5" max="5" width="18.453125" bestFit="1" customWidth="1"/>
    <col min="6" max="6" width="11.81640625" bestFit="1" customWidth="1"/>
    <col min="8" max="8" width="16.26953125" bestFit="1" customWidth="1"/>
    <col min="9" max="9" width="11.54296875" bestFit="1" customWidth="1"/>
    <col min="10" max="10" width="14.26953125" bestFit="1" customWidth="1"/>
    <col min="11" max="11" width="13.1796875" bestFit="1" customWidth="1"/>
    <col min="12" max="14" width="15.36328125" bestFit="1" customWidth="1"/>
    <col min="15" max="15" width="13.36328125" bestFit="1" customWidth="1"/>
  </cols>
  <sheetData>
    <row r="1" spans="1:17" x14ac:dyDescent="0.35">
      <c r="A1" s="355" t="s">
        <v>160</v>
      </c>
      <c r="B1" s="355"/>
      <c r="C1" s="355"/>
      <c r="F1" s="205"/>
      <c r="G1" s="205"/>
      <c r="H1" s="6"/>
      <c r="L1" s="183"/>
      <c r="M1" s="6"/>
    </row>
    <row r="2" spans="1:17" ht="15" thickBot="1" x14ac:dyDescent="0.4">
      <c r="F2" s="6"/>
      <c r="G2" s="6"/>
      <c r="H2" s="6"/>
      <c r="L2" s="207"/>
      <c r="M2" s="207"/>
      <c r="N2" s="33"/>
      <c r="O2" s="205"/>
      <c r="P2" s="183"/>
    </row>
    <row r="3" spans="1:17" x14ac:dyDescent="0.35">
      <c r="A3" s="228"/>
      <c r="B3" s="260" t="s">
        <v>156</v>
      </c>
      <c r="C3" s="223" t="s">
        <v>135</v>
      </c>
      <c r="D3" s="225" t="s">
        <v>136</v>
      </c>
      <c r="E3" s="224" t="s">
        <v>126</v>
      </c>
      <c r="F3" s="6"/>
      <c r="G3" s="6"/>
      <c r="H3" s="6"/>
      <c r="L3" s="207"/>
      <c r="M3" s="207"/>
      <c r="N3" s="33"/>
      <c r="O3" s="6"/>
      <c r="P3" s="6"/>
    </row>
    <row r="4" spans="1:17" x14ac:dyDescent="0.35">
      <c r="A4" s="221" t="s">
        <v>11</v>
      </c>
      <c r="B4" s="229">
        <v>280.35000000000002</v>
      </c>
      <c r="C4" s="235">
        <v>10.220000000000001</v>
      </c>
      <c r="D4" s="229">
        <f>$B$4/C4</f>
        <v>27.43150684931507</v>
      </c>
      <c r="E4" s="230">
        <v>157.38</v>
      </c>
      <c r="F4" s="6"/>
      <c r="G4" s="6"/>
      <c r="H4" s="6"/>
      <c r="L4" s="207"/>
      <c r="M4" s="207"/>
      <c r="N4" s="33"/>
      <c r="O4" s="6"/>
      <c r="P4" s="6"/>
    </row>
    <row r="5" spans="1:17" x14ac:dyDescent="0.35">
      <c r="A5" s="221" t="s">
        <v>10</v>
      </c>
      <c r="B5" s="231">
        <v>3038.77</v>
      </c>
      <c r="C5" s="235">
        <v>42.64</v>
      </c>
      <c r="D5" s="229">
        <f>$B$5/C5</f>
        <v>71.265712945590991</v>
      </c>
      <c r="E5" s="230">
        <v>131.27000000000001</v>
      </c>
      <c r="F5" s="6"/>
      <c r="G5" s="6"/>
      <c r="H5" s="6"/>
      <c r="J5" s="6"/>
      <c r="L5" s="207"/>
      <c r="M5" s="207"/>
      <c r="N5" s="33"/>
      <c r="O5" s="6"/>
      <c r="P5" s="6"/>
    </row>
    <row r="6" spans="1:17" x14ac:dyDescent="0.35">
      <c r="A6" s="221" t="s">
        <v>12</v>
      </c>
      <c r="B6" s="231">
        <v>502.66</v>
      </c>
      <c r="C6" s="235">
        <v>6.26</v>
      </c>
      <c r="D6" s="229">
        <f>$B$6/C6</f>
        <v>80.29712460063898</v>
      </c>
      <c r="E6" s="230">
        <v>1157.1300000000001</v>
      </c>
      <c r="J6" s="6"/>
      <c r="K6" s="6"/>
      <c r="L6" s="6"/>
      <c r="M6" s="6"/>
      <c r="N6" s="6"/>
      <c r="P6" s="6"/>
    </row>
    <row r="7" spans="1:17" ht="15" thickBot="1" x14ac:dyDescent="0.4">
      <c r="A7" s="222" t="s">
        <v>77</v>
      </c>
      <c r="B7" s="232">
        <v>2032.09</v>
      </c>
      <c r="C7" s="236">
        <v>59.15</v>
      </c>
      <c r="D7" s="233">
        <f>$B$7/C7</f>
        <v>34.354860524091293</v>
      </c>
      <c r="E7" s="234">
        <v>157.38</v>
      </c>
      <c r="H7" s="206"/>
      <c r="I7" s="5"/>
      <c r="J7" s="6"/>
      <c r="K7" s="206"/>
      <c r="L7" s="206"/>
      <c r="M7" s="206"/>
      <c r="N7" s="206"/>
      <c r="P7" s="206"/>
      <c r="Q7" s="5"/>
    </row>
    <row r="8" spans="1:17" x14ac:dyDescent="0.35">
      <c r="D8" s="197"/>
      <c r="E8" s="205"/>
      <c r="F8" s="205"/>
      <c r="G8" s="205"/>
      <c r="H8" s="205"/>
      <c r="I8" t="s">
        <v>56</v>
      </c>
      <c r="J8" s="6"/>
      <c r="K8" s="183"/>
      <c r="L8" s="183"/>
      <c r="M8" s="205"/>
      <c r="N8" s="205"/>
      <c r="O8" s="205"/>
      <c r="P8" s="205"/>
    </row>
    <row r="9" spans="1:17" x14ac:dyDescent="0.35">
      <c r="D9" s="6"/>
      <c r="E9" s="6"/>
      <c r="F9" s="6"/>
      <c r="G9" s="6"/>
      <c r="H9" s="6"/>
    </row>
    <row r="10" spans="1:17" x14ac:dyDescent="0.35">
      <c r="D10" s="6"/>
      <c r="E10" s="6"/>
      <c r="F10" s="6"/>
      <c r="G10" s="6"/>
      <c r="H10" s="6"/>
      <c r="L10" s="117"/>
    </row>
    <row r="11" spans="1:17" x14ac:dyDescent="0.35">
      <c r="D11" s="6"/>
      <c r="E11" s="6"/>
      <c r="F11" s="6"/>
      <c r="G11" s="6"/>
      <c r="H11" s="6"/>
      <c r="L11" s="117"/>
    </row>
    <row r="12" spans="1:17" x14ac:dyDescent="0.35">
      <c r="D12" s="6"/>
      <c r="E12" s="6"/>
      <c r="F12" s="6"/>
      <c r="G12" s="6"/>
      <c r="H12" s="6"/>
      <c r="L12" s="117"/>
    </row>
    <row r="13" spans="1:17" x14ac:dyDescent="0.35">
      <c r="L13" s="117"/>
    </row>
    <row r="14" spans="1:17" x14ac:dyDescent="0.35">
      <c r="L14" s="6"/>
    </row>
    <row r="18" spans="5:13" x14ac:dyDescent="0.35">
      <c r="I18" s="6"/>
      <c r="J18" s="6"/>
      <c r="K18" s="6"/>
      <c r="L18" s="6"/>
      <c r="M18" s="6"/>
    </row>
    <row r="19" spans="5:13" x14ac:dyDescent="0.35">
      <c r="I19" s="6"/>
      <c r="J19" s="183"/>
      <c r="K19" s="6"/>
      <c r="L19" s="205"/>
      <c r="M19" s="205"/>
    </row>
    <row r="20" spans="5:13" x14ac:dyDescent="0.35">
      <c r="I20" s="38"/>
      <c r="J20" s="17"/>
      <c r="K20" s="6"/>
      <c r="L20" s="17"/>
      <c r="M20" s="6"/>
    </row>
    <row r="21" spans="5:13" x14ac:dyDescent="0.35">
      <c r="I21" s="38"/>
      <c r="J21" s="17"/>
      <c r="K21" s="6"/>
      <c r="L21" s="17"/>
      <c r="M21" s="117"/>
    </row>
    <row r="22" spans="5:13" x14ac:dyDescent="0.35">
      <c r="I22" s="38"/>
      <c r="J22" s="17"/>
      <c r="K22" s="6"/>
      <c r="L22" s="17"/>
      <c r="M22" s="117"/>
    </row>
    <row r="23" spans="5:13" x14ac:dyDescent="0.35">
      <c r="I23" s="38"/>
      <c r="J23" s="17"/>
      <c r="K23" s="6"/>
      <c r="L23" s="17"/>
      <c r="M23" s="117"/>
    </row>
    <row r="24" spans="5:13" x14ac:dyDescent="0.35">
      <c r="I24" s="208"/>
      <c r="J24" s="17"/>
      <c r="K24" s="17"/>
      <c r="L24" s="6"/>
      <c r="M24" s="6"/>
    </row>
    <row r="28" spans="5:13" x14ac:dyDescent="0.35">
      <c r="E28" s="6"/>
      <c r="F28" s="6"/>
      <c r="G28" s="38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FAA53-F75B-49BC-9E95-49A880E60D57}">
  <dimension ref="A1:R35"/>
  <sheetViews>
    <sheetView zoomScale="70" zoomScaleNormal="70" workbookViewId="0">
      <selection activeCell="D29" sqref="D29"/>
    </sheetView>
  </sheetViews>
  <sheetFormatPr defaultRowHeight="14.5" x14ac:dyDescent="0.35"/>
  <cols>
    <col min="2" max="2" width="22.6328125" bestFit="1" customWidth="1"/>
    <col min="3" max="4" width="18.453125" bestFit="1" customWidth="1"/>
    <col min="5" max="5" width="17.453125" bestFit="1" customWidth="1"/>
    <col min="6" max="6" width="9.90625" customWidth="1"/>
    <col min="7" max="7" width="28.81640625" customWidth="1"/>
    <col min="8" max="8" width="28.36328125" customWidth="1"/>
    <col min="9" max="10" width="15.81640625" bestFit="1" customWidth="1"/>
    <col min="12" max="12" width="18.54296875" bestFit="1" customWidth="1"/>
    <col min="13" max="16" width="15.36328125" bestFit="1" customWidth="1"/>
    <col min="17" max="17" width="18.54296875" bestFit="1" customWidth="1"/>
    <col min="18" max="18" width="15.36328125" bestFit="1" customWidth="1"/>
  </cols>
  <sheetData>
    <row r="1" spans="1:18" x14ac:dyDescent="0.35">
      <c r="A1" s="355" t="s">
        <v>159</v>
      </c>
      <c r="B1" s="355"/>
      <c r="C1" s="355"/>
      <c r="D1" s="355"/>
      <c r="F1" s="205"/>
      <c r="G1" s="356" t="s">
        <v>158</v>
      </c>
      <c r="H1" s="356"/>
      <c r="I1" s="197"/>
    </row>
    <row r="2" spans="1:18" x14ac:dyDescent="0.35">
      <c r="F2" s="6"/>
    </row>
    <row r="3" spans="1:18" ht="15" thickBot="1" x14ac:dyDescent="0.4">
      <c r="F3" s="6"/>
      <c r="G3" s="354" t="s">
        <v>137</v>
      </c>
      <c r="H3" s="354"/>
      <c r="I3" s="243"/>
      <c r="J3" s="352" t="s">
        <v>11</v>
      </c>
    </row>
    <row r="4" spans="1:18" x14ac:dyDescent="0.35">
      <c r="A4" s="12"/>
      <c r="B4" s="260" t="s">
        <v>156</v>
      </c>
      <c r="C4" s="254" t="s">
        <v>157</v>
      </c>
      <c r="D4" s="262" t="s">
        <v>127</v>
      </c>
      <c r="E4" s="224" t="s">
        <v>126</v>
      </c>
      <c r="F4" s="6"/>
      <c r="G4" s="251" t="s">
        <v>3</v>
      </c>
      <c r="H4" s="252">
        <v>159316000000</v>
      </c>
      <c r="I4" s="243"/>
      <c r="J4" s="245" t="s">
        <v>132</v>
      </c>
    </row>
    <row r="5" spans="1:18" ht="15" thickBot="1" x14ac:dyDescent="0.4">
      <c r="A5" s="221" t="s">
        <v>11</v>
      </c>
      <c r="B5" s="216">
        <v>280.35000000000002</v>
      </c>
      <c r="C5" s="216">
        <v>45.029835029835027</v>
      </c>
      <c r="D5" s="216">
        <f>$B$5/H7</f>
        <v>6.2258722425754156</v>
      </c>
      <c r="E5" s="230">
        <v>6.23</v>
      </c>
      <c r="F5" s="6"/>
      <c r="G5" s="13" t="s">
        <v>128</v>
      </c>
      <c r="H5" s="214">
        <v>31026000000</v>
      </c>
      <c r="I5" s="243"/>
      <c r="J5" s="244">
        <v>2849000000</v>
      </c>
      <c r="P5" s="205"/>
      <c r="Q5" s="205"/>
      <c r="R5" s="205"/>
    </row>
    <row r="6" spans="1:18" x14ac:dyDescent="0.35">
      <c r="A6" s="221" t="s">
        <v>10</v>
      </c>
      <c r="B6" s="8">
        <v>3038.77</v>
      </c>
      <c r="C6" s="8">
        <v>177.2371916508539</v>
      </c>
      <c r="D6" s="216">
        <f>$B$6/H14</f>
        <v>17.145216371889855</v>
      </c>
      <c r="E6" s="230">
        <v>18.62</v>
      </c>
      <c r="G6" s="13" t="s">
        <v>129</v>
      </c>
      <c r="H6" s="214">
        <f>H4-H5</f>
        <v>128290000000</v>
      </c>
      <c r="I6" s="197"/>
      <c r="J6" s="243"/>
      <c r="P6" s="242"/>
      <c r="Q6" s="242"/>
      <c r="R6" s="242"/>
    </row>
    <row r="7" spans="1:18" ht="15" thickBot="1" x14ac:dyDescent="0.4">
      <c r="A7" s="221" t="s">
        <v>12</v>
      </c>
      <c r="B7" s="8">
        <v>502.66</v>
      </c>
      <c r="C7" s="8">
        <v>24.983875363705913</v>
      </c>
      <c r="D7" s="216">
        <f>$B$7/H21</f>
        <v>20.119376705273453</v>
      </c>
      <c r="E7" s="230">
        <v>5.49</v>
      </c>
      <c r="G7" s="240" t="s">
        <v>130</v>
      </c>
      <c r="H7" s="227">
        <f>H6/$J$5</f>
        <v>45.029835029835027</v>
      </c>
      <c r="I7" s="248"/>
      <c r="J7" s="205"/>
      <c r="P7" s="6"/>
      <c r="Q7" s="6"/>
      <c r="R7" s="6"/>
    </row>
    <row r="8" spans="1:18" ht="15" thickBot="1" x14ac:dyDescent="0.4">
      <c r="A8" s="222" t="s">
        <v>77</v>
      </c>
      <c r="B8" s="220">
        <v>2032.09</v>
      </c>
      <c r="C8" s="220">
        <v>329.58641750416899</v>
      </c>
      <c r="D8" s="255">
        <f>$B$8/H27</f>
        <v>6.1655756793263352</v>
      </c>
      <c r="E8" s="234">
        <v>6.23</v>
      </c>
      <c r="I8" s="249"/>
      <c r="J8" s="248"/>
      <c r="P8" s="38"/>
      <c r="Q8" s="38"/>
      <c r="R8" s="38"/>
    </row>
    <row r="9" spans="1:18" x14ac:dyDescent="0.35">
      <c r="G9" s="243"/>
      <c r="H9" s="243"/>
      <c r="I9" s="38"/>
      <c r="J9" s="249"/>
      <c r="P9" s="6"/>
      <c r="Q9" s="6"/>
      <c r="R9" s="6"/>
    </row>
    <row r="10" spans="1:18" ht="15" thickBot="1" x14ac:dyDescent="0.4">
      <c r="D10" s="6"/>
      <c r="E10" s="6"/>
      <c r="F10" s="6"/>
      <c r="G10" s="354" t="s">
        <v>138</v>
      </c>
      <c r="H10" s="354"/>
      <c r="I10" s="249"/>
      <c r="J10" s="353" t="s">
        <v>10</v>
      </c>
    </row>
    <row r="11" spans="1:18" x14ac:dyDescent="0.35">
      <c r="D11" s="6"/>
      <c r="E11" s="6"/>
      <c r="F11" s="6"/>
      <c r="G11" s="251" t="s">
        <v>3</v>
      </c>
      <c r="H11" s="253">
        <v>321195000000</v>
      </c>
      <c r="I11" s="243"/>
      <c r="J11" s="245" t="s">
        <v>132</v>
      </c>
    </row>
    <row r="12" spans="1:18" ht="15" thickBot="1" x14ac:dyDescent="0.4">
      <c r="D12" s="6"/>
      <c r="E12" s="6"/>
      <c r="F12" s="6"/>
      <c r="G12" s="247" t="s">
        <v>128</v>
      </c>
      <c r="H12" s="246">
        <v>227791000000</v>
      </c>
      <c r="I12" s="243"/>
      <c r="J12" s="244">
        <v>527000000</v>
      </c>
    </row>
    <row r="13" spans="1:18" x14ac:dyDescent="0.35">
      <c r="D13" s="6"/>
      <c r="E13" s="6"/>
      <c r="F13" s="6"/>
      <c r="G13" s="247" t="s">
        <v>129</v>
      </c>
      <c r="H13" s="214">
        <f>H11-H12</f>
        <v>93404000000</v>
      </c>
      <c r="I13" s="243"/>
      <c r="J13" s="243"/>
    </row>
    <row r="14" spans="1:18" ht="15" thickBot="1" x14ac:dyDescent="0.4">
      <c r="D14" s="6"/>
      <c r="E14" s="6"/>
      <c r="F14" s="6"/>
      <c r="G14" s="240" t="s">
        <v>130</v>
      </c>
      <c r="H14" s="241">
        <f>H13/$J$12</f>
        <v>177.2371916508539</v>
      </c>
      <c r="I14" s="243"/>
      <c r="J14" s="243"/>
      <c r="P14" s="205"/>
      <c r="Q14" s="205"/>
      <c r="R14" s="205"/>
    </row>
    <row r="15" spans="1:18" ht="15.5" x14ac:dyDescent="0.35">
      <c r="D15" s="237"/>
      <c r="E15" s="237"/>
      <c r="F15" s="237"/>
      <c r="I15" s="197"/>
      <c r="J15" s="243"/>
      <c r="P15" s="238"/>
      <c r="Q15" s="238"/>
      <c r="R15" s="238"/>
    </row>
    <row r="16" spans="1:18" x14ac:dyDescent="0.35">
      <c r="D16" s="6"/>
      <c r="E16" s="6"/>
      <c r="F16" s="6"/>
      <c r="I16" s="238"/>
      <c r="J16" s="205"/>
      <c r="P16" s="238"/>
      <c r="Q16" s="238"/>
      <c r="R16" s="238"/>
    </row>
    <row r="17" spans="4:18" ht="15" thickBot="1" x14ac:dyDescent="0.4">
      <c r="D17" s="6"/>
      <c r="E17" s="6"/>
      <c r="F17" s="6"/>
      <c r="G17" s="354" t="s">
        <v>139</v>
      </c>
      <c r="H17" s="354"/>
      <c r="I17" s="238"/>
      <c r="J17" s="353" t="s">
        <v>12</v>
      </c>
      <c r="P17" s="239"/>
      <c r="Q17" s="239"/>
      <c r="R17" s="239"/>
    </row>
    <row r="18" spans="4:18" x14ac:dyDescent="0.35">
      <c r="D18" s="6"/>
      <c r="E18" s="6"/>
      <c r="F18" s="6"/>
      <c r="G18" s="251" t="s">
        <v>3</v>
      </c>
      <c r="H18" s="252">
        <v>39280359000</v>
      </c>
      <c r="I18" s="239"/>
      <c r="J18" s="245" t="s">
        <v>132</v>
      </c>
      <c r="P18" s="119"/>
      <c r="Q18" s="119"/>
      <c r="R18" s="119"/>
    </row>
    <row r="19" spans="4:18" ht="16" thickBot="1" x14ac:dyDescent="0.4">
      <c r="D19" s="237"/>
      <c r="E19" s="6"/>
      <c r="F19" s="6"/>
      <c r="G19" s="13" t="s">
        <v>128</v>
      </c>
      <c r="H19" s="214">
        <v>28215119000</v>
      </c>
      <c r="I19" s="119"/>
      <c r="J19" s="244">
        <v>442895261</v>
      </c>
    </row>
    <row r="20" spans="4:18" ht="15.5" x14ac:dyDescent="0.35">
      <c r="D20" s="237"/>
      <c r="E20" s="6"/>
      <c r="F20" s="6"/>
      <c r="G20" s="13" t="s">
        <v>129</v>
      </c>
      <c r="H20" s="34">
        <f>H18-H19</f>
        <v>11065240000</v>
      </c>
      <c r="J20" s="119"/>
    </row>
    <row r="21" spans="4:18" ht="16" thickBot="1" x14ac:dyDescent="0.4">
      <c r="D21" s="237"/>
      <c r="E21" s="6"/>
      <c r="F21" s="6"/>
      <c r="G21" s="240" t="s">
        <v>130</v>
      </c>
      <c r="H21" s="241">
        <f>H20/$J$19</f>
        <v>24.983875363705913</v>
      </c>
    </row>
    <row r="22" spans="4:18" ht="15.5" x14ac:dyDescent="0.35">
      <c r="D22" s="237"/>
      <c r="E22" s="6"/>
      <c r="F22" s="6"/>
      <c r="P22" s="205"/>
      <c r="Q22" s="205"/>
      <c r="R22" s="205"/>
    </row>
    <row r="23" spans="4:18" ht="15" thickBot="1" x14ac:dyDescent="0.4">
      <c r="D23" s="6"/>
      <c r="E23" s="6"/>
      <c r="F23" s="6"/>
      <c r="G23" s="354" t="s">
        <v>140</v>
      </c>
      <c r="H23" s="354"/>
      <c r="I23" s="197"/>
      <c r="J23" s="352" t="s">
        <v>150</v>
      </c>
      <c r="P23" s="242"/>
      <c r="Q23" s="242"/>
      <c r="R23" s="242"/>
    </row>
    <row r="24" spans="4:18" x14ac:dyDescent="0.35">
      <c r="D24" s="6"/>
      <c r="E24" s="6"/>
      <c r="F24" s="6"/>
      <c r="G24" s="199" t="s">
        <v>3</v>
      </c>
      <c r="H24" s="253">
        <v>319616000000</v>
      </c>
      <c r="I24" s="242"/>
      <c r="J24" s="245" t="s">
        <v>132</v>
      </c>
      <c r="P24" s="6"/>
      <c r="Q24" s="6"/>
      <c r="R24" s="6"/>
    </row>
    <row r="25" spans="4:18" ht="15" thickBot="1" x14ac:dyDescent="0.4">
      <c r="D25" s="6"/>
      <c r="E25" s="6"/>
      <c r="F25" s="6"/>
      <c r="G25" s="247" t="s">
        <v>128</v>
      </c>
      <c r="H25" s="246">
        <v>97072000000</v>
      </c>
      <c r="I25" s="6"/>
      <c r="J25" s="244">
        <v>675222000</v>
      </c>
      <c r="P25" s="38"/>
      <c r="Q25" s="38"/>
      <c r="R25" s="38"/>
    </row>
    <row r="26" spans="4:18" x14ac:dyDescent="0.35">
      <c r="D26" s="6"/>
      <c r="E26" s="6"/>
      <c r="F26" s="6"/>
      <c r="G26" s="247" t="s">
        <v>129</v>
      </c>
      <c r="H26" s="214">
        <f>H24-H25</f>
        <v>222544000000</v>
      </c>
      <c r="I26" s="38"/>
      <c r="J26" s="38"/>
      <c r="N26" s="119"/>
      <c r="O26" s="119"/>
      <c r="P26" s="119"/>
      <c r="Q26" s="119"/>
      <c r="R26" s="119"/>
    </row>
    <row r="27" spans="4:18" ht="15" thickBot="1" x14ac:dyDescent="0.4">
      <c r="G27" s="240" t="s">
        <v>130</v>
      </c>
      <c r="H27" s="241">
        <f>H26/$J$25</f>
        <v>329.58641750416899</v>
      </c>
    </row>
    <row r="31" spans="4:18" x14ac:dyDescent="0.35">
      <c r="N31" s="197"/>
      <c r="O31" s="205"/>
      <c r="P31" s="205"/>
      <c r="Q31" s="205"/>
      <c r="R31" s="205"/>
    </row>
    <row r="32" spans="4:18" x14ac:dyDescent="0.35">
      <c r="N32" s="6"/>
      <c r="O32" s="6"/>
      <c r="P32" s="6"/>
      <c r="Q32" s="6"/>
      <c r="R32" s="6"/>
    </row>
    <row r="33" spans="14:18" x14ac:dyDescent="0.35">
      <c r="N33" s="6"/>
      <c r="O33" s="6"/>
      <c r="P33" s="6"/>
      <c r="Q33" s="6"/>
      <c r="R33" s="6"/>
    </row>
    <row r="34" spans="14:18" x14ac:dyDescent="0.35">
      <c r="N34" s="38"/>
      <c r="O34" s="38"/>
      <c r="P34" s="38"/>
      <c r="Q34" s="38"/>
      <c r="R34" s="38"/>
    </row>
    <row r="35" spans="14:18" x14ac:dyDescent="0.35">
      <c r="N35" s="119"/>
      <c r="O35" s="119"/>
      <c r="P35" s="119"/>
      <c r="Q35" s="119"/>
      <c r="R35" s="119"/>
    </row>
  </sheetData>
  <mergeCells count="6">
    <mergeCell ref="G17:H17"/>
    <mergeCell ref="G23:H23"/>
    <mergeCell ref="G1:H1"/>
    <mergeCell ref="A1:D1"/>
    <mergeCell ref="G3:H3"/>
    <mergeCell ref="G10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EE29-C072-4D42-8E43-27B5F18413E5}">
  <dimension ref="A1:I21"/>
  <sheetViews>
    <sheetView zoomScale="55" zoomScaleNormal="55" workbookViewId="0">
      <selection activeCell="F10" sqref="F10"/>
    </sheetView>
  </sheetViews>
  <sheetFormatPr defaultRowHeight="14.5" x14ac:dyDescent="0.35"/>
  <cols>
    <col min="2" max="2" width="22.7265625" bestFit="1" customWidth="1"/>
    <col min="3" max="4" width="16.7265625" bestFit="1" customWidth="1"/>
    <col min="5" max="6" width="15.36328125" bestFit="1" customWidth="1"/>
    <col min="7" max="7" width="17.453125" bestFit="1" customWidth="1"/>
    <col min="8" max="8" width="16.7265625" bestFit="1" customWidth="1"/>
    <col min="9" max="9" width="13.36328125" bestFit="1" customWidth="1"/>
  </cols>
  <sheetData>
    <row r="1" spans="1:9" x14ac:dyDescent="0.35">
      <c r="A1" s="355" t="s">
        <v>161</v>
      </c>
      <c r="B1" s="355"/>
      <c r="C1" s="355"/>
      <c r="D1" s="355"/>
    </row>
    <row r="2" spans="1:9" ht="15" thickBot="1" x14ac:dyDescent="0.4"/>
    <row r="3" spans="1:9" x14ac:dyDescent="0.35">
      <c r="A3" s="12"/>
      <c r="B3" s="260" t="s">
        <v>156</v>
      </c>
      <c r="C3" s="254" t="s">
        <v>141</v>
      </c>
      <c r="D3" s="261" t="s">
        <v>143</v>
      </c>
      <c r="E3" s="261" t="s">
        <v>142</v>
      </c>
      <c r="F3" s="263" t="s">
        <v>144</v>
      </c>
      <c r="G3" s="224" t="s">
        <v>126</v>
      </c>
    </row>
    <row r="4" spans="1:9" ht="15.5" x14ac:dyDescent="0.35">
      <c r="A4" s="221" t="s">
        <v>11</v>
      </c>
      <c r="B4" s="216">
        <v>280.35000000000002</v>
      </c>
      <c r="C4" s="258">
        <v>85965000000</v>
      </c>
      <c r="D4" s="211">
        <v>2849000000</v>
      </c>
      <c r="E4" s="93">
        <f>C4/$D$4</f>
        <v>30.173745173745175</v>
      </c>
      <c r="F4" s="250">
        <f>$B$4/E4</f>
        <v>9.2911900191938592</v>
      </c>
      <c r="G4" s="230">
        <v>8.11</v>
      </c>
    </row>
    <row r="5" spans="1:9" ht="15.5" x14ac:dyDescent="0.35">
      <c r="A5" s="221" t="s">
        <v>10</v>
      </c>
      <c r="B5" s="8">
        <v>3038.77</v>
      </c>
      <c r="C5" s="258">
        <v>386064000000</v>
      </c>
      <c r="D5" s="211">
        <v>527000000</v>
      </c>
      <c r="E5" s="93">
        <f>C5/$D$5</f>
        <v>732.56925996204939</v>
      </c>
      <c r="F5" s="219">
        <f>$B$5/E5</f>
        <v>4.1480992529735996</v>
      </c>
      <c r="G5" s="230">
        <v>4.5199999999999996</v>
      </c>
    </row>
    <row r="6" spans="1:9" ht="15.5" x14ac:dyDescent="0.35">
      <c r="A6" s="221" t="s">
        <v>12</v>
      </c>
      <c r="B6" s="8">
        <v>502.66</v>
      </c>
      <c r="C6" s="258">
        <v>24996056000</v>
      </c>
      <c r="D6" s="211">
        <v>442895261</v>
      </c>
      <c r="E6" s="93">
        <f>C6/$D$6</f>
        <v>56.437849309026589</v>
      </c>
      <c r="F6" s="219">
        <f>$B$6/E6</f>
        <v>8.9064343548542215</v>
      </c>
      <c r="G6" s="230">
        <v>6.24</v>
      </c>
    </row>
    <row r="7" spans="1:9" ht="16" thickBot="1" x14ac:dyDescent="0.4">
      <c r="A7" s="222" t="s">
        <v>77</v>
      </c>
      <c r="B7" s="220">
        <v>2032.09</v>
      </c>
      <c r="C7" s="259">
        <v>182527000000</v>
      </c>
      <c r="D7" s="257">
        <v>675222000</v>
      </c>
      <c r="E7" s="256">
        <f>C7/$D$7</f>
        <v>270.32146464422073</v>
      </c>
      <c r="F7" s="48">
        <f>$B$7/E7</f>
        <v>7.5173090774515545</v>
      </c>
      <c r="G7" s="234">
        <v>8.11</v>
      </c>
    </row>
    <row r="9" spans="1:9" x14ac:dyDescent="0.35">
      <c r="A9" s="17"/>
      <c r="D9" s="238"/>
      <c r="E9" s="238"/>
      <c r="F9" s="238"/>
      <c r="G9" s="238"/>
    </row>
    <row r="10" spans="1:9" x14ac:dyDescent="0.35">
      <c r="A10" s="17"/>
      <c r="D10" s="238"/>
      <c r="E10" s="238"/>
      <c r="F10" s="238"/>
      <c r="G10" s="238"/>
    </row>
    <row r="11" spans="1:9" x14ac:dyDescent="0.35">
      <c r="A11" s="17"/>
      <c r="B11" s="6"/>
      <c r="C11" s="238"/>
      <c r="D11" s="238"/>
      <c r="E11" s="238"/>
      <c r="F11" s="238"/>
      <c r="G11" s="238"/>
    </row>
    <row r="12" spans="1:9" x14ac:dyDescent="0.35">
      <c r="A12" s="17"/>
      <c r="B12" s="6"/>
      <c r="C12" s="238"/>
      <c r="D12" s="238"/>
      <c r="E12" s="238"/>
      <c r="F12" s="238"/>
      <c r="G12" s="238"/>
    </row>
    <row r="13" spans="1:9" x14ac:dyDescent="0.35">
      <c r="A13" s="6"/>
      <c r="B13" s="6"/>
      <c r="C13" s="6"/>
      <c r="D13" s="6"/>
      <c r="E13" s="6"/>
      <c r="F13" s="6"/>
      <c r="G13" s="6"/>
      <c r="I13" s="215"/>
    </row>
    <row r="14" spans="1:9" x14ac:dyDescent="0.35">
      <c r="A14" s="6"/>
      <c r="B14" s="6"/>
      <c r="C14" s="197"/>
      <c r="D14" s="205"/>
      <c r="E14" s="205"/>
      <c r="F14" s="205"/>
      <c r="G14" s="205"/>
    </row>
    <row r="15" spans="1:9" ht="15.5" x14ac:dyDescent="0.35">
      <c r="A15" s="17"/>
      <c r="B15" s="6"/>
      <c r="C15" s="85"/>
      <c r="D15" s="85"/>
      <c r="E15" s="85"/>
      <c r="F15" s="85"/>
      <c r="G15" s="85"/>
    </row>
    <row r="16" spans="1:9" ht="15.5" x14ac:dyDescent="0.35">
      <c r="A16" s="17"/>
      <c r="B16" s="6"/>
      <c r="C16" s="85"/>
      <c r="D16" s="85"/>
      <c r="E16" s="85"/>
      <c r="F16" s="85"/>
      <c r="G16" s="85"/>
    </row>
    <row r="17" spans="1:7" ht="15.5" x14ac:dyDescent="0.35">
      <c r="A17" s="17"/>
      <c r="B17" s="6"/>
      <c r="C17" s="85"/>
      <c r="D17" s="85"/>
      <c r="E17" s="85"/>
      <c r="F17" s="85"/>
      <c r="G17" s="85"/>
    </row>
    <row r="18" spans="1:7" ht="15.5" x14ac:dyDescent="0.35">
      <c r="A18" s="17"/>
      <c r="B18" s="6"/>
      <c r="C18" s="85"/>
      <c r="D18" s="85"/>
      <c r="E18" s="85"/>
      <c r="F18" s="85"/>
      <c r="G18" s="85"/>
    </row>
    <row r="19" spans="1:7" x14ac:dyDescent="0.35">
      <c r="A19" s="6"/>
      <c r="B19" s="6"/>
    </row>
    <row r="20" spans="1:7" x14ac:dyDescent="0.35">
      <c r="A20" s="6"/>
      <c r="B20" s="6"/>
    </row>
    <row r="21" spans="1:7" x14ac:dyDescent="0.35">
      <c r="A21" s="6"/>
      <c r="B21" s="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0B21-3F77-4C6C-AE8A-37AF23A73617}">
  <dimension ref="A1:G18"/>
  <sheetViews>
    <sheetView zoomScale="55" zoomScaleNormal="55" workbookViewId="0">
      <selection activeCell="G18" sqref="G18"/>
    </sheetView>
  </sheetViews>
  <sheetFormatPr defaultRowHeight="14.5" x14ac:dyDescent="0.35"/>
  <cols>
    <col min="2" max="2" width="22.6328125" bestFit="1" customWidth="1"/>
    <col min="3" max="3" width="35.7265625" bestFit="1" customWidth="1"/>
    <col min="4" max="5" width="17.81640625" bestFit="1" customWidth="1"/>
    <col min="6" max="6" width="15.36328125" bestFit="1" customWidth="1"/>
    <col min="7" max="7" width="15.453125" bestFit="1" customWidth="1"/>
    <col min="8" max="8" width="11.36328125" bestFit="1" customWidth="1"/>
    <col min="9" max="9" width="10.81640625" bestFit="1" customWidth="1"/>
  </cols>
  <sheetData>
    <row r="1" spans="1:7" x14ac:dyDescent="0.35">
      <c r="A1" s="355" t="s">
        <v>162</v>
      </c>
      <c r="B1" s="355"/>
      <c r="C1" s="355"/>
      <c r="G1" s="205"/>
    </row>
    <row r="2" spans="1:7" ht="15" thickBot="1" x14ac:dyDescent="0.4"/>
    <row r="3" spans="1:7" x14ac:dyDescent="0.35">
      <c r="A3" s="12"/>
      <c r="B3" s="260" t="s">
        <v>156</v>
      </c>
      <c r="C3" s="189" t="s">
        <v>155</v>
      </c>
      <c r="D3" s="191" t="s">
        <v>143</v>
      </c>
      <c r="E3" s="191" t="s">
        <v>145</v>
      </c>
      <c r="F3" s="265" t="s">
        <v>146</v>
      </c>
    </row>
    <row r="4" spans="1:7" x14ac:dyDescent="0.35">
      <c r="A4" s="221" t="s">
        <v>11</v>
      </c>
      <c r="B4" s="216">
        <v>280.35000000000002</v>
      </c>
      <c r="C4" s="7">
        <v>38747000000</v>
      </c>
      <c r="D4" s="211">
        <v>2849000000</v>
      </c>
      <c r="E4" s="216">
        <f>C4/D4</f>
        <v>13.6002106002106</v>
      </c>
      <c r="F4" s="226">
        <f>$B$4/E4</f>
        <v>20.613651379461636</v>
      </c>
    </row>
    <row r="5" spans="1:7" x14ac:dyDescent="0.35">
      <c r="A5" s="221" t="s">
        <v>10</v>
      </c>
      <c r="B5" s="8">
        <v>3038.77</v>
      </c>
      <c r="C5" s="7">
        <v>66064000000</v>
      </c>
      <c r="D5" s="211">
        <v>527000000</v>
      </c>
      <c r="E5" s="216">
        <f t="shared" ref="E5:E7" si="0">C5/D5</f>
        <v>125.35863377609108</v>
      </c>
      <c r="F5" s="226">
        <f>$B$4/E5</f>
        <v>2.2363836582707681</v>
      </c>
    </row>
    <row r="6" spans="1:7" x14ac:dyDescent="0.35">
      <c r="A6" s="221" t="s">
        <v>12</v>
      </c>
      <c r="B6" s="8">
        <v>502.66</v>
      </c>
      <c r="C6" s="7">
        <v>14206361000</v>
      </c>
      <c r="D6" s="211">
        <v>442895261</v>
      </c>
      <c r="E6" s="216">
        <f t="shared" si="0"/>
        <v>32.0761187824044</v>
      </c>
      <c r="F6" s="226">
        <f>$B$4/E6</f>
        <v>8.7401472073918161</v>
      </c>
    </row>
    <row r="7" spans="1:7" ht="15" thickBot="1" x14ac:dyDescent="0.4">
      <c r="A7" s="222" t="s">
        <v>77</v>
      </c>
      <c r="B7" s="220">
        <v>2032.09</v>
      </c>
      <c r="C7" s="266">
        <v>65124000000</v>
      </c>
      <c r="D7" s="257">
        <v>675222000</v>
      </c>
      <c r="E7" s="255">
        <f t="shared" si="0"/>
        <v>96.448279232607945</v>
      </c>
      <c r="F7" s="227">
        <f>$B$4/E7</f>
        <v>2.9067392620232173</v>
      </c>
      <c r="G7" s="205"/>
    </row>
    <row r="8" spans="1:7" x14ac:dyDescent="0.35">
      <c r="A8" s="17"/>
      <c r="B8" s="264"/>
      <c r="C8" s="238"/>
      <c r="E8" s="238"/>
      <c r="F8" s="238"/>
      <c r="G8" s="238"/>
    </row>
    <row r="9" spans="1:7" x14ac:dyDescent="0.35">
      <c r="A9" s="17"/>
      <c r="B9" s="264"/>
      <c r="C9" s="238"/>
      <c r="E9" s="238"/>
      <c r="F9" s="238"/>
      <c r="G9" s="238"/>
    </row>
    <row r="10" spans="1:7" x14ac:dyDescent="0.35">
      <c r="A10" s="17"/>
      <c r="B10" s="264"/>
      <c r="C10" s="238"/>
      <c r="E10" s="238"/>
      <c r="F10" s="238"/>
      <c r="G10" s="238"/>
    </row>
    <row r="11" spans="1:7" x14ac:dyDescent="0.35">
      <c r="A11" s="17"/>
      <c r="B11" s="264"/>
      <c r="C11" s="238"/>
      <c r="D11" s="238"/>
      <c r="E11" s="238"/>
      <c r="F11" s="238"/>
      <c r="G11" s="238"/>
    </row>
    <row r="12" spans="1:7" x14ac:dyDescent="0.35">
      <c r="A12" s="6"/>
      <c r="B12" s="6"/>
      <c r="C12" s="6"/>
      <c r="D12" s="6"/>
      <c r="E12" s="6"/>
      <c r="F12" s="6"/>
      <c r="G12" s="6"/>
    </row>
    <row r="13" spans="1:7" x14ac:dyDescent="0.35">
      <c r="A13" s="6"/>
      <c r="B13" s="6"/>
      <c r="C13" s="197"/>
      <c r="D13" s="205"/>
      <c r="E13" s="205"/>
      <c r="F13" s="205"/>
      <c r="G13" s="205"/>
    </row>
    <row r="14" spans="1:7" x14ac:dyDescent="0.35">
      <c r="A14" s="17"/>
      <c r="B14" s="6"/>
    </row>
    <row r="15" spans="1:7" x14ac:dyDescent="0.35">
      <c r="A15" s="17"/>
      <c r="B15" s="6"/>
    </row>
    <row r="16" spans="1:7" x14ac:dyDescent="0.35">
      <c r="A16" s="17"/>
      <c r="B16" s="6"/>
    </row>
    <row r="17" spans="1:2" x14ac:dyDescent="0.35">
      <c r="A17" s="17"/>
      <c r="B17" s="6"/>
    </row>
    <row r="18" spans="1:2" x14ac:dyDescent="0.35">
      <c r="A18" s="6"/>
      <c r="B18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ROE</vt:lpstr>
      <vt:lpstr>Debt-to-Equity</vt:lpstr>
      <vt:lpstr>WACC</vt:lpstr>
      <vt:lpstr>FCFF</vt:lpstr>
      <vt:lpstr>FCFE</vt:lpstr>
      <vt:lpstr>Price-to-Earnings</vt:lpstr>
      <vt:lpstr>Price-to-Book Value</vt:lpstr>
      <vt:lpstr>Price-to-Sales</vt:lpstr>
      <vt:lpstr>Price-to-Cash Flow</vt:lpstr>
      <vt:lpstr>FCFF!_ftn1</vt:lpstr>
      <vt:lpstr>FCFF!_ftnref1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Akhmerov</dc:creator>
  <cp:lastModifiedBy>Arthur Akhmerov</cp:lastModifiedBy>
  <cp:lastPrinted>2021-03-27T00:17:32Z</cp:lastPrinted>
  <dcterms:created xsi:type="dcterms:W3CDTF">2021-03-19T00:42:26Z</dcterms:created>
  <dcterms:modified xsi:type="dcterms:W3CDTF">2021-03-30T18:34:13Z</dcterms:modified>
</cp:coreProperties>
</file>