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ivat\Diplomy 2022\Alina_stock valuation_2023\"/>
    </mc:Choice>
  </mc:AlternateContent>
  <xr:revisionPtr revIDLastSave="0" documentId="13_ncr:1_{A086F38D-B43B-4D74-BACD-9158730E1930}" xr6:coauthVersionLast="47" xr6:coauthVersionMax="47" xr10:uidLastSave="{00000000-0000-0000-0000-000000000000}"/>
  <bookViews>
    <workbookView xWindow="-120" yWindow="-120" windowWidth="28050" windowHeight="16440" tabRatio="545" xr2:uid="{74D579D9-CB6C-46D2-966E-275D34C7D88A}"/>
  </bookViews>
  <sheets>
    <sheet name="IS - Ford" sheetId="2" r:id="rId1"/>
    <sheet name="CF - Ford" sheetId="20" r:id="rId2"/>
    <sheet name="BS - Ford" sheetId="4" r:id="rId3"/>
    <sheet name="GM-IS" sheetId="28" r:id="rId4"/>
    <sheet name="GM - BS" sheetId="30" r:id="rId5"/>
    <sheet name="GM - CF" sheetId="32" r:id="rId6"/>
  </sheets>
  <definedNames>
    <definedName name="_xlnm._FilterDatabase" localSheetId="2" hidden="1">'BS - Ford'!$A$1:$E$84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0" i="2" l="1"/>
  <c r="B97" i="28" s="1"/>
  <c r="B98" i="28"/>
  <c r="B96" i="28"/>
  <c r="B95" i="28"/>
  <c r="B94" i="28"/>
  <c r="B93" i="28"/>
  <c r="N20" i="2"/>
  <c r="C59" i="28"/>
  <c r="N16" i="28"/>
  <c r="C113" i="28"/>
  <c r="D113" i="28"/>
  <c r="E113" i="28"/>
  <c r="B113" i="28"/>
  <c r="B85" i="28"/>
  <c r="F86" i="28"/>
  <c r="D62" i="28"/>
  <c r="E62" i="28"/>
  <c r="B62" i="28"/>
  <c r="F59" i="2" l="1"/>
  <c r="F58" i="2"/>
  <c r="E58" i="28"/>
  <c r="E56" i="28"/>
  <c r="E60" i="28" s="1"/>
  <c r="F53" i="2"/>
  <c r="E52" i="2"/>
  <c r="B61" i="2"/>
  <c r="C59" i="2"/>
  <c r="C75" i="28"/>
  <c r="F75" i="28" s="1"/>
  <c r="D75" i="28"/>
  <c r="E75" i="28"/>
  <c r="B75" i="28"/>
  <c r="F23" i="2"/>
  <c r="C76" i="28"/>
  <c r="F76" i="28" s="1"/>
  <c r="D76" i="28"/>
  <c r="E76" i="28"/>
  <c r="C11" i="28"/>
  <c r="D11" i="28"/>
  <c r="E11" i="28"/>
  <c r="B11" i="28"/>
  <c r="C21" i="2"/>
  <c r="F21" i="2"/>
  <c r="F13" i="2"/>
  <c r="C70" i="2"/>
  <c r="B73" i="28"/>
  <c r="F5" i="2"/>
  <c r="F4" i="2"/>
  <c r="G3" i="28"/>
  <c r="F3" i="28"/>
  <c r="F11" i="2"/>
  <c r="E11" i="2"/>
  <c r="B11" i="2"/>
  <c r="G72" i="2"/>
  <c r="G69" i="28"/>
  <c r="I69" i="28" s="1"/>
  <c r="J69" i="28" s="1"/>
  <c r="H69" i="28"/>
  <c r="G70" i="28"/>
  <c r="H70" i="28" s="1"/>
  <c r="G71" i="28"/>
  <c r="H71" i="28"/>
  <c r="I71" i="28" s="1"/>
  <c r="J71" i="28" s="1"/>
  <c r="G72" i="28"/>
  <c r="H72" i="28" s="1"/>
  <c r="G73" i="28"/>
  <c r="H73" i="28"/>
  <c r="I73" i="28" s="1"/>
  <c r="J73" i="28" s="1"/>
  <c r="G74" i="28"/>
  <c r="H74" i="28" s="1"/>
  <c r="G77" i="28"/>
  <c r="H77" i="28"/>
  <c r="I77" i="28" s="1"/>
  <c r="J77" i="28" s="1"/>
  <c r="G78" i="28"/>
  <c r="H78" i="28" s="1"/>
  <c r="F70" i="28"/>
  <c r="F71" i="28"/>
  <c r="F72" i="28"/>
  <c r="F73" i="28"/>
  <c r="F74" i="28"/>
  <c r="F77" i="28"/>
  <c r="F78" i="28"/>
  <c r="F79" i="28"/>
  <c r="G79" i="28" s="1"/>
  <c r="F69" i="28"/>
  <c r="J68" i="28"/>
  <c r="I68" i="28"/>
  <c r="H68" i="28"/>
  <c r="G68" i="28"/>
  <c r="F68" i="28"/>
  <c r="G65" i="2"/>
  <c r="F65" i="2"/>
  <c r="F2" i="28"/>
  <c r="F12" i="28" s="1"/>
  <c r="J1" i="28"/>
  <c r="G1" i="28"/>
  <c r="H1" i="28"/>
  <c r="I1" i="28"/>
  <c r="F1" i="28"/>
  <c r="H67" i="28"/>
  <c r="H3" i="28" s="1"/>
  <c r="G67" i="28"/>
  <c r="I67" i="28" s="1"/>
  <c r="I3" i="28" s="1"/>
  <c r="G52" i="28"/>
  <c r="H52" i="28"/>
  <c r="I52" i="28"/>
  <c r="J52" i="28"/>
  <c r="F52" i="28"/>
  <c r="B73" i="2"/>
  <c r="C79" i="28"/>
  <c r="D79" i="28"/>
  <c r="E79" i="28"/>
  <c r="B79" i="28"/>
  <c r="C78" i="28"/>
  <c r="D78" i="28"/>
  <c r="E78" i="28"/>
  <c r="B78" i="28"/>
  <c r="D77" i="28"/>
  <c r="E77" i="28"/>
  <c r="C77" i="28"/>
  <c r="D60" i="28"/>
  <c r="C60" i="28"/>
  <c r="C62" i="28" s="1"/>
  <c r="B60" i="28"/>
  <c r="E59" i="28"/>
  <c r="D59" i="28"/>
  <c r="C58" i="28"/>
  <c r="D58" i="28"/>
  <c r="B58" i="28"/>
  <c r="B57" i="2"/>
  <c r="C57" i="28"/>
  <c r="D57" i="28"/>
  <c r="E57" i="28"/>
  <c r="B57" i="28"/>
  <c r="B56" i="2"/>
  <c r="B75" i="2" s="1"/>
  <c r="D54" i="2"/>
  <c r="D56" i="28"/>
  <c r="C56" i="28"/>
  <c r="B56" i="28"/>
  <c r="B55" i="2"/>
  <c r="E54" i="2"/>
  <c r="O29" i="30"/>
  <c r="M29" i="30"/>
  <c r="O27" i="30"/>
  <c r="M27" i="30"/>
  <c r="O30" i="30"/>
  <c r="M30" i="30"/>
  <c r="O21" i="30"/>
  <c r="M21" i="30"/>
  <c r="M22" i="30"/>
  <c r="M23" i="30" s="1"/>
  <c r="O19" i="30"/>
  <c r="M19" i="30"/>
  <c r="O22" i="30"/>
  <c r="O11" i="30"/>
  <c r="M11" i="30"/>
  <c r="M12" i="30"/>
  <c r="O12" i="30"/>
  <c r="M13" i="30" s="1"/>
  <c r="M11" i="4"/>
  <c r="C2" i="30"/>
  <c r="D2" i="30"/>
  <c r="E2" i="30"/>
  <c r="B2" i="30"/>
  <c r="M9" i="30"/>
  <c r="O9" i="30"/>
  <c r="C55" i="28"/>
  <c r="D55" i="28"/>
  <c r="J29" i="30"/>
  <c r="J28" i="30"/>
  <c r="J30" i="30" s="1"/>
  <c r="H28" i="30"/>
  <c r="H29" i="30"/>
  <c r="H30" i="30"/>
  <c r="J21" i="30"/>
  <c r="J20" i="30"/>
  <c r="J22" i="30"/>
  <c r="H21" i="30"/>
  <c r="H20" i="30"/>
  <c r="H22" i="30"/>
  <c r="E55" i="28"/>
  <c r="J11" i="30"/>
  <c r="J10" i="30"/>
  <c r="H12" i="30"/>
  <c r="H11" i="30"/>
  <c r="H10" i="30"/>
  <c r="C53" i="28"/>
  <c r="D53" i="28"/>
  <c r="E53" i="28"/>
  <c r="B53" i="28"/>
  <c r="B52" i="2"/>
  <c r="C54" i="2"/>
  <c r="C74" i="2" s="1"/>
  <c r="F66" i="28"/>
  <c r="G66" i="28" s="1"/>
  <c r="H66" i="28" s="1"/>
  <c r="I66" i="28" s="1"/>
  <c r="J66" i="28" s="1"/>
  <c r="C54" i="28"/>
  <c r="D54" i="28"/>
  <c r="E54" i="28"/>
  <c r="B54" i="28"/>
  <c r="B76" i="28" s="1"/>
  <c r="B53" i="2"/>
  <c r="B72" i="2"/>
  <c r="C74" i="28"/>
  <c r="D74" i="28"/>
  <c r="E74" i="28"/>
  <c r="B74" i="28"/>
  <c r="C73" i="28"/>
  <c r="D73" i="28"/>
  <c r="E73" i="28"/>
  <c r="C72" i="28"/>
  <c r="D72" i="28"/>
  <c r="E72" i="28"/>
  <c r="B72" i="28"/>
  <c r="C71" i="28"/>
  <c r="D71" i="28"/>
  <c r="E71" i="28"/>
  <c r="B71" i="28"/>
  <c r="C70" i="28"/>
  <c r="D70" i="28"/>
  <c r="E70" i="28"/>
  <c r="B70" i="28"/>
  <c r="B67" i="2"/>
  <c r="C69" i="28"/>
  <c r="D69" i="28"/>
  <c r="E69" i="28"/>
  <c r="B69" i="28"/>
  <c r="C68" i="28"/>
  <c r="D68" i="28"/>
  <c r="E68" i="28"/>
  <c r="B68" i="28"/>
  <c r="B24" i="2"/>
  <c r="E21" i="28"/>
  <c r="D21" i="28"/>
  <c r="C21" i="28"/>
  <c r="D3" i="28"/>
  <c r="D67" i="28" s="1"/>
  <c r="E3" i="28"/>
  <c r="E67" i="28" s="1"/>
  <c r="C3" i="28"/>
  <c r="C67" i="28" s="1"/>
  <c r="F3" i="2"/>
  <c r="E3" i="2"/>
  <c r="D10" i="28"/>
  <c r="B10" i="2"/>
  <c r="C9" i="28"/>
  <c r="C10" i="28" s="1"/>
  <c r="D9" i="28"/>
  <c r="E9" i="28"/>
  <c r="E10" i="28" s="1"/>
  <c r="B9" i="28"/>
  <c r="B10" i="28" s="1"/>
  <c r="D24" i="2"/>
  <c r="C10" i="2"/>
  <c r="E6" i="2"/>
  <c r="D10" i="2"/>
  <c r="D3" i="2"/>
  <c r="C3" i="2"/>
  <c r="D94" i="2"/>
  <c r="B87" i="2" s="1"/>
  <c r="B60" i="2"/>
  <c r="C24" i="2"/>
  <c r="C52" i="2"/>
  <c r="D72" i="2"/>
  <c r="C72" i="2"/>
  <c r="C71" i="2"/>
  <c r="C6" i="2"/>
  <c r="D68" i="2"/>
  <c r="E68" i="2"/>
  <c r="C69" i="2"/>
  <c r="C68" i="2"/>
  <c r="C67" i="2"/>
  <c r="E69" i="2"/>
  <c r="F2" i="2"/>
  <c r="D71" i="2"/>
  <c r="G71" i="2" s="1"/>
  <c r="E71" i="2"/>
  <c r="H71" i="2" s="1"/>
  <c r="G64" i="2"/>
  <c r="H64" i="2" s="1"/>
  <c r="B76" i="2"/>
  <c r="E58" i="2"/>
  <c r="E76" i="2" s="1"/>
  <c r="D58" i="2"/>
  <c r="D76" i="2" s="1"/>
  <c r="C58" i="2"/>
  <c r="C76" i="2" s="1"/>
  <c r="C56" i="2"/>
  <c r="C75" i="2" s="1"/>
  <c r="D56" i="2"/>
  <c r="D75" i="2" s="1"/>
  <c r="E56" i="2"/>
  <c r="E75" i="2" s="1"/>
  <c r="B74" i="2"/>
  <c r="E72" i="2"/>
  <c r="H79" i="28" l="1"/>
  <c r="I79" i="28" s="1"/>
  <c r="J79" i="28" s="1"/>
  <c r="N6" i="28"/>
  <c r="J67" i="28"/>
  <c r="J3" i="28" s="1"/>
  <c r="F4" i="28"/>
  <c r="F7" i="28"/>
  <c r="F13" i="28"/>
  <c r="F11" i="28" s="1"/>
  <c r="F14" i="28"/>
  <c r="F54" i="28"/>
  <c r="F56" i="28" s="1"/>
  <c r="F57" i="28"/>
  <c r="F59" i="28"/>
  <c r="F47" i="28"/>
  <c r="F55" i="28"/>
  <c r="G2" i="28"/>
  <c r="F44" i="28"/>
  <c r="G76" i="28"/>
  <c r="H76" i="28" s="1"/>
  <c r="G75" i="28"/>
  <c r="I78" i="28"/>
  <c r="J78" i="28"/>
  <c r="I72" i="28"/>
  <c r="J72" i="28"/>
  <c r="I70" i="28"/>
  <c r="J70" i="28"/>
  <c r="I74" i="28"/>
  <c r="J74" i="28" s="1"/>
  <c r="M31" i="30"/>
  <c r="H31" i="30"/>
  <c r="H23" i="30"/>
  <c r="J12" i="30"/>
  <c r="H13" i="30" s="1"/>
  <c r="F72" i="2"/>
  <c r="G3" i="2"/>
  <c r="I71" i="2"/>
  <c r="J71" i="2" s="1"/>
  <c r="G2" i="2"/>
  <c r="G48" i="2" s="1"/>
  <c r="F48" i="2"/>
  <c r="C11" i="2"/>
  <c r="I64" i="2"/>
  <c r="I3" i="2" s="1"/>
  <c r="H3" i="2"/>
  <c r="H72" i="2"/>
  <c r="F68" i="2"/>
  <c r="F14" i="2" s="1"/>
  <c r="F45" i="2"/>
  <c r="F75" i="2"/>
  <c r="F76" i="2"/>
  <c r="G45" i="2"/>
  <c r="F8" i="28" l="1"/>
  <c r="F10" i="28"/>
  <c r="F58" i="28"/>
  <c r="F60" i="28" s="1"/>
  <c r="F62" i="28" s="1"/>
  <c r="H2" i="28"/>
  <c r="G57" i="28"/>
  <c r="G54" i="28"/>
  <c r="G56" i="28" s="1"/>
  <c r="G58" i="28" s="1"/>
  <c r="G14" i="28"/>
  <c r="G13" i="28"/>
  <c r="G7" i="28"/>
  <c r="G4" i="28"/>
  <c r="G55" i="28"/>
  <c r="G47" i="28"/>
  <c r="G59" i="28"/>
  <c r="G12" i="28"/>
  <c r="G11" i="28" s="1"/>
  <c r="F5" i="28"/>
  <c r="F6" i="28" s="1"/>
  <c r="F9" i="28" s="1"/>
  <c r="F18" i="28" s="1"/>
  <c r="H75" i="28"/>
  <c r="G44" i="28"/>
  <c r="I76" i="28"/>
  <c r="J76" i="28" s="1"/>
  <c r="I72" i="2"/>
  <c r="J72" i="2" s="1"/>
  <c r="F56" i="2"/>
  <c r="G75" i="2"/>
  <c r="G56" i="2" s="1"/>
  <c r="J64" i="2"/>
  <c r="H2" i="2"/>
  <c r="G4" i="2"/>
  <c r="G76" i="2"/>
  <c r="G58" i="2" s="1"/>
  <c r="G60" i="28" l="1"/>
  <c r="G62" i="28" s="1"/>
  <c r="F19" i="28"/>
  <c r="F20" i="28"/>
  <c r="F21" i="28" s="1"/>
  <c r="I2" i="28"/>
  <c r="H12" i="28"/>
  <c r="H57" i="28"/>
  <c r="H54" i="28"/>
  <c r="H56" i="28" s="1"/>
  <c r="H58" i="28" s="1"/>
  <c r="H60" i="28" s="1"/>
  <c r="H62" i="28" s="1"/>
  <c r="H14" i="28"/>
  <c r="H13" i="28"/>
  <c r="H7" i="28"/>
  <c r="H4" i="28"/>
  <c r="H55" i="28"/>
  <c r="H47" i="28"/>
  <c r="H59" i="28"/>
  <c r="G5" i="28"/>
  <c r="G6" i="28" s="1"/>
  <c r="G9" i="28" s="1"/>
  <c r="G18" i="28" s="1"/>
  <c r="G10" i="28"/>
  <c r="G8" i="28"/>
  <c r="I75" i="28"/>
  <c r="H44" i="28"/>
  <c r="I2" i="2"/>
  <c r="H4" i="2"/>
  <c r="H48" i="2"/>
  <c r="H75" i="2"/>
  <c r="H56" i="2" s="1"/>
  <c r="H76" i="2"/>
  <c r="H58" i="2" s="1"/>
  <c r="I75" i="2"/>
  <c r="I56" i="2" s="1"/>
  <c r="I76" i="2"/>
  <c r="H45" i="2"/>
  <c r="G19" i="28" l="1"/>
  <c r="G20" i="28"/>
  <c r="G21" i="28" s="1"/>
  <c r="H11" i="28"/>
  <c r="J2" i="28"/>
  <c r="I59" i="28"/>
  <c r="I12" i="28"/>
  <c r="I11" i="28" s="1"/>
  <c r="I13" i="28"/>
  <c r="I7" i="28"/>
  <c r="I57" i="28"/>
  <c r="I54" i="28"/>
  <c r="I14" i="28"/>
  <c r="I4" i="28"/>
  <c r="I55" i="28"/>
  <c r="I47" i="28"/>
  <c r="H5" i="28"/>
  <c r="H6" i="28" s="1"/>
  <c r="H9" i="28" s="1"/>
  <c r="H18" i="28" s="1"/>
  <c r="H10" i="28"/>
  <c r="H8" i="28"/>
  <c r="J75" i="28"/>
  <c r="I44" i="28"/>
  <c r="J75" i="2"/>
  <c r="J76" i="2"/>
  <c r="I58" i="2"/>
  <c r="I4" i="2"/>
  <c r="I48" i="2"/>
  <c r="I45" i="2"/>
  <c r="H19" i="28" l="1"/>
  <c r="H20" i="28" s="1"/>
  <c r="H21" i="28" s="1"/>
  <c r="J55" i="28"/>
  <c r="J47" i="28"/>
  <c r="J59" i="28"/>
  <c r="J12" i="28"/>
  <c r="J11" i="28" s="1"/>
  <c r="J54" i="28"/>
  <c r="J56" i="28" s="1"/>
  <c r="J58" i="28" s="1"/>
  <c r="J60" i="28" s="1"/>
  <c r="J61" i="28" s="1"/>
  <c r="J62" i="28" s="1"/>
  <c r="B84" i="28" s="1"/>
  <c r="J57" i="28"/>
  <c r="J14" i="28"/>
  <c r="J13" i="28"/>
  <c r="J7" i="28"/>
  <c r="J4" i="28"/>
  <c r="J44" i="28"/>
  <c r="I56" i="28"/>
  <c r="I58" i="28" s="1"/>
  <c r="I60" i="28" s="1"/>
  <c r="I62" i="28" s="1"/>
  <c r="I5" i="28"/>
  <c r="I6" i="28"/>
  <c r="I9" i="28" s="1"/>
  <c r="I18" i="28" s="1"/>
  <c r="I19" i="28" s="1"/>
  <c r="I8" i="28"/>
  <c r="I10" i="28"/>
  <c r="D74" i="2"/>
  <c r="J28" i="4"/>
  <c r="D69" i="2"/>
  <c r="F69" i="2" s="1"/>
  <c r="F15" i="2" s="1"/>
  <c r="B69" i="2"/>
  <c r="B68" i="2"/>
  <c r="D67" i="2"/>
  <c r="E67" i="2"/>
  <c r="C66" i="2"/>
  <c r="D66" i="2"/>
  <c r="E66" i="2"/>
  <c r="B66" i="2"/>
  <c r="E74" i="2"/>
  <c r="M32" i="4"/>
  <c r="O31" i="4"/>
  <c r="O30" i="4"/>
  <c r="M31" i="4"/>
  <c r="M30" i="4"/>
  <c r="O28" i="4"/>
  <c r="M28" i="4"/>
  <c r="M24" i="4"/>
  <c r="M23" i="4"/>
  <c r="O23" i="4"/>
  <c r="O22" i="4"/>
  <c r="M22" i="4"/>
  <c r="M13" i="4"/>
  <c r="M12" i="4"/>
  <c r="O12" i="4"/>
  <c r="O11" i="4"/>
  <c r="O20" i="4"/>
  <c r="M20" i="4"/>
  <c r="O9" i="4"/>
  <c r="O29" i="4"/>
  <c r="M29" i="4"/>
  <c r="O21" i="4"/>
  <c r="C81" i="4"/>
  <c r="D81" i="4"/>
  <c r="E81" i="4"/>
  <c r="B81" i="4"/>
  <c r="M9" i="4"/>
  <c r="O10" i="4"/>
  <c r="M10" i="4"/>
  <c r="J29" i="4"/>
  <c r="H29" i="4"/>
  <c r="H28" i="4"/>
  <c r="J21" i="4"/>
  <c r="J20" i="4"/>
  <c r="H21" i="4"/>
  <c r="H20" i="4"/>
  <c r="J22" i="4"/>
  <c r="H22" i="4"/>
  <c r="J11" i="4"/>
  <c r="J10" i="4"/>
  <c r="J12" i="4" s="1"/>
  <c r="H11" i="4"/>
  <c r="H10" i="4"/>
  <c r="H12" i="4" s="1"/>
  <c r="F63" i="2"/>
  <c r="B6" i="2"/>
  <c r="B65" i="2"/>
  <c r="C65" i="2"/>
  <c r="D65" i="2"/>
  <c r="E65" i="2"/>
  <c r="C53" i="2"/>
  <c r="D53" i="2"/>
  <c r="D73" i="2" s="1"/>
  <c r="E53" i="2"/>
  <c r="E73" i="2" s="1"/>
  <c r="D52" i="2"/>
  <c r="D6" i="2"/>
  <c r="D21" i="2" s="1"/>
  <c r="D70" i="2" s="1"/>
  <c r="E10" i="2"/>
  <c r="J5" i="28" l="1"/>
  <c r="J6" i="28" s="1"/>
  <c r="J9" i="28" s="1"/>
  <c r="J18" i="28" s="1"/>
  <c r="B86" i="28"/>
  <c r="D95" i="28" s="1"/>
  <c r="J8" i="28"/>
  <c r="J10" i="28"/>
  <c r="I20" i="28"/>
  <c r="I21" i="28" s="1"/>
  <c r="G63" i="2"/>
  <c r="F1" i="2"/>
  <c r="C73" i="2"/>
  <c r="C55" i="2"/>
  <c r="C57" i="2" s="1"/>
  <c r="C61" i="2" s="1"/>
  <c r="E21" i="2"/>
  <c r="E70" i="2" s="1"/>
  <c r="G70" i="2" s="1"/>
  <c r="E55" i="2"/>
  <c r="D11" i="2"/>
  <c r="D55" i="2"/>
  <c r="G68" i="2"/>
  <c r="G14" i="2" s="1"/>
  <c r="F66" i="2"/>
  <c r="F73" i="2"/>
  <c r="F74" i="2"/>
  <c r="F54" i="2" s="1"/>
  <c r="F67" i="2"/>
  <c r="H13" i="4"/>
  <c r="J30" i="4"/>
  <c r="H30" i="4"/>
  <c r="H23" i="4"/>
  <c r="B89" i="28" l="1"/>
  <c r="J19" i="28"/>
  <c r="J20" i="28"/>
  <c r="J21" i="28" s="1"/>
  <c r="B88" i="28"/>
  <c r="G74" i="2"/>
  <c r="G54" i="2" s="1"/>
  <c r="G66" i="2"/>
  <c r="F7" i="2"/>
  <c r="F8" i="2" s="1"/>
  <c r="G67" i="2"/>
  <c r="G73" i="2"/>
  <c r="G53" i="2" s="1"/>
  <c r="G5" i="2"/>
  <c r="G6" i="2" s="1"/>
  <c r="E57" i="2"/>
  <c r="E59" i="2" s="1"/>
  <c r="E61" i="2" s="1"/>
  <c r="H63" i="2"/>
  <c r="G1" i="2"/>
  <c r="H65" i="2"/>
  <c r="H5" i="2" s="1"/>
  <c r="H6" i="2" s="1"/>
  <c r="F6" i="2"/>
  <c r="F10" i="2" s="1"/>
  <c r="D57" i="2"/>
  <c r="D59" i="2" s="1"/>
  <c r="D61" i="2" s="1"/>
  <c r="H70" i="2"/>
  <c r="I70" i="2" s="1"/>
  <c r="J70" i="2" s="1"/>
  <c r="H68" i="2"/>
  <c r="H14" i="2" s="1"/>
  <c r="G69" i="2"/>
  <c r="G15" i="2" s="1"/>
  <c r="H31" i="4"/>
  <c r="I65" i="2" l="1"/>
  <c r="I5" i="2" s="1"/>
  <c r="I6" i="2" s="1"/>
  <c r="H74" i="2"/>
  <c r="H54" i="2" s="1"/>
  <c r="G13" i="2"/>
  <c r="I63" i="2"/>
  <c r="H1" i="2"/>
  <c r="H73" i="2"/>
  <c r="H53" i="2" s="1"/>
  <c r="H67" i="2"/>
  <c r="H66" i="2"/>
  <c r="G7" i="2"/>
  <c r="G8" i="2" s="1"/>
  <c r="I74" i="2"/>
  <c r="I68" i="2"/>
  <c r="I14" i="2" s="1"/>
  <c r="J68" i="2"/>
  <c r="H69" i="2"/>
  <c r="H15" i="2" s="1"/>
  <c r="E18" i="2"/>
  <c r="I73" i="2" l="1"/>
  <c r="J65" i="2"/>
  <c r="I69" i="2"/>
  <c r="I15" i="2" s="1"/>
  <c r="J73" i="2"/>
  <c r="I53" i="2"/>
  <c r="F22" i="2"/>
  <c r="H7" i="2"/>
  <c r="I66" i="2"/>
  <c r="J63" i="2"/>
  <c r="I1" i="2"/>
  <c r="H13" i="2"/>
  <c r="I67" i="2"/>
  <c r="I13" i="2" s="1"/>
  <c r="G10" i="2"/>
  <c r="J74" i="2"/>
  <c r="I54" i="2"/>
  <c r="J69" i="2" l="1"/>
  <c r="J67" i="2"/>
  <c r="H8" i="2"/>
  <c r="H10" i="2"/>
  <c r="I7" i="2"/>
  <c r="J66" i="2"/>
  <c r="F55" i="2"/>
  <c r="F57" i="2" s="1"/>
  <c r="F61" i="2" s="1"/>
  <c r="E24" i="2"/>
  <c r="G21" i="2"/>
  <c r="G11" i="2"/>
  <c r="I8" i="2" l="1"/>
  <c r="I10" i="2"/>
  <c r="H11" i="2"/>
  <c r="H21" i="2"/>
  <c r="G22" i="2"/>
  <c r="G23" i="2" s="1"/>
  <c r="F24" i="2" s="1"/>
  <c r="H22" i="2" l="1"/>
  <c r="H23" i="2" s="1"/>
  <c r="G24" i="2" s="1"/>
  <c r="G55" i="2"/>
  <c r="G57" i="2" s="1"/>
  <c r="G59" i="2" s="1"/>
  <c r="G61" i="2" s="1"/>
  <c r="I11" i="2"/>
  <c r="I21" i="2"/>
  <c r="I22" i="2" l="1"/>
  <c r="I23" i="2" s="1"/>
  <c r="H55" i="2"/>
  <c r="H57" i="2" s="1"/>
  <c r="H59" i="2" s="1"/>
  <c r="H61" i="2" s="1"/>
  <c r="I55" i="2" l="1"/>
  <c r="I57" i="2" s="1"/>
  <c r="I59" i="2" s="1"/>
  <c r="H24" i="2"/>
  <c r="N8" i="2" l="1"/>
  <c r="B86" i="2" s="1"/>
  <c r="B88" i="2" s="1"/>
  <c r="I60" i="2"/>
  <c r="I61" i="2" s="1"/>
  <c r="B9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Kirill Raduta</author>
  </authors>
  <commentList>
    <comment ref="F64" authorId="0" shapeId="0" xr:uid="{448E8184-50AC-4C4E-B97A-3E09EB23B74B}">
      <text>
        <r>
          <rPr>
            <b/>
            <sz val="9"/>
            <color indexed="81"/>
            <rFont val="Tahoma"/>
            <family val="2"/>
            <charset val="238"/>
          </rPr>
          <t>Alina: Average growth years of the market, due to previous pandemic cases,  we see the decrease by 18% which might impact the growth rate further.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<sst xmlns="http://schemas.openxmlformats.org/spreadsheetml/2006/main" count="653" uniqueCount="289">
  <si>
    <t>Total Revenue</t>
  </si>
  <si>
    <t>Operating Revenue</t>
  </si>
  <si>
    <t>Cost of Revenue</t>
  </si>
  <si>
    <t>Gross Profit</t>
  </si>
  <si>
    <t>Operating Expense</t>
  </si>
  <si>
    <t>Selling General and Administrative</t>
  </si>
  <si>
    <t>Other Operating Expenses</t>
  </si>
  <si>
    <t>Operating Income</t>
  </si>
  <si>
    <t>Net Non Operating Interest Income Expense</t>
  </si>
  <si>
    <t>Interest Income Non Operating</t>
  </si>
  <si>
    <t>Interest Expense Non Operating</t>
  </si>
  <si>
    <t>Other Income Expense</t>
  </si>
  <si>
    <t>Gain on Sale of Security</t>
  </si>
  <si>
    <t>Earnings from Equity Interest</t>
  </si>
  <si>
    <t>Special Income Charges</t>
  </si>
  <si>
    <t>Other Special Charges</t>
  </si>
  <si>
    <t>Other Non Operating Income Expenses</t>
  </si>
  <si>
    <t>Pretax Income</t>
  </si>
  <si>
    <t>Tax Provision</t>
  </si>
  <si>
    <t>Net Income Common Stockholders</t>
  </si>
  <si>
    <t>Net Income</t>
  </si>
  <si>
    <t>Net Income Including Non-Controlling Interests</t>
  </si>
  <si>
    <t>Net Income Continuous Operations</t>
  </si>
  <si>
    <t>Minority Interests</t>
  </si>
  <si>
    <t>Diluted NI Available to Com Stockholders</t>
  </si>
  <si>
    <t>Basic EPS</t>
  </si>
  <si>
    <t>Diluted EPS</t>
  </si>
  <si>
    <t>Basic Average Shares</t>
  </si>
  <si>
    <t>Diluted Average Shares</t>
  </si>
  <si>
    <t>Total Operating Income as Reported</t>
  </si>
  <si>
    <t>Total Expenses</t>
  </si>
  <si>
    <t>Net Income from Continuing &amp; Discontinued Operation</t>
  </si>
  <si>
    <t>Normalized Income</t>
  </si>
  <si>
    <t>Interest Income</t>
  </si>
  <si>
    <t>Interest Expense</t>
  </si>
  <si>
    <t>Net Interest Income</t>
  </si>
  <si>
    <t>EBIT</t>
  </si>
  <si>
    <t>EBITDA</t>
  </si>
  <si>
    <t>Reconciled Cost of Revenue</t>
  </si>
  <si>
    <t>Reconciled Depreciation</t>
  </si>
  <si>
    <t>Net Income from Continuing Operation Net Minority Interest</t>
  </si>
  <si>
    <t>Total Unusual Items Excluding Goodwill</t>
  </si>
  <si>
    <t>Total Unusual Items</t>
  </si>
  <si>
    <t>Normalized EBITDA</t>
  </si>
  <si>
    <t>Tax Rate for Calcs</t>
  </si>
  <si>
    <t>Tax Effect of Unusual Items</t>
  </si>
  <si>
    <t>Indicator</t>
  </si>
  <si>
    <t>Total Assets</t>
  </si>
  <si>
    <t>Current Assets</t>
  </si>
  <si>
    <t>Cash, Cash Equivalents &amp; Short Term Investments</t>
  </si>
  <si>
    <t>Cash And Cash Equivalents</t>
  </si>
  <si>
    <t>Cash</t>
  </si>
  <si>
    <t>Cash Equivalents</t>
  </si>
  <si>
    <t>Other Short Term Investments</t>
  </si>
  <si>
    <t>Receivables</t>
  </si>
  <si>
    <t>Accounts receivable</t>
  </si>
  <si>
    <t>Gross Accounts Receivable</t>
  </si>
  <si>
    <t>Allowance For Doubtful Accounts Receivable</t>
  </si>
  <si>
    <t>Inventory</t>
  </si>
  <si>
    <t>Raw Materials</t>
  </si>
  <si>
    <t>Finished Goods</t>
  </si>
  <si>
    <t>Assets Held for Sale Current</t>
  </si>
  <si>
    <t>Other Current Assets</t>
  </si>
  <si>
    <t>Total non-current assets</t>
  </si>
  <si>
    <t>Net PPE</t>
  </si>
  <si>
    <t>Gross PPE</t>
  </si>
  <si>
    <t>Properties</t>
  </si>
  <si>
    <t>Land And Improvements</t>
  </si>
  <si>
    <t>Buildings And Improvements</t>
  </si>
  <si>
    <t>Machinery Furniture Equipment</t>
  </si>
  <si>
    <t>Other Properties</t>
  </si>
  <si>
    <t>Construction in Progress</t>
  </si>
  <si>
    <t>Accumulated Depreciation</t>
  </si>
  <si>
    <t>Goodwill And Other Intangible Assets</t>
  </si>
  <si>
    <t>Goodwill</t>
  </si>
  <si>
    <t>Other Intangible Assets</t>
  </si>
  <si>
    <t>Investments And Advances</t>
  </si>
  <si>
    <t>Long Term Equity Investment</t>
  </si>
  <si>
    <t>Investments in Associatesat Cost</t>
  </si>
  <si>
    <t>Other Investments</t>
  </si>
  <si>
    <t>Non Current Accounts Receivable</t>
  </si>
  <si>
    <t>Non Current Deferred Assets</t>
  </si>
  <si>
    <t>Non Current Deferred Taxes Assets</t>
  </si>
  <si>
    <t>Other Non Current Assets</t>
  </si>
  <si>
    <t>Total Liabilities Net Minority Interest</t>
  </si>
  <si>
    <t>Current Liabilities</t>
  </si>
  <si>
    <t>Payables And Accrued Expenses</t>
  </si>
  <si>
    <t>Payables</t>
  </si>
  <si>
    <t>Accounts Payable</t>
  </si>
  <si>
    <t>Current Accrued Expenses</t>
  </si>
  <si>
    <t>Interest Payable</t>
  </si>
  <si>
    <t>Pension &amp; Other Post Retirement Benefit Plans Current</t>
  </si>
  <si>
    <t>Current Debt And Capital Lease Obligation</t>
  </si>
  <si>
    <t>Current Debt</t>
  </si>
  <si>
    <t>Other Current Borrowings</t>
  </si>
  <si>
    <t>Current Capital Lease Obligation</t>
  </si>
  <si>
    <t>Current Deferred Liabilities</t>
  </si>
  <si>
    <t>Current Deferred Revenue</t>
  </si>
  <si>
    <t>Other Current Liabilities</t>
  </si>
  <si>
    <t>Total Non Current Liabilities Net Minority Interest</t>
  </si>
  <si>
    <t>Long Term Debt And Capital Lease Obligation</t>
  </si>
  <si>
    <t>Long Term Debt</t>
  </si>
  <si>
    <t>Long Term Capital Lease Obligation</t>
  </si>
  <si>
    <t>Non Current Deferred Liabilities</t>
  </si>
  <si>
    <t>Non Current Deferred Taxes Liabilities</t>
  </si>
  <si>
    <t>Non Current Deferred Revenue</t>
  </si>
  <si>
    <t>Employee Benefits</t>
  </si>
  <si>
    <t>Non Current Pension And Other Post-Retirement Benefit Plans</t>
  </si>
  <si>
    <t>Preferred Securities Outside Stock Equity</t>
  </si>
  <si>
    <t>Other Non Current Liabilities</t>
  </si>
  <si>
    <t>Total Equity Gross Minority Interest</t>
  </si>
  <si>
    <t>Stockholders' Equity</t>
  </si>
  <si>
    <t>Capital Stock</t>
  </si>
  <si>
    <t>Common Stock</t>
  </si>
  <si>
    <t>Additional Paid in Capital</t>
  </si>
  <si>
    <t>Retained Earnings</t>
  </si>
  <si>
    <t>Treasury Stock</t>
  </si>
  <si>
    <t>Gains Losses Not Affecting Retained Earnings</t>
  </si>
  <si>
    <t>Minority Interest</t>
  </si>
  <si>
    <t>Total Capitalization</t>
  </si>
  <si>
    <t>Common Stock Equity</t>
  </si>
  <si>
    <t>Capital Lease Obligations</t>
  </si>
  <si>
    <t>Net Tangible Assets</t>
  </si>
  <si>
    <t>Working Capital</t>
  </si>
  <si>
    <t>Invested Capital</t>
  </si>
  <si>
    <t>Tangible Book Value</t>
  </si>
  <si>
    <t>Total Debt</t>
  </si>
  <si>
    <t>Net Debt</t>
  </si>
  <si>
    <t>Share Issued</t>
  </si>
  <si>
    <t>Ordinary Shares Number</t>
  </si>
  <si>
    <t>Operating Cash Flow</t>
  </si>
  <si>
    <t>Cash Flow from Continuing Operating Activities</t>
  </si>
  <si>
    <t>Net Income from Continuing Operations</t>
  </si>
  <si>
    <t>Operating Gains Losses</t>
  </si>
  <si>
    <t>-</t>
  </si>
  <si>
    <t>Depreciation Amortization Depletion</t>
  </si>
  <si>
    <t>Depreciation &amp; amortization</t>
  </si>
  <si>
    <t>Deferred Tax</t>
  </si>
  <si>
    <t>Deferred Income Tax</t>
  </si>
  <si>
    <t>Asset Impairment Charge</t>
  </si>
  <si>
    <t>Stock based compensation</t>
  </si>
  <si>
    <t>Other non-cash items</t>
  </si>
  <si>
    <t>Change in working capital</t>
  </si>
  <si>
    <t>Investing Cash Flow</t>
  </si>
  <si>
    <t>Cash Flow from Continuing Investing Activities</t>
  </si>
  <si>
    <t>Financing Cash Flow</t>
  </si>
  <si>
    <t>Cash Flow from Continuing Financing Activities</t>
  </si>
  <si>
    <t>Net Issuance Payments of Debt</t>
  </si>
  <si>
    <t>Net Long Term Debt Issuance</t>
  </si>
  <si>
    <t>Long Term Debt Issuance</t>
  </si>
  <si>
    <t>Long Term Debt Payments</t>
  </si>
  <si>
    <t>Net Short Term Debt Issuance</t>
  </si>
  <si>
    <t>Net Other Financing Charges</t>
  </si>
  <si>
    <t>End Cash Position</t>
  </si>
  <si>
    <t>Changes in Cash</t>
  </si>
  <si>
    <t>Beginning Cash Position</t>
  </si>
  <si>
    <t>Capital Expenditure</t>
  </si>
  <si>
    <t>Issuance of Debt</t>
  </si>
  <si>
    <t>Repayment of Debt</t>
  </si>
  <si>
    <t>Free Cash Flow</t>
  </si>
  <si>
    <t>Change in Receivables</t>
  </si>
  <si>
    <t>Changes in Account Receivables</t>
  </si>
  <si>
    <t>Change in Inventory</t>
  </si>
  <si>
    <t>Change in Payables And Accrued Expense</t>
  </si>
  <si>
    <t>Change in Payable</t>
  </si>
  <si>
    <t>Change in Account Payable</t>
  </si>
  <si>
    <t>Net Business Purchase And Sale</t>
  </si>
  <si>
    <t>Purchase of Business</t>
  </si>
  <si>
    <t>Sale of Business</t>
  </si>
  <si>
    <t>Preferred Stock Dividends</t>
  </si>
  <si>
    <t>Other Inventories</t>
  </si>
  <si>
    <t>Effect of Exchange Rate Changes</t>
  </si>
  <si>
    <t>Repurchase of Capital Stock</t>
  </si>
  <si>
    <t xml:space="preserve"> </t>
  </si>
  <si>
    <t>Gain Loss On Sale of Business</t>
  </si>
  <si>
    <t>Net Foreign Currency Exchange Gain Loss</t>
  </si>
  <si>
    <t>Gain Loss On Investment Securities</t>
  </si>
  <si>
    <t>Earnings Losses from Equity Investments</t>
  </si>
  <si>
    <t>Pension And Employee Benefit Expense</t>
  </si>
  <si>
    <t>Depreciation</t>
  </si>
  <si>
    <t>Amortization</t>
  </si>
  <si>
    <t>Amortization of Intangibles</t>
  </si>
  <si>
    <t>Provision &amp; Write Off of Assets</t>
  </si>
  <si>
    <t>Dividend Received CFO</t>
  </si>
  <si>
    <t>Capital Expenditure Reported</t>
  </si>
  <si>
    <t>Net Investment Purchase And Sale</t>
  </si>
  <si>
    <t>Purchase of Investment</t>
  </si>
  <si>
    <t>Sale of Investment</t>
  </si>
  <si>
    <t>Net Other Investing Changes</t>
  </si>
  <si>
    <t>Net Common Stock Issuance</t>
  </si>
  <si>
    <t>Common Stock Payments</t>
  </si>
  <si>
    <t>Cash Dividends Paid</t>
  </si>
  <si>
    <t>Common Stock Dividend Paid</t>
  </si>
  <si>
    <t>Forecast</t>
  </si>
  <si>
    <t>Revenue Growth forecast</t>
  </si>
  <si>
    <t>CoGS as a % of Revenue</t>
  </si>
  <si>
    <t>S&amp;GA as a % of Revenue</t>
  </si>
  <si>
    <t>Interest Income as a % of revenue</t>
  </si>
  <si>
    <t>Interest Expense as a % of revenue</t>
  </si>
  <si>
    <t>Other Expense or Income</t>
  </si>
  <si>
    <t>Effective Tax Rate</t>
  </si>
  <si>
    <t>Minority Interest as a % of Revenue</t>
  </si>
  <si>
    <t>D&amp;A as a % of Revenue</t>
  </si>
  <si>
    <t>Change in NWC as a % of Revenue</t>
  </si>
  <si>
    <t>Capex as a % of Revenue</t>
  </si>
  <si>
    <t>Change in net Debt as a % of Revenue</t>
  </si>
  <si>
    <t>Change in NWC</t>
  </si>
  <si>
    <t>FCFF</t>
  </si>
  <si>
    <t>Change in Net Debt</t>
  </si>
  <si>
    <t>FCFE</t>
  </si>
  <si>
    <t xml:space="preserve">Terminal Value </t>
  </si>
  <si>
    <t>Total</t>
  </si>
  <si>
    <t>Growth Y-o-Y</t>
  </si>
  <si>
    <t>Operating Margin</t>
  </si>
  <si>
    <t>Current Assets (Current Year)</t>
  </si>
  <si>
    <t>Current Liabilities (Current Year)</t>
  </si>
  <si>
    <t>Current Assets (Prior Year)</t>
  </si>
  <si>
    <t>Current Liabilities (Prior Year)</t>
  </si>
  <si>
    <t>Change in Current Assets</t>
  </si>
  <si>
    <t>Change in Current Liabilities</t>
  </si>
  <si>
    <t>2022-2021</t>
  </si>
  <si>
    <t>2021-2020</t>
  </si>
  <si>
    <t>2020-2019</t>
  </si>
  <si>
    <t>Cash (Current)</t>
  </si>
  <si>
    <t>Cash (Prior)</t>
  </si>
  <si>
    <t>Short Term Debt (Current Year)</t>
  </si>
  <si>
    <t>Short Term Debt (Prior Year)</t>
  </si>
  <si>
    <t>Long Term Debt (Current Year)</t>
  </si>
  <si>
    <t>Long Term Debt (Prior Year)</t>
  </si>
  <si>
    <t>Current Year Net Debt</t>
  </si>
  <si>
    <t>Prior Year Net Debt</t>
  </si>
  <si>
    <t>Net Minority Interest</t>
  </si>
  <si>
    <t>CaPEX</t>
  </si>
  <si>
    <t>Capital Expenditures (CaPEX)</t>
  </si>
  <si>
    <t>only used for calculation of Net Debt and NWC</t>
  </si>
  <si>
    <t>n-a</t>
  </si>
  <si>
    <t>n/a</t>
  </si>
  <si>
    <t>CAPM</t>
  </si>
  <si>
    <t>Comments</t>
  </si>
  <si>
    <t>Risk - Free Rate</t>
  </si>
  <si>
    <t>Beta</t>
  </si>
  <si>
    <t>Market Return</t>
  </si>
  <si>
    <t>average, based on S&amp;P 500</t>
  </si>
  <si>
    <t>r</t>
  </si>
  <si>
    <t>discount rate</t>
  </si>
  <si>
    <t>Company</t>
  </si>
  <si>
    <t>Apple Inc</t>
  </si>
  <si>
    <t>g</t>
  </si>
  <si>
    <t>Ford's risk free rate, googled on 12.02.2023</t>
  </si>
  <si>
    <t>Yaahhoo's rating beta for Ford on 12.02.2023</t>
  </si>
  <si>
    <t>Equity Value</t>
  </si>
  <si>
    <t>Share Outstanding</t>
  </si>
  <si>
    <t>Price Per Share</t>
  </si>
  <si>
    <t>Current Price</t>
  </si>
  <si>
    <t>Buy / Sell</t>
  </si>
  <si>
    <t>Upside</t>
  </si>
  <si>
    <t>Outstanding share Millions</t>
  </si>
  <si>
    <t>in thousands</t>
  </si>
  <si>
    <t>12/30/2021</t>
  </si>
  <si>
    <t>12/30/2020</t>
  </si>
  <si>
    <t>12/30/2019</t>
  </si>
  <si>
    <t>12/30/2022</t>
  </si>
  <si>
    <t>Non Current Accrued Expenses</t>
  </si>
  <si>
    <t>Y - o - Y</t>
  </si>
  <si>
    <t>Net Income Discontinuous Operations</t>
  </si>
  <si>
    <t>Change in Tax Payable</t>
  </si>
  <si>
    <t>Change in Income Tax Payable</t>
  </si>
  <si>
    <t>Change in Accrued Expense</t>
  </si>
  <si>
    <t>Change in Other Current Assets</t>
  </si>
  <si>
    <t>Change in Other Working Capital</t>
  </si>
  <si>
    <t>Cash from Discontinued Operating Activities</t>
  </si>
  <si>
    <t>Net PPE Purchase And Sale</t>
  </si>
  <si>
    <t>Purchase of PPE</t>
  </si>
  <si>
    <t>Sale of PPE</t>
  </si>
  <si>
    <t>Cash from Discontinued Investing Activities</t>
  </si>
  <si>
    <t>Net Preferred Stock Issuance</t>
  </si>
  <si>
    <t>Preferred Stock Issuance</t>
  </si>
  <si>
    <t>Cash from Discontinued Financing Activities</t>
  </si>
  <si>
    <t>Income Tax Paid Supplemental Data</t>
  </si>
  <si>
    <t>Interest Paid Supplemental Data</t>
  </si>
  <si>
    <t>Issuance of Capital Stock</t>
  </si>
  <si>
    <t>Growth rate</t>
  </si>
  <si>
    <t>n</t>
  </si>
  <si>
    <t>na</t>
  </si>
  <si>
    <t>Ford's risk free rate, googled on 28.02.2023</t>
  </si>
  <si>
    <t>Yaahhoo's rating beta for Ford on 28.02.2023</t>
  </si>
  <si>
    <t>Ford</t>
  </si>
  <si>
    <t>General Motors</t>
  </si>
  <si>
    <t xml:space="preserve">The share price of General Motors is much higher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</si>
</sst>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%"/>
    <numFmt numFmtId="179" formatCode="0.00000%"/>
  </numFmts>
  <fonts count="13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rgb="FF9C0006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1" tint="4.9989318521683403E-2"/>
      <name val="Calibri"/>
      <family val="2"/>
      <charset val="238"/>
      <scheme val="minor"/>
    </font>
    <font>
      <b/>
      <sz val="10"/>
      <color rgb="FF232A31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AEA9F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66FF6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7" fillId="7" borderId="0" applyNumberFormat="0" applyBorder="0" applyAlignment="0" applyProtection="0"/>
  </cellStyleXfs>
  <cellXfs count="108">
    <xf numFmtId="0" fontId="0" fillId="0" borderId="0" xfId="0"/>
    <xf numFmtId="3" fontId="0" fillId="0" borderId="0" xfId="0" applyNumberFormat="1"/>
    <xf numFmtId="0" fontId="0" fillId="0" borderId="2" xfId="0" applyBorder="1"/>
    <xf numFmtId="3" fontId="0" fillId="0" borderId="2" xfId="0" applyNumberFormat="1" applyBorder="1"/>
    <xf numFmtId="0" fontId="1" fillId="2" borderId="1" xfId="0" applyFont="1" applyFill="1" applyBorder="1"/>
    <xf numFmtId="14" fontId="1" fillId="2" borderId="1" xfId="0" applyNumberFormat="1" applyFont="1" applyFill="1" applyBorder="1"/>
    <xf numFmtId="0" fontId="1" fillId="2" borderId="2" xfId="0" applyFont="1" applyFill="1" applyBorder="1"/>
    <xf numFmtId="14" fontId="1" fillId="2" borderId="2" xfId="0" applyNumberFormat="1" applyFont="1" applyFill="1" applyBorder="1"/>
    <xf numFmtId="0" fontId="3" fillId="3" borderId="0" xfId="0" applyFont="1" applyFill="1"/>
    <xf numFmtId="0" fontId="3" fillId="0" borderId="2" xfId="0" applyFont="1" applyBorder="1"/>
    <xf numFmtId="10" fontId="3" fillId="0" borderId="2" xfId="0" applyNumberFormat="1" applyFont="1" applyBorder="1"/>
    <xf numFmtId="4" fontId="0" fillId="0" borderId="2" xfId="0" applyNumberFormat="1" applyBorder="1"/>
    <xf numFmtId="0" fontId="0" fillId="4" borderId="2" xfId="0" applyFill="1" applyBorder="1"/>
    <xf numFmtId="3" fontId="0" fillId="4" borderId="2" xfId="0" applyNumberFormat="1" applyFill="1" applyBorder="1"/>
    <xf numFmtId="164" fontId="0" fillId="0" borderId="2" xfId="1" applyNumberFormat="1" applyFont="1" applyBorder="1"/>
    <xf numFmtId="9" fontId="0" fillId="0" borderId="2" xfId="1" applyFont="1" applyFill="1" applyBorder="1"/>
    <xf numFmtId="0" fontId="6" fillId="4" borderId="2" xfId="0" applyFont="1" applyFill="1" applyBorder="1"/>
    <xf numFmtId="0" fontId="6" fillId="0" borderId="2" xfId="0" applyFont="1" applyBorder="1"/>
    <xf numFmtId="9" fontId="0" fillId="0" borderId="0" xfId="1" applyFont="1"/>
    <xf numFmtId="4" fontId="3" fillId="0" borderId="2" xfId="0" applyNumberFormat="1" applyFont="1" applyBorder="1"/>
    <xf numFmtId="0" fontId="0" fillId="5" borderId="0" xfId="0" applyFill="1"/>
    <xf numFmtId="0" fontId="6" fillId="5" borderId="0" xfId="0" applyFont="1" applyFill="1"/>
    <xf numFmtId="3" fontId="3" fillId="0" borderId="2" xfId="0" applyNumberFormat="1" applyFont="1" applyBorder="1"/>
    <xf numFmtId="3" fontId="0" fillId="5" borderId="0" xfId="0" applyNumberFormat="1" applyFill="1"/>
    <xf numFmtId="3" fontId="0" fillId="0" borderId="2" xfId="0" applyNumberForma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3" fontId="0" fillId="0" borderId="0" xfId="0" applyNumberFormat="1" applyAlignment="1">
      <alignment wrapText="1"/>
    </xf>
    <xf numFmtId="3" fontId="3" fillId="6" borderId="2" xfId="0" applyNumberFormat="1" applyFont="1" applyFill="1" applyBorder="1"/>
    <xf numFmtId="3" fontId="3" fillId="6" borderId="2" xfId="0" applyNumberFormat="1" applyFont="1" applyFill="1" applyBorder="1" applyAlignment="1">
      <alignment wrapText="1"/>
    </xf>
    <xf numFmtId="0" fontId="0" fillId="2" borderId="2" xfId="0" applyFill="1" applyBorder="1"/>
    <xf numFmtId="3" fontId="0" fillId="2" borderId="2" xfId="0" applyNumberFormat="1" applyFill="1" applyBorder="1"/>
    <xf numFmtId="0" fontId="0" fillId="8" borderId="2" xfId="0" applyFill="1" applyBorder="1"/>
    <xf numFmtId="3" fontId="0" fillId="8" borderId="2" xfId="0" applyNumberFormat="1" applyFill="1" applyBorder="1"/>
    <xf numFmtId="4" fontId="0" fillId="0" borderId="0" xfId="0" applyNumberFormat="1"/>
    <xf numFmtId="10" fontId="0" fillId="0" borderId="2" xfId="1" applyNumberFormat="1" applyFont="1" applyBorder="1"/>
    <xf numFmtId="0" fontId="0" fillId="9" borderId="2" xfId="0" applyFill="1" applyBorder="1"/>
    <xf numFmtId="10" fontId="0" fillId="0" borderId="2" xfId="0" applyNumberFormat="1" applyBorder="1"/>
    <xf numFmtId="10" fontId="0" fillId="11" borderId="2" xfId="1" applyNumberFormat="1" applyFont="1" applyFill="1" applyBorder="1"/>
    <xf numFmtId="10" fontId="7" fillId="7" borderId="2" xfId="2" applyNumberFormat="1" applyBorder="1"/>
    <xf numFmtId="0" fontId="0" fillId="11" borderId="2" xfId="0" applyFill="1" applyBorder="1"/>
    <xf numFmtId="10" fontId="8" fillId="11" borderId="2" xfId="0" applyNumberFormat="1" applyFont="1" applyFill="1" applyBorder="1"/>
    <xf numFmtId="0" fontId="0" fillId="0" borderId="0" xfId="0" applyAlignment="1">
      <alignment wrapText="1"/>
    </xf>
    <xf numFmtId="0" fontId="0" fillId="12" borderId="2" xfId="0" applyFill="1" applyBorder="1"/>
    <xf numFmtId="3" fontId="0" fillId="12" borderId="2" xfId="0" applyNumberFormat="1" applyFill="1" applyBorder="1"/>
    <xf numFmtId="0" fontId="0" fillId="2" borderId="3" xfId="0" applyFill="1" applyBorder="1"/>
    <xf numFmtId="4" fontId="0" fillId="0" borderId="5" xfId="0" applyNumberFormat="1" applyBorder="1"/>
    <xf numFmtId="4" fontId="0" fillId="2" borderId="2" xfId="0" applyNumberFormat="1" applyFill="1" applyBorder="1"/>
    <xf numFmtId="9" fontId="0" fillId="0" borderId="2" xfId="1" applyFont="1" applyBorder="1"/>
    <xf numFmtId="0" fontId="3" fillId="13" borderId="6" xfId="0" applyFont="1" applyFill="1" applyBorder="1" applyAlignment="1">
      <alignment horizontal="center"/>
    </xf>
    <xf numFmtId="165" fontId="0" fillId="0" borderId="2" xfId="1" applyNumberFormat="1" applyFont="1" applyBorder="1"/>
    <xf numFmtId="0" fontId="0" fillId="0" borderId="2" xfId="0" applyBorder="1" applyAlignment="1">
      <alignment horizontal="center"/>
    </xf>
    <xf numFmtId="164" fontId="3" fillId="0" borderId="2" xfId="0" applyNumberFormat="1" applyFont="1" applyBorder="1"/>
    <xf numFmtId="0" fontId="3" fillId="0" borderId="0" xfId="0" applyFont="1"/>
    <xf numFmtId="0" fontId="3" fillId="13" borderId="2" xfId="0" applyFont="1" applyFill="1" applyBorder="1"/>
    <xf numFmtId="9" fontId="3" fillId="13" borderId="2" xfId="0" applyNumberFormat="1" applyFont="1" applyFill="1" applyBorder="1"/>
    <xf numFmtId="9" fontId="3" fillId="0" borderId="2" xfId="0" applyNumberFormat="1" applyFont="1" applyBorder="1"/>
    <xf numFmtId="0" fontId="0" fillId="0" borderId="2" xfId="0" applyBorder="1" applyAlignment="1">
      <alignment horizontal="center" wrapText="1"/>
    </xf>
    <xf numFmtId="4" fontId="5" fillId="14" borderId="2" xfId="0" applyNumberFormat="1" applyFont="1" applyFill="1" applyBorder="1"/>
    <xf numFmtId="4" fontId="3" fillId="15" borderId="2" xfId="0" applyNumberFormat="1" applyFont="1" applyFill="1" applyBorder="1"/>
    <xf numFmtId="4" fontId="5" fillId="14" borderId="2" xfId="0" applyNumberFormat="1" applyFont="1" applyFill="1" applyBorder="1" applyAlignment="1">
      <alignment horizontal="right"/>
    </xf>
    <xf numFmtId="9" fontId="3" fillId="15" borderId="2" xfId="1" applyFont="1" applyFill="1" applyBorder="1"/>
    <xf numFmtId="0" fontId="4" fillId="16" borderId="2" xfId="0" applyFont="1" applyFill="1" applyBorder="1"/>
    <xf numFmtId="0" fontId="3" fillId="16" borderId="2" xfId="0" applyFont="1" applyFill="1" applyBorder="1"/>
    <xf numFmtId="0" fontId="11" fillId="16" borderId="2" xfId="0" applyFont="1" applyFill="1" applyBorder="1"/>
    <xf numFmtId="0" fontId="0" fillId="11" borderId="4" xfId="0" applyFill="1" applyBorder="1" applyAlignment="1">
      <alignment horizontal="center" wrapText="1"/>
    </xf>
    <xf numFmtId="0" fontId="0" fillId="11" borderId="0" xfId="0" applyFill="1" applyAlignment="1">
      <alignment horizontal="center" wrapText="1"/>
    </xf>
    <xf numFmtId="0" fontId="3" fillId="13" borderId="6" xfId="0" applyFont="1" applyFill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4" fontId="0" fillId="3" borderId="2" xfId="0" applyNumberFormat="1" applyFill="1" applyBorder="1" applyAlignment="1">
      <alignment horizontal="center"/>
    </xf>
    <xf numFmtId="3" fontId="0" fillId="3" borderId="2" xfId="0" applyNumberFormat="1" applyFill="1" applyBorder="1" applyAlignment="1">
      <alignment horizontal="center" wrapText="1"/>
    </xf>
    <xf numFmtId="4" fontId="0" fillId="8" borderId="2" xfId="0" applyNumberFormat="1" applyFill="1" applyBorder="1"/>
    <xf numFmtId="10" fontId="0" fillId="0" borderId="0" xfId="1" applyNumberFormat="1" applyFont="1"/>
    <xf numFmtId="0" fontId="0" fillId="0" borderId="8" xfId="0" applyBorder="1"/>
    <xf numFmtId="0" fontId="0" fillId="10" borderId="8" xfId="0" applyFill="1" applyBorder="1"/>
    <xf numFmtId="0" fontId="12" fillId="10" borderId="8" xfId="0" applyFont="1" applyFill="1" applyBorder="1"/>
    <xf numFmtId="0" fontId="1" fillId="10" borderId="8" xfId="0" applyFont="1" applyFill="1" applyBorder="1"/>
    <xf numFmtId="0" fontId="0" fillId="0" borderId="10" xfId="0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8" xfId="0" applyNumberFormat="1" applyBorder="1"/>
    <xf numFmtId="3" fontId="0" fillId="0" borderId="2" xfId="0" applyNumberFormat="1" applyFill="1" applyBorder="1"/>
    <xf numFmtId="164" fontId="0" fillId="0" borderId="2" xfId="1" applyNumberFormat="1" applyFont="1" applyFill="1" applyBorder="1"/>
    <xf numFmtId="0" fontId="0" fillId="0" borderId="2" xfId="0" applyNumberFormat="1" applyBorder="1"/>
    <xf numFmtId="0" fontId="3" fillId="9" borderId="2" xfId="0" applyFont="1" applyFill="1" applyBorder="1"/>
    <xf numFmtId="10" fontId="3" fillId="9" borderId="2" xfId="0" applyNumberFormat="1" applyFont="1" applyFill="1" applyBorder="1"/>
    <xf numFmtId="0" fontId="0" fillId="16" borderId="0" xfId="0" applyFill="1"/>
    <xf numFmtId="3" fontId="0" fillId="16" borderId="0" xfId="0" applyNumberFormat="1" applyFill="1"/>
    <xf numFmtId="0" fontId="0" fillId="3" borderId="10" xfId="0" applyFill="1" applyBorder="1"/>
    <xf numFmtId="3" fontId="0" fillId="3" borderId="11" xfId="0" applyNumberFormat="1" applyFill="1" applyBorder="1"/>
    <xf numFmtId="3" fontId="0" fillId="3" borderId="12" xfId="0" applyNumberFormat="1" applyFill="1" applyBorder="1"/>
    <xf numFmtId="0" fontId="0" fillId="3" borderId="0" xfId="0" applyFill="1"/>
    <xf numFmtId="3" fontId="0" fillId="3" borderId="0" xfId="0" applyNumberFormat="1" applyFill="1"/>
    <xf numFmtId="3" fontId="0" fillId="0" borderId="11" xfId="0" applyNumberFormat="1" applyFill="1" applyBorder="1"/>
    <xf numFmtId="3" fontId="0" fillId="0" borderId="9" xfId="0" applyNumberFormat="1" applyFill="1" applyBorder="1"/>
    <xf numFmtId="3" fontId="0" fillId="0" borderId="0" xfId="0" applyNumberFormat="1" applyFill="1" applyBorder="1" applyAlignment="1">
      <alignment wrapText="1"/>
    </xf>
    <xf numFmtId="164" fontId="0" fillId="0" borderId="2" xfId="0" applyNumberFormat="1" applyBorder="1"/>
    <xf numFmtId="14" fontId="1" fillId="2" borderId="13" xfId="0" applyNumberFormat="1" applyFont="1" applyFill="1" applyBorder="1"/>
    <xf numFmtId="0" fontId="0" fillId="17" borderId="2" xfId="0" applyFill="1" applyBorder="1"/>
    <xf numFmtId="3" fontId="0" fillId="17" borderId="2" xfId="0" applyNumberFormat="1" applyFill="1" applyBorder="1"/>
    <xf numFmtId="4" fontId="0" fillId="17" borderId="2" xfId="0" applyNumberFormat="1" applyFill="1" applyBorder="1"/>
    <xf numFmtId="0" fontId="0" fillId="17" borderId="2" xfId="0" applyNumberFormat="1" applyFill="1" applyBorder="1"/>
    <xf numFmtId="14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79" fontId="0" fillId="0" borderId="0" xfId="1" applyNumberFormat="1" applyFont="1"/>
    <xf numFmtId="4" fontId="5" fillId="14" borderId="2" xfId="0" applyNumberFormat="1" applyFont="1" applyFill="1" applyBorder="1" applyAlignment="1">
      <alignment horizontal="left"/>
    </xf>
    <xf numFmtId="10" fontId="0" fillId="0" borderId="0" xfId="0" applyNumberFormat="1"/>
    <xf numFmtId="0" fontId="0" fillId="0" borderId="2" xfId="0" applyFill="1" applyBorder="1"/>
    <xf numFmtId="179" fontId="0" fillId="8" borderId="0" xfId="1" applyNumberFormat="1" applyFont="1" applyFill="1"/>
  </cellXfs>
  <cellStyles count="3">
    <cellStyle name="Normální" xfId="0" builtinId="0"/>
    <cellStyle name="Procenta" xfId="1" builtinId="5"/>
    <cellStyle name="Špatně" xfId="2" builtinId="27"/>
  </cellStyles>
  <dxfs count="0"/>
  <tableStyles count="0" defaultTableStyle="TableStyleMedium2" defaultPivotStyle="PivotStyleLight16"/>
  <colors>
    <mruColors>
      <color rgb="FF66FF66"/>
      <color rgb="FF00FFFF"/>
      <color rgb="FF009999"/>
      <color rgb="FFF29B74"/>
      <color rgb="FFFFFFFF"/>
      <color rgb="FF876F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381000</xdr:colOff>
      <xdr:row>21</xdr:row>
      <xdr:rowOff>85725</xdr:rowOff>
    </xdr:from>
    <xdr:to>
      <xdr:col>18</xdr:col>
      <xdr:colOff>92455</xdr:colOff>
      <xdr:row>36</xdr:row>
      <xdr:rowOff>9525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7D38637-7975-B1DE-4B81-A8372ABB56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68350" y="3981450"/>
          <a:ext cx="5559805" cy="2352675"/>
        </a:xfrm>
        <a:prstGeom prst="rect">
          <a:avLst/>
        </a:prstGeom>
      </xdr:spPr>
    </xdr:pic>
    <xdr:clientData/>
  </xdr:twoCellAnchor>
  <xdr:twoCellAnchor editAs="oneCell">
    <xdr:from>
      <xdr:col>5</xdr:col>
      <xdr:colOff>457200</xdr:colOff>
      <xdr:row>77</xdr:row>
      <xdr:rowOff>95250</xdr:rowOff>
    </xdr:from>
    <xdr:to>
      <xdr:col>12</xdr:col>
      <xdr:colOff>942194</xdr:colOff>
      <xdr:row>90</xdr:row>
      <xdr:rowOff>104493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D37B68F3-7300-4DF2-FA62-423B9F3EE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91525" y="13744575"/>
          <a:ext cx="6247619" cy="2257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152400</xdr:colOff>
      <xdr:row>18</xdr:row>
      <xdr:rowOff>114300</xdr:rowOff>
    </xdr:from>
    <xdr:to>
      <xdr:col>18</xdr:col>
      <xdr:colOff>446590</xdr:colOff>
      <xdr:row>27</xdr:row>
      <xdr:rowOff>152400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3D6416E-B9DA-48FD-920A-656BBE825D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58725" y="3524250"/>
          <a:ext cx="7504615" cy="1495425"/>
        </a:xfrm>
        <a:prstGeom prst="rect">
          <a:avLst/>
        </a:prstGeom>
      </xdr:spPr>
    </xdr:pic>
    <xdr:clientData/>
  </xdr:twoCellAnchor>
  <xdr:twoCellAnchor editAs="oneCell">
    <xdr:from>
      <xdr:col>5</xdr:col>
      <xdr:colOff>57150</xdr:colOff>
      <xdr:row>83</xdr:row>
      <xdr:rowOff>28575</xdr:rowOff>
    </xdr:from>
    <xdr:to>
      <xdr:col>12</xdr:col>
      <xdr:colOff>989670</xdr:colOff>
      <xdr:row>92</xdr:row>
      <xdr:rowOff>85514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5010068E-B495-A478-5F49-BF922EB298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72300" y="14649450"/>
          <a:ext cx="7438095" cy="16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B18BC-63D0-44B5-8D9A-6F20B3A7D3FB}">
  <dimension ref="A1:O94"/>
  <sheetViews>
    <sheetView showGridLines="0" tabSelected="1" topLeftCell="A36" zoomScaleNormal="100" workbookViewId="0">
      <selection activeCell="B89" sqref="B89"/>
    </sheetView>
  </sheetViews>
  <sheetFormatPr defaultRowHeight="12.75" x14ac:dyDescent="0.2"/>
  <cols>
    <col min="1" max="1" width="48" customWidth="1"/>
    <col min="2" max="2" width="15.85546875" customWidth="1"/>
    <col min="3" max="3" width="23.42578125" bestFit="1" customWidth="1"/>
    <col min="4" max="5" width="15.85546875" bestFit="1" customWidth="1"/>
    <col min="6" max="8" width="13.85546875" bestFit="1" customWidth="1"/>
    <col min="9" max="9" width="16.42578125" bestFit="1" customWidth="1"/>
    <col min="10" max="10" width="10.140625" bestFit="1" customWidth="1"/>
    <col min="13" max="13" width="14.7109375" bestFit="1" customWidth="1"/>
    <col min="14" max="14" width="9.28515625" bestFit="1" customWidth="1"/>
    <col min="15" max="15" width="27.140625" bestFit="1" customWidth="1"/>
  </cols>
  <sheetData>
    <row r="1" spans="1:15" x14ac:dyDescent="0.2">
      <c r="A1" s="6" t="s">
        <v>46</v>
      </c>
      <c r="B1" s="7">
        <v>43829</v>
      </c>
      <c r="C1" s="7">
        <v>44195</v>
      </c>
      <c r="D1" s="7">
        <v>44560</v>
      </c>
      <c r="E1" s="7">
        <v>44925</v>
      </c>
      <c r="F1" s="7">
        <f>F63</f>
        <v>45290</v>
      </c>
      <c r="G1" s="7">
        <f t="shared" ref="G1:I1" si="0">G63</f>
        <v>45656</v>
      </c>
      <c r="H1" s="7">
        <f t="shared" si="0"/>
        <v>46021</v>
      </c>
      <c r="I1" s="7">
        <f t="shared" si="0"/>
        <v>46386</v>
      </c>
    </row>
    <row r="2" spans="1:15" x14ac:dyDescent="0.2">
      <c r="A2" s="16" t="s">
        <v>0</v>
      </c>
      <c r="B2" s="3">
        <v>155900000</v>
      </c>
      <c r="C2" s="3">
        <v>127144000</v>
      </c>
      <c r="D2" s="3">
        <v>136341000</v>
      </c>
      <c r="E2" s="3">
        <v>158057000</v>
      </c>
      <c r="F2" s="3">
        <f>E2*(100%+F3)</f>
        <v>169911275</v>
      </c>
      <c r="G2" s="3">
        <f t="shared" ref="G2:I2" si="1">F2*(100%+G3)</f>
        <v>187276910.25725806</v>
      </c>
      <c r="H2" s="3">
        <f t="shared" si="1"/>
        <v>208281966.15914717</v>
      </c>
      <c r="I2" s="3">
        <f t="shared" si="1"/>
        <v>228371772.08669436</v>
      </c>
    </row>
    <row r="3" spans="1:15" x14ac:dyDescent="0.2">
      <c r="A3" s="17" t="s">
        <v>212</v>
      </c>
      <c r="B3" s="3"/>
      <c r="C3" s="14">
        <f>C2/B2-1</f>
        <v>-0.1844515715202053</v>
      </c>
      <c r="D3" s="14">
        <f>D2/C2-1</f>
        <v>7.2335304851192328E-2</v>
      </c>
      <c r="E3" s="14">
        <f>E2/D2-1</f>
        <v>0.15927710666637318</v>
      </c>
      <c r="F3" s="36">
        <f>F64</f>
        <v>7.4999999999999997E-2</v>
      </c>
      <c r="G3" s="36">
        <f t="shared" ref="G3:I3" si="2">G64</f>
        <v>0.10220413717252184</v>
      </c>
      <c r="H3" s="36">
        <f t="shared" si="2"/>
        <v>0.11216041461296501</v>
      </c>
      <c r="I3" s="36">
        <f t="shared" si="2"/>
        <v>9.6454850595162289E-2</v>
      </c>
    </row>
    <row r="4" spans="1:15" x14ac:dyDescent="0.2">
      <c r="A4" s="2" t="s">
        <v>1</v>
      </c>
      <c r="B4" s="3">
        <v>155900000</v>
      </c>
      <c r="C4" s="3">
        <v>127144000</v>
      </c>
      <c r="D4" s="3">
        <v>136341000</v>
      </c>
      <c r="E4" s="3">
        <v>158057000</v>
      </c>
      <c r="F4" s="11">
        <f>F2</f>
        <v>169911275</v>
      </c>
      <c r="G4" s="11">
        <f t="shared" ref="G4:I4" si="3">G2</f>
        <v>187276910.25725806</v>
      </c>
      <c r="H4" s="11">
        <f t="shared" si="3"/>
        <v>208281966.15914717</v>
      </c>
      <c r="I4" s="11">
        <f t="shared" si="3"/>
        <v>228371772.08669436</v>
      </c>
    </row>
    <row r="5" spans="1:15" x14ac:dyDescent="0.2">
      <c r="A5" s="16" t="s">
        <v>2</v>
      </c>
      <c r="B5" s="3">
        <v>134693000</v>
      </c>
      <c r="C5" s="3">
        <v>112752000</v>
      </c>
      <c r="D5" s="3">
        <v>114651000</v>
      </c>
      <c r="E5" s="3">
        <v>134397000</v>
      </c>
      <c r="F5" s="3">
        <f>F2*F65</f>
        <v>146011910.24013117</v>
      </c>
      <c r="G5" s="3">
        <f>G2*G65</f>
        <v>159220509.9707295</v>
      </c>
      <c r="H5" s="3">
        <f>H2*H65</f>
        <v>177722619.09854347</v>
      </c>
      <c r="I5" s="3">
        <f>I2*I65</f>
        <v>195091052.12869486</v>
      </c>
    </row>
    <row r="6" spans="1:15" ht="15" x14ac:dyDescent="0.25">
      <c r="A6" s="2" t="s">
        <v>3</v>
      </c>
      <c r="B6" s="3">
        <f>B4-B5</f>
        <v>21207000</v>
      </c>
      <c r="C6" s="3">
        <f>C4-C5</f>
        <v>14392000</v>
      </c>
      <c r="D6" s="3">
        <f t="shared" ref="D6:I6" si="4">D4-D5</f>
        <v>21690000</v>
      </c>
      <c r="E6" s="3">
        <f>E4-E5</f>
        <v>23660000</v>
      </c>
      <c r="F6" s="3">
        <f t="shared" si="4"/>
        <v>23899364.75986883</v>
      </c>
      <c r="G6" s="3">
        <f t="shared" si="4"/>
        <v>28056400.286528558</v>
      </c>
      <c r="H6" s="3">
        <f t="shared" si="4"/>
        <v>30559347.060603708</v>
      </c>
      <c r="I6" s="3">
        <f t="shared" si="4"/>
        <v>33280719.957999498</v>
      </c>
      <c r="M6" s="52" t="s">
        <v>244</v>
      </c>
    </row>
    <row r="7" spans="1:15" ht="15" x14ac:dyDescent="0.25">
      <c r="A7" s="16" t="s">
        <v>4</v>
      </c>
      <c r="B7" s="3">
        <v>11161000</v>
      </c>
      <c r="C7" s="3">
        <v>10193000</v>
      </c>
      <c r="D7" s="3">
        <v>11915000</v>
      </c>
      <c r="E7" s="3">
        <v>10888000</v>
      </c>
      <c r="F7" s="3">
        <f>F2*F66</f>
        <v>13391650.977416016</v>
      </c>
      <c r="G7" s="3">
        <f>G2*G66</f>
        <v>14675846.876889853</v>
      </c>
      <c r="H7" s="3">
        <f>H2*H66</f>
        <v>15695192.775640089</v>
      </c>
      <c r="I7" s="3">
        <f>I2*I66</f>
        <v>17701513.191357408</v>
      </c>
      <c r="M7" s="53" t="s">
        <v>245</v>
      </c>
      <c r="N7" s="54" t="s">
        <v>246</v>
      </c>
    </row>
    <row r="8" spans="1:15" ht="15" x14ac:dyDescent="0.25">
      <c r="A8" s="16" t="s">
        <v>5</v>
      </c>
      <c r="B8" s="3">
        <v>11161000</v>
      </c>
      <c r="C8" s="3">
        <v>10193000</v>
      </c>
      <c r="D8" s="3">
        <v>11915000</v>
      </c>
      <c r="E8" s="3">
        <v>10888000</v>
      </c>
      <c r="F8" s="3">
        <f>F7</f>
        <v>13391650.977416016</v>
      </c>
      <c r="G8" s="3">
        <f>G7</f>
        <v>14675846.876889853</v>
      </c>
      <c r="H8" s="3">
        <f>H7</f>
        <v>15695192.775640089</v>
      </c>
      <c r="I8" s="3">
        <f>I7</f>
        <v>17701513.191357408</v>
      </c>
      <c r="M8" s="9" t="s">
        <v>243</v>
      </c>
      <c r="N8" s="51">
        <f>N20</f>
        <v>9.4688400000000006E-2</v>
      </c>
    </row>
    <row r="9" spans="1:15" ht="15" x14ac:dyDescent="0.25">
      <c r="A9" s="2" t="s">
        <v>6</v>
      </c>
      <c r="B9" s="3">
        <v>9472000</v>
      </c>
      <c r="C9" s="3">
        <v>8607000</v>
      </c>
      <c r="D9" s="3">
        <v>0</v>
      </c>
      <c r="E9" s="3">
        <v>0</v>
      </c>
      <c r="F9" s="33"/>
      <c r="G9" s="33"/>
      <c r="H9" s="33"/>
      <c r="I9" s="33"/>
      <c r="M9" s="9" t="s">
        <v>247</v>
      </c>
      <c r="N9" s="55">
        <v>0.02</v>
      </c>
    </row>
    <row r="10" spans="1:15" x14ac:dyDescent="0.2">
      <c r="A10" s="35" t="s">
        <v>7</v>
      </c>
      <c r="B10" s="3">
        <f>B6-B7</f>
        <v>10046000</v>
      </c>
      <c r="C10" s="3">
        <f>C6-C7</f>
        <v>4199000</v>
      </c>
      <c r="D10" s="3">
        <f>D6-D7</f>
        <v>9775000</v>
      </c>
      <c r="E10" s="3">
        <f t="shared" ref="D10:I10" si="5">E6-E7</f>
        <v>12772000</v>
      </c>
      <c r="F10" s="3">
        <f t="shared" si="5"/>
        <v>10507713.782452814</v>
      </c>
      <c r="G10" s="3">
        <f t="shared" si="5"/>
        <v>13380553.409638705</v>
      </c>
      <c r="H10" s="3">
        <f t="shared" si="5"/>
        <v>14864154.284963619</v>
      </c>
      <c r="I10" s="3">
        <f t="shared" si="5"/>
        <v>15579206.76664209</v>
      </c>
    </row>
    <row r="11" spans="1:15" x14ac:dyDescent="0.2">
      <c r="A11" s="16" t="s">
        <v>213</v>
      </c>
      <c r="B11" s="15">
        <f>B10/B2</f>
        <v>6.4438742783835795E-2</v>
      </c>
      <c r="C11" s="15">
        <f>C10/C2</f>
        <v>3.3025545837790223E-2</v>
      </c>
      <c r="D11" s="15">
        <f t="shared" ref="D11" si="6">D10/D2</f>
        <v>7.1695234742300551E-2</v>
      </c>
      <c r="E11" s="15">
        <f>E10/E2</f>
        <v>8.0806291401203365E-2</v>
      </c>
      <c r="F11" s="15">
        <f>F10/F2</f>
        <v>6.1842357327098009E-2</v>
      </c>
      <c r="G11" s="15">
        <f t="shared" ref="F11:I11" si="7">G10/G2</f>
        <v>7.1447961156867343E-2</v>
      </c>
      <c r="H11" s="15">
        <f t="shared" si="7"/>
        <v>7.1365536628389598E-2</v>
      </c>
      <c r="I11" s="15">
        <f t="shared" si="7"/>
        <v>6.8218618370784981E-2</v>
      </c>
    </row>
    <row r="12" spans="1:15" x14ac:dyDescent="0.2">
      <c r="A12" s="2" t="s">
        <v>8</v>
      </c>
      <c r="B12" s="3">
        <v>-9712000</v>
      </c>
      <c r="C12" s="3">
        <v>-9806000</v>
      </c>
      <c r="D12" s="3">
        <v>-6794000</v>
      </c>
      <c r="E12" s="3">
        <v>-7139000</v>
      </c>
      <c r="F12" s="33"/>
      <c r="G12" s="33"/>
      <c r="H12" s="33"/>
      <c r="I12" s="33"/>
    </row>
    <row r="13" spans="1:15" x14ac:dyDescent="0.2">
      <c r="A13" s="12" t="s">
        <v>9</v>
      </c>
      <c r="B13" s="3">
        <v>809000</v>
      </c>
      <c r="C13" s="3">
        <v>452000</v>
      </c>
      <c r="D13" s="3">
        <v>261000</v>
      </c>
      <c r="E13" s="3">
        <v>639000</v>
      </c>
      <c r="F13" s="3">
        <f>F2*F67</f>
        <v>538742.62428127625</v>
      </c>
      <c r="G13" s="3">
        <f>G2*G67</f>
        <v>569814.48158723279</v>
      </c>
      <c r="H13" s="3">
        <f>H2*H67</f>
        <v>712060.85666100681</v>
      </c>
      <c r="I13" s="3">
        <f>I2*I67</f>
        <v>733232.85826081864</v>
      </c>
    </row>
    <row r="14" spans="1:15" x14ac:dyDescent="0.2">
      <c r="A14" s="12" t="s">
        <v>10</v>
      </c>
      <c r="B14" s="3">
        <v>10521000</v>
      </c>
      <c r="C14" s="3">
        <v>10258000</v>
      </c>
      <c r="D14" s="3">
        <v>7055000</v>
      </c>
      <c r="E14" s="3">
        <v>7778000</v>
      </c>
      <c r="F14" s="3">
        <f>F2*F68</f>
        <v>10287307.886873087</v>
      </c>
      <c r="G14" s="3">
        <f>G2*G68</f>
        <v>10081773.203599181</v>
      </c>
      <c r="H14" s="3">
        <f>H2*H68</f>
        <v>11357530.842173573</v>
      </c>
      <c r="I14" s="3">
        <f>I2*I68</f>
        <v>12857960.836654494</v>
      </c>
    </row>
    <row r="15" spans="1:15" x14ac:dyDescent="0.2">
      <c r="A15" s="12" t="s">
        <v>11</v>
      </c>
      <c r="B15" s="3">
        <v>0</v>
      </c>
      <c r="C15" s="3">
        <v>4491000</v>
      </c>
      <c r="D15" s="3">
        <v>14799000</v>
      </c>
      <c r="E15" s="3">
        <v>-8649000</v>
      </c>
      <c r="F15" s="3">
        <f>F2*F69</f>
        <v>3787512.6547919689</v>
      </c>
      <c r="G15" s="3">
        <f>G2*G69</f>
        <v>5232771.5302052647</v>
      </c>
      <c r="H15" s="3">
        <f>H2*H69</f>
        <v>4374801.5960339382</v>
      </c>
      <c r="I15" s="3">
        <f>I2*I69</f>
        <v>5422817.6343309339</v>
      </c>
    </row>
    <row r="16" spans="1:15" ht="15" x14ac:dyDescent="0.25">
      <c r="A16" s="2" t="s">
        <v>12</v>
      </c>
      <c r="B16" s="3">
        <v>-974000</v>
      </c>
      <c r="C16" s="3">
        <v>0</v>
      </c>
      <c r="D16" s="3">
        <v>9159000</v>
      </c>
      <c r="E16" s="3">
        <v>-7518000</v>
      </c>
      <c r="M16" s="66" t="s">
        <v>237</v>
      </c>
      <c r="N16" s="67"/>
      <c r="O16" s="48" t="s">
        <v>238</v>
      </c>
    </row>
    <row r="17" spans="1:15" ht="25.5" x14ac:dyDescent="0.2">
      <c r="A17" s="2" t="s">
        <v>13</v>
      </c>
      <c r="B17" s="3">
        <v>144000</v>
      </c>
      <c r="C17" s="3">
        <v>3488000</v>
      </c>
      <c r="D17" s="3">
        <v>695000</v>
      </c>
      <c r="E17" s="3">
        <v>-3030000</v>
      </c>
      <c r="M17" s="2" t="s">
        <v>239</v>
      </c>
      <c r="N17" s="49">
        <v>3.7429999999999998E-2</v>
      </c>
      <c r="O17" s="56" t="s">
        <v>248</v>
      </c>
    </row>
    <row r="18" spans="1:15" ht="25.5" x14ac:dyDescent="0.2">
      <c r="A18" s="2" t="s">
        <v>14</v>
      </c>
      <c r="B18" s="3">
        <v>-55000</v>
      </c>
      <c r="C18" s="3">
        <v>-1000</v>
      </c>
      <c r="D18" s="3">
        <v>-1702000</v>
      </c>
      <c r="E18" s="3">
        <f>-121000</f>
        <v>-121000</v>
      </c>
      <c r="M18" s="2" t="s">
        <v>240</v>
      </c>
      <c r="N18" s="2">
        <v>1.52</v>
      </c>
      <c r="O18" s="56" t="s">
        <v>249</v>
      </c>
    </row>
    <row r="19" spans="1:15" x14ac:dyDescent="0.2">
      <c r="A19" s="2" t="s">
        <v>15</v>
      </c>
      <c r="B19" s="3">
        <v>55000</v>
      </c>
      <c r="C19" s="3">
        <v>1000</v>
      </c>
      <c r="D19" s="3">
        <v>1702000</v>
      </c>
      <c r="E19" s="3">
        <v>121000</v>
      </c>
      <c r="M19" s="2" t="s">
        <v>241</v>
      </c>
      <c r="N19" s="36">
        <v>7.51E-2</v>
      </c>
      <c r="O19" s="50" t="s">
        <v>242</v>
      </c>
    </row>
    <row r="20" spans="1:15" ht="15" x14ac:dyDescent="0.25">
      <c r="A20" s="35" t="s">
        <v>16</v>
      </c>
      <c r="B20" s="3">
        <v>-1115000</v>
      </c>
      <c r="C20" s="3">
        <v>679000</v>
      </c>
      <c r="D20" s="3">
        <v>6647000</v>
      </c>
      <c r="E20" s="3">
        <v>2020000</v>
      </c>
      <c r="F20" s="1"/>
      <c r="G20" s="1"/>
      <c r="H20" s="1"/>
      <c r="I20" s="1"/>
      <c r="M20" s="9" t="s">
        <v>243</v>
      </c>
      <c r="N20" s="51">
        <f>N17+(N19-N17)*N18</f>
        <v>9.4688400000000006E-2</v>
      </c>
      <c r="O20" s="50"/>
    </row>
    <row r="21" spans="1:15" x14ac:dyDescent="0.2">
      <c r="A21" s="29" t="s">
        <v>17</v>
      </c>
      <c r="B21" s="30">
        <v>0</v>
      </c>
      <c r="C21" s="30">
        <f>C10+C12+C15</f>
        <v>-1116000</v>
      </c>
      <c r="D21" s="30">
        <f t="shared" ref="D21:I21" si="8">D10+D12+D15</f>
        <v>17780000</v>
      </c>
      <c r="E21" s="30">
        <f t="shared" si="8"/>
        <v>-3016000</v>
      </c>
      <c r="F21" s="30">
        <f>F10+F12+F15</f>
        <v>14295226.437244784</v>
      </c>
      <c r="G21" s="30">
        <f t="shared" si="8"/>
        <v>18613324.939843968</v>
      </c>
      <c r="H21" s="30">
        <f t="shared" si="8"/>
        <v>19238955.880997557</v>
      </c>
      <c r="I21" s="30">
        <f t="shared" si="8"/>
        <v>21002024.400973022</v>
      </c>
    </row>
    <row r="22" spans="1:15" x14ac:dyDescent="0.2">
      <c r="A22" s="29" t="s">
        <v>18</v>
      </c>
      <c r="B22" s="30">
        <v>-724000</v>
      </c>
      <c r="C22" s="30">
        <v>-160000</v>
      </c>
      <c r="D22" s="30">
        <v>-130000</v>
      </c>
      <c r="E22" s="30">
        <v>-864000</v>
      </c>
      <c r="F22" s="30">
        <f>F21*F70</f>
        <v>2001331.70121427</v>
      </c>
      <c r="G22" s="30">
        <f>G21*G70</f>
        <v>2600657.2505274755</v>
      </c>
      <c r="H22" s="30">
        <f>H21*H70</f>
        <v>3630983.1243952569</v>
      </c>
      <c r="I22" s="30">
        <f>I21*I70</f>
        <v>3279472.8740934432</v>
      </c>
    </row>
    <row r="23" spans="1:15" x14ac:dyDescent="0.2">
      <c r="A23" s="29" t="s">
        <v>19</v>
      </c>
      <c r="B23" s="30">
        <v>47000</v>
      </c>
      <c r="C23" s="30">
        <v>1279000</v>
      </c>
      <c r="D23" s="30">
        <v>17937000</v>
      </c>
      <c r="E23" s="30">
        <v>1981000</v>
      </c>
      <c r="F23" s="30">
        <f>F21-F22-F45</f>
        <v>8580708.0705906041</v>
      </c>
      <c r="G23" s="30">
        <f t="shared" ref="G23:I23" si="9">G21-G22-G45</f>
        <v>9887747.9730988797</v>
      </c>
      <c r="H23" s="30">
        <f t="shared" si="9"/>
        <v>6569305.1586794239</v>
      </c>
      <c r="I23" s="30">
        <f t="shared" si="9"/>
        <v>12845576.251712088</v>
      </c>
    </row>
    <row r="24" spans="1:15" x14ac:dyDescent="0.2">
      <c r="A24" s="44" t="s">
        <v>212</v>
      </c>
      <c r="B24" s="18">
        <f>B23/C23</f>
        <v>3.6747458952306487E-2</v>
      </c>
      <c r="C24" s="18">
        <f t="shared" ref="C24:E24" si="10">C23/D23</f>
        <v>7.1305123487762731E-2</v>
      </c>
      <c r="D24" s="18">
        <f>D23/E23</f>
        <v>9.0545179202423025</v>
      </c>
      <c r="E24" s="18">
        <f t="shared" si="10"/>
        <v>0.23086672844513276</v>
      </c>
      <c r="F24" s="47">
        <f>F23/G23</f>
        <v>0.86781217461607274</v>
      </c>
      <c r="G24" s="47">
        <f t="shared" ref="G24" si="11">G23/H23</f>
        <v>1.5051436543536267</v>
      </c>
      <c r="H24" s="47">
        <f t="shared" ref="H24" si="12">H23/I23</f>
        <v>0.51140603036814736</v>
      </c>
      <c r="I24" s="47" t="s">
        <v>235</v>
      </c>
    </row>
    <row r="25" spans="1:15" x14ac:dyDescent="0.2">
      <c r="A25" s="42" t="s">
        <v>20</v>
      </c>
      <c r="B25" s="43">
        <v>47000</v>
      </c>
      <c r="C25" s="43">
        <v>1279000</v>
      </c>
      <c r="D25" s="43">
        <v>17937000</v>
      </c>
      <c r="E25" s="43">
        <v>1981000</v>
      </c>
    </row>
    <row r="26" spans="1:15" x14ac:dyDescent="0.2">
      <c r="A26" s="2" t="s">
        <v>21</v>
      </c>
      <c r="B26" s="3">
        <v>84000</v>
      </c>
      <c r="C26" s="3">
        <v>1276000</v>
      </c>
      <c r="D26" s="3">
        <v>17910000</v>
      </c>
      <c r="E26" s="3">
        <v>2152000</v>
      </c>
    </row>
    <row r="27" spans="1:15" x14ac:dyDescent="0.2">
      <c r="A27" s="2" t="s">
        <v>22</v>
      </c>
      <c r="B27" s="3">
        <v>84000</v>
      </c>
      <c r="C27" s="3">
        <v>1276000</v>
      </c>
      <c r="D27" s="3">
        <v>17910000</v>
      </c>
      <c r="E27" s="3">
        <v>2152000</v>
      </c>
    </row>
    <row r="28" spans="1:15" x14ac:dyDescent="0.2">
      <c r="A28" s="12" t="s">
        <v>23</v>
      </c>
      <c r="B28" s="3">
        <v>-37000</v>
      </c>
      <c r="C28" s="3">
        <v>-3000</v>
      </c>
      <c r="D28" s="3">
        <v>27000</v>
      </c>
      <c r="E28" s="3">
        <v>171000</v>
      </c>
    </row>
    <row r="29" spans="1:15" x14ac:dyDescent="0.2">
      <c r="A29" s="2" t="s">
        <v>24</v>
      </c>
      <c r="B29" s="3">
        <v>47000</v>
      </c>
      <c r="C29" s="3">
        <v>-1279000</v>
      </c>
      <c r="D29" s="3">
        <v>17937000</v>
      </c>
      <c r="E29" s="3">
        <v>-1981000</v>
      </c>
    </row>
    <row r="30" spans="1:15" x14ac:dyDescent="0.2">
      <c r="A30" s="2" t="s">
        <v>25</v>
      </c>
      <c r="B30" s="3">
        <v>1</v>
      </c>
      <c r="C30" s="3">
        <v>0</v>
      </c>
      <c r="D30" s="3">
        <v>0</v>
      </c>
      <c r="E30" s="3">
        <v>0</v>
      </c>
    </row>
    <row r="31" spans="1:15" x14ac:dyDescent="0.2">
      <c r="A31" s="2" t="s">
        <v>26</v>
      </c>
      <c r="B31" s="3">
        <v>1</v>
      </c>
      <c r="C31" s="3">
        <v>0</v>
      </c>
      <c r="D31" s="3">
        <v>0</v>
      </c>
      <c r="E31" s="3">
        <v>0</v>
      </c>
    </row>
    <row r="32" spans="1:15" x14ac:dyDescent="0.2">
      <c r="A32" s="2" t="s">
        <v>27</v>
      </c>
      <c r="B32" s="3">
        <v>3972000</v>
      </c>
      <c r="C32" s="3">
        <v>3973000</v>
      </c>
      <c r="D32" s="3">
        <v>3991000</v>
      </c>
      <c r="E32" s="3">
        <v>0</v>
      </c>
    </row>
    <row r="33" spans="1:9" x14ac:dyDescent="0.2">
      <c r="A33" s="2" t="s">
        <v>28</v>
      </c>
      <c r="B33" s="3">
        <v>4004000</v>
      </c>
      <c r="C33" s="3">
        <v>3973000</v>
      </c>
      <c r="D33" s="3">
        <v>4034000</v>
      </c>
      <c r="E33" s="3">
        <v>0</v>
      </c>
    </row>
    <row r="34" spans="1:9" x14ac:dyDescent="0.2">
      <c r="A34" s="2" t="s">
        <v>29</v>
      </c>
      <c r="B34" s="3">
        <v>574000</v>
      </c>
      <c r="C34" s="3">
        <v>4408000</v>
      </c>
      <c r="D34" s="3">
        <v>4523000</v>
      </c>
      <c r="E34" s="3">
        <v>6276000</v>
      </c>
    </row>
    <row r="35" spans="1:9" x14ac:dyDescent="0.2">
      <c r="A35" s="2" t="s">
        <v>30</v>
      </c>
      <c r="B35" s="3">
        <v>145854000</v>
      </c>
      <c r="C35" s="3">
        <v>122945000</v>
      </c>
      <c r="D35" s="3">
        <v>126566000</v>
      </c>
      <c r="E35" s="3">
        <v>145285000</v>
      </c>
    </row>
    <row r="36" spans="1:9" x14ac:dyDescent="0.2">
      <c r="A36" s="2" t="s">
        <v>31</v>
      </c>
      <c r="B36" s="3">
        <v>47000</v>
      </c>
      <c r="C36" s="3">
        <v>-1279000</v>
      </c>
      <c r="D36" s="3">
        <v>17937000</v>
      </c>
      <c r="E36" s="3">
        <v>-1981000</v>
      </c>
    </row>
    <row r="37" spans="1:9" x14ac:dyDescent="0.2">
      <c r="A37" s="2" t="s">
        <v>32</v>
      </c>
      <c r="B37" s="3">
        <v>-17970</v>
      </c>
      <c r="C37" s="3">
        <v>-1515520</v>
      </c>
      <c r="D37" s="3">
        <v>12493390</v>
      </c>
      <c r="E37" s="3">
        <v>3473246</v>
      </c>
    </row>
    <row r="38" spans="1:9" x14ac:dyDescent="0.2">
      <c r="A38" s="2" t="s">
        <v>33</v>
      </c>
      <c r="B38" s="3">
        <v>809000</v>
      </c>
      <c r="C38" s="3">
        <v>452000</v>
      </c>
      <c r="D38" s="3">
        <v>261000</v>
      </c>
      <c r="E38" s="3">
        <v>639000</v>
      </c>
    </row>
    <row r="39" spans="1:9" x14ac:dyDescent="0.2">
      <c r="A39" s="2" t="s">
        <v>34</v>
      </c>
      <c r="B39" s="3">
        <v>10521000</v>
      </c>
      <c r="C39" s="3">
        <v>10258000</v>
      </c>
      <c r="D39" s="3">
        <v>7055000</v>
      </c>
      <c r="E39" s="3">
        <v>7778000</v>
      </c>
    </row>
    <row r="40" spans="1:9" x14ac:dyDescent="0.2">
      <c r="A40" s="2" t="s">
        <v>35</v>
      </c>
      <c r="B40" s="3">
        <v>-9712000</v>
      </c>
      <c r="C40" s="3">
        <v>9806000</v>
      </c>
      <c r="D40" s="3">
        <v>6794000</v>
      </c>
      <c r="E40" s="3">
        <v>7139000</v>
      </c>
    </row>
    <row r="41" spans="1:9" x14ac:dyDescent="0.2">
      <c r="A41" s="12" t="s">
        <v>36</v>
      </c>
      <c r="B41" s="13">
        <v>9881000</v>
      </c>
      <c r="C41" s="13">
        <v>9142000</v>
      </c>
      <c r="D41" s="13">
        <v>24835000</v>
      </c>
      <c r="E41" s="13">
        <v>4762000</v>
      </c>
    </row>
    <row r="42" spans="1:9" x14ac:dyDescent="0.2">
      <c r="A42" s="2" t="s">
        <v>37</v>
      </c>
      <c r="B42" s="3">
        <v>0</v>
      </c>
      <c r="C42" s="3">
        <v>0</v>
      </c>
      <c r="D42" s="3">
        <v>0</v>
      </c>
      <c r="E42" s="3">
        <v>11255000</v>
      </c>
    </row>
    <row r="43" spans="1:9" x14ac:dyDescent="0.2">
      <c r="A43" s="2" t="s">
        <v>38</v>
      </c>
      <c r="B43" s="3">
        <v>134693000</v>
      </c>
      <c r="C43" s="3">
        <v>112752000</v>
      </c>
      <c r="D43" s="3">
        <v>114651000</v>
      </c>
      <c r="E43" s="3">
        <v>134397000</v>
      </c>
    </row>
    <row r="44" spans="1:9" x14ac:dyDescent="0.2">
      <c r="A44" s="2" t="s">
        <v>39</v>
      </c>
      <c r="B44" s="3">
        <v>8490000</v>
      </c>
      <c r="C44" s="3">
        <v>7457000</v>
      </c>
      <c r="D44" s="3">
        <v>5960000</v>
      </c>
      <c r="E44" s="3">
        <v>6493000</v>
      </c>
    </row>
    <row r="45" spans="1:9" x14ac:dyDescent="0.2">
      <c r="A45" s="29" t="s">
        <v>231</v>
      </c>
      <c r="B45" s="30">
        <v>47000</v>
      </c>
      <c r="C45" s="30">
        <v>-1279000</v>
      </c>
      <c r="D45" s="30">
        <v>17937000</v>
      </c>
      <c r="E45" s="30">
        <v>-1981000</v>
      </c>
      <c r="F45" s="46">
        <f>F72*F2</f>
        <v>3713186.6654399098</v>
      </c>
      <c r="G45" s="46">
        <f>G72*G2</f>
        <v>6124919.7162176128</v>
      </c>
      <c r="H45" s="46">
        <f>H72*H2</f>
        <v>9038667.5979228765</v>
      </c>
      <c r="I45" s="46">
        <f>I72*I2</f>
        <v>4876975.2751674922</v>
      </c>
    </row>
    <row r="46" spans="1:9" x14ac:dyDescent="0.2">
      <c r="A46" s="2" t="s">
        <v>41</v>
      </c>
      <c r="B46" s="3">
        <v>89000</v>
      </c>
      <c r="C46" s="3">
        <v>324000</v>
      </c>
      <c r="D46" s="3">
        <v>7457000</v>
      </c>
      <c r="E46" s="3">
        <v>-7639000</v>
      </c>
      <c r="F46" s="33"/>
      <c r="G46" s="33"/>
      <c r="H46" s="33"/>
      <c r="I46" s="33"/>
    </row>
    <row r="47" spans="1:9" x14ac:dyDescent="0.2">
      <c r="A47" s="2" t="s">
        <v>42</v>
      </c>
      <c r="B47" s="3">
        <v>89000</v>
      </c>
      <c r="C47" s="3">
        <v>324000</v>
      </c>
      <c r="D47" s="3">
        <v>7457000</v>
      </c>
      <c r="E47" s="3">
        <v>-7639000</v>
      </c>
      <c r="F47" s="33"/>
      <c r="G47" s="33"/>
      <c r="H47" s="33"/>
      <c r="I47" s="33"/>
    </row>
    <row r="48" spans="1:9" x14ac:dyDescent="0.2">
      <c r="A48" s="2" t="s">
        <v>43</v>
      </c>
      <c r="B48" s="3">
        <v>18282000</v>
      </c>
      <c r="C48" s="3">
        <v>16275000</v>
      </c>
      <c r="D48" s="3">
        <v>23338000</v>
      </c>
      <c r="E48" s="3">
        <v>18894000</v>
      </c>
      <c r="F48" s="11">
        <f>F71*F2</f>
        <v>23787578.500000004</v>
      </c>
      <c r="G48" s="11">
        <f>G71*G2</f>
        <v>26887527.150600463</v>
      </c>
      <c r="H48" s="11">
        <f>H71*H2</f>
        <v>27986856.183362152</v>
      </c>
      <c r="I48" s="11">
        <f>I71*I2</f>
        <v>31815309.506684396</v>
      </c>
    </row>
    <row r="49" spans="1:10" x14ac:dyDescent="0.2">
      <c r="A49" s="2" t="s">
        <v>44</v>
      </c>
      <c r="B49" s="3">
        <v>0</v>
      </c>
      <c r="C49" s="3">
        <v>0</v>
      </c>
      <c r="D49" s="3">
        <v>0</v>
      </c>
      <c r="E49" s="3">
        <v>0</v>
      </c>
    </row>
    <row r="50" spans="1:10" x14ac:dyDescent="0.2">
      <c r="A50" s="2" t="s">
        <v>45</v>
      </c>
      <c r="B50" s="3">
        <v>2403</v>
      </c>
      <c r="C50" s="3">
        <v>8748</v>
      </c>
      <c r="D50" s="3">
        <v>2013390</v>
      </c>
      <c r="E50" s="3">
        <v>-2184754</v>
      </c>
    </row>
    <row r="51" spans="1:10" x14ac:dyDescent="0.2">
      <c r="B51" s="3"/>
      <c r="C51" s="3"/>
      <c r="D51" s="3"/>
      <c r="E51" s="3"/>
    </row>
    <row r="52" spans="1:10" ht="15" x14ac:dyDescent="0.25">
      <c r="A52" s="61" t="s">
        <v>20</v>
      </c>
      <c r="B52" s="11">
        <f>B23</f>
        <v>47000</v>
      </c>
      <c r="C52" s="11">
        <f>C23</f>
        <v>1279000</v>
      </c>
      <c r="D52" s="11">
        <f t="shared" ref="D52:E52" si="13">D23</f>
        <v>17937000</v>
      </c>
      <c r="E52" s="11">
        <f>E23</f>
        <v>1981000</v>
      </c>
      <c r="F52" s="2" t="s">
        <v>236</v>
      </c>
      <c r="G52" s="2" t="s">
        <v>236</v>
      </c>
      <c r="H52" s="2" t="s">
        <v>236</v>
      </c>
      <c r="I52" s="2" t="s">
        <v>236</v>
      </c>
    </row>
    <row r="53" spans="1:10" ht="15" x14ac:dyDescent="0.25">
      <c r="A53" s="62" t="s">
        <v>136</v>
      </c>
      <c r="B53" s="11">
        <f>'CF - Ford'!B11</f>
        <v>8490000</v>
      </c>
      <c r="C53" s="11">
        <f>'CF - Ford'!C11</f>
        <v>7457000</v>
      </c>
      <c r="D53" s="11">
        <f>'CF - Ford'!D11</f>
        <v>5960000</v>
      </c>
      <c r="E53" s="11">
        <f>'CF - Ford'!E11</f>
        <v>6493000</v>
      </c>
      <c r="F53" s="45">
        <f>F73*F2</f>
        <v>8124255.1937280605</v>
      </c>
      <c r="G53" s="45">
        <f>G73*G2</f>
        <v>8278184.4921053657</v>
      </c>
      <c r="H53" s="45">
        <f>H73*H2</f>
        <v>9240618.1733014006</v>
      </c>
      <c r="I53" s="45">
        <f>I73*I2</f>
        <v>10382047.811245874</v>
      </c>
    </row>
    <row r="54" spans="1:10" ht="15" x14ac:dyDescent="0.25">
      <c r="A54" s="62" t="s">
        <v>206</v>
      </c>
      <c r="B54" s="11"/>
      <c r="C54" s="11">
        <f>'BS - Ford'!H31</f>
        <v>3637000</v>
      </c>
      <c r="D54" s="11">
        <f>'BS - Ford'!H23</f>
        <v>-1283000</v>
      </c>
      <c r="E54" s="11">
        <f>'BS - Ford'!H31</f>
        <v>3637000</v>
      </c>
      <c r="F54" s="11">
        <f>F74*F2</f>
        <v>2390414.7888445733</v>
      </c>
      <c r="G54" s="11">
        <f>G74*G2</f>
        <v>1727258.8941268376</v>
      </c>
      <c r="H54" s="11">
        <f>H74*H2</f>
        <v>3214645.6068170182</v>
      </c>
      <c r="I54" s="11">
        <f>I74*I2</f>
        <v>2947954.6437393576</v>
      </c>
    </row>
    <row r="55" spans="1:10" ht="15" x14ac:dyDescent="0.25">
      <c r="A55" s="62" t="s">
        <v>130</v>
      </c>
      <c r="B55" s="11">
        <f>B52+B53-B54</f>
        <v>8537000</v>
      </c>
      <c r="C55" s="11">
        <f>C52+C53-C54</f>
        <v>5099000</v>
      </c>
      <c r="D55" s="11">
        <f t="shared" ref="D55:E55" si="14">D52+D53-D54</f>
        <v>25180000</v>
      </c>
      <c r="E55" s="11">
        <f t="shared" si="14"/>
        <v>4837000</v>
      </c>
      <c r="F55" s="11">
        <f>F23+F53-F54</f>
        <v>14314548.475474089</v>
      </c>
      <c r="G55" s="11">
        <f t="shared" ref="G55:I55" si="15">G23+G53-G54</f>
        <v>16438673.571077408</v>
      </c>
      <c r="H55" s="11">
        <f t="shared" si="15"/>
        <v>12595277.725163806</v>
      </c>
      <c r="I55" s="11">
        <f t="shared" si="15"/>
        <v>20279669.419218604</v>
      </c>
    </row>
    <row r="56" spans="1:10" ht="15" x14ac:dyDescent="0.25">
      <c r="A56" s="62" t="s">
        <v>233</v>
      </c>
      <c r="B56" s="11">
        <f>'CF - Ford'!B55</f>
        <v>-7632000</v>
      </c>
      <c r="C56" s="11">
        <f>'CF - Ford'!C55</f>
        <v>-5742000</v>
      </c>
      <c r="D56" s="11">
        <f>'CF - Ford'!D55</f>
        <v>-6227000</v>
      </c>
      <c r="E56" s="11">
        <f>'CF - Ford'!E55</f>
        <v>-6866000</v>
      </c>
      <c r="F56" s="11">
        <f>F75*F2</f>
        <v>-7604869.8655918743</v>
      </c>
      <c r="G56" s="11">
        <f>G75*G2</f>
        <v>-8356930.0644632913</v>
      </c>
      <c r="H56" s="11">
        <f>H75*H2</f>
        <v>-9221427.1850213818</v>
      </c>
      <c r="I56" s="11">
        <f>I75*I2</f>
        <v>-10174346.274123959</v>
      </c>
    </row>
    <row r="57" spans="1:10" ht="15" x14ac:dyDescent="0.25">
      <c r="A57" s="62" t="s">
        <v>207</v>
      </c>
      <c r="B57" s="11">
        <f>B55-B56</f>
        <v>16169000</v>
      </c>
      <c r="C57" s="11">
        <f t="shared" ref="C57:I57" si="16">C55-C56</f>
        <v>10841000</v>
      </c>
      <c r="D57" s="11">
        <f t="shared" si="16"/>
        <v>31407000</v>
      </c>
      <c r="E57" s="11">
        <f t="shared" si="16"/>
        <v>11703000</v>
      </c>
      <c r="F57" s="11">
        <f t="shared" si="16"/>
        <v>21919418.341065966</v>
      </c>
      <c r="G57" s="11">
        <f t="shared" si="16"/>
        <v>24795603.635540701</v>
      </c>
      <c r="H57" s="11">
        <f t="shared" si="16"/>
        <v>21816704.910185188</v>
      </c>
      <c r="I57" s="11">
        <f t="shared" si="16"/>
        <v>30454015.693342563</v>
      </c>
    </row>
    <row r="58" spans="1:10" ht="15" x14ac:dyDescent="0.25">
      <c r="A58" s="62" t="s">
        <v>208</v>
      </c>
      <c r="B58" s="11">
        <v>0</v>
      </c>
      <c r="C58" s="11">
        <f>'BS - Ford'!M32</f>
        <v>6273000</v>
      </c>
      <c r="D58" s="11">
        <f>'BS - Ford'!M24</f>
        <v>-23952000</v>
      </c>
      <c r="E58" s="11">
        <f>'BS - Ford'!M13</f>
        <v>337000</v>
      </c>
      <c r="F58" s="11">
        <f>F76*F2</f>
        <v>-7034738.052147449</v>
      </c>
      <c r="G58" s="11">
        <f>G76*G2</f>
        <v>-13418230.853306744</v>
      </c>
      <c r="H58" s="11">
        <f>H76*H2</f>
        <v>-7700838.6536488198</v>
      </c>
      <c r="I58" s="11">
        <f>I76*I2</f>
        <v>-11420469.558252119</v>
      </c>
    </row>
    <row r="59" spans="1:10" ht="15" x14ac:dyDescent="0.25">
      <c r="A59" s="62" t="s">
        <v>209</v>
      </c>
      <c r="B59" s="11"/>
      <c r="C59" s="11">
        <f>C57+C58</f>
        <v>17114000</v>
      </c>
      <c r="D59" s="11">
        <f t="shared" ref="D59:E59" si="17">D57+D58</f>
        <v>7455000</v>
      </c>
      <c r="E59" s="11">
        <f t="shared" si="17"/>
        <v>12040000</v>
      </c>
      <c r="F59" s="11">
        <f>F57+F58</f>
        <v>14884680.288918518</v>
      </c>
      <c r="G59" s="11">
        <f t="shared" ref="G59" si="18">G57+G58</f>
        <v>11377372.782233957</v>
      </c>
      <c r="H59" s="11">
        <f t="shared" ref="H59" si="19">H57+H58</f>
        <v>14115866.256536368</v>
      </c>
      <c r="I59" s="11">
        <f t="shared" ref="I59" si="20">I57+I58</f>
        <v>19033546.135090444</v>
      </c>
    </row>
    <row r="60" spans="1:10" ht="15" x14ac:dyDescent="0.25">
      <c r="A60" s="62" t="s">
        <v>210</v>
      </c>
      <c r="B60" s="11">
        <f>B59+B58</f>
        <v>0</v>
      </c>
      <c r="C60" s="11"/>
      <c r="D60" s="11"/>
      <c r="E60" s="11"/>
      <c r="I60" s="11">
        <f>((I59*(1+N9))/(N8-N9))</f>
        <v>259936175.60146224</v>
      </c>
    </row>
    <row r="61" spans="1:10" ht="15" x14ac:dyDescent="0.25">
      <c r="A61" s="63" t="s">
        <v>211</v>
      </c>
      <c r="B61" s="11">
        <f>B59</f>
        <v>0</v>
      </c>
      <c r="C61" s="11">
        <f t="shared" ref="C61:H61" si="21">C59</f>
        <v>17114000</v>
      </c>
      <c r="D61" s="11">
        <f t="shared" si="21"/>
        <v>7455000</v>
      </c>
      <c r="E61" s="11">
        <f t="shared" si="21"/>
        <v>12040000</v>
      </c>
      <c r="F61" s="11">
        <f t="shared" si="21"/>
        <v>14884680.288918518</v>
      </c>
      <c r="G61" s="11">
        <f t="shared" si="21"/>
        <v>11377372.782233957</v>
      </c>
      <c r="H61" s="11">
        <f t="shared" si="21"/>
        <v>14115866.256536368</v>
      </c>
      <c r="I61" s="11">
        <f>I59+I60</f>
        <v>278969721.73655272</v>
      </c>
    </row>
    <row r="63" spans="1:10" ht="15" x14ac:dyDescent="0.25">
      <c r="A63" s="8" t="s">
        <v>193</v>
      </c>
      <c r="B63" s="7">
        <v>43829</v>
      </c>
      <c r="C63" s="7">
        <v>44195</v>
      </c>
      <c r="D63" s="7">
        <v>44560</v>
      </c>
      <c r="E63" s="7">
        <v>44925</v>
      </c>
      <c r="F63" s="7">
        <f>E63+365</f>
        <v>45290</v>
      </c>
      <c r="G63" s="7">
        <f>F63+366</f>
        <v>45656</v>
      </c>
      <c r="H63" s="7">
        <f t="shared" ref="H63:J63" si="22">G63+365</f>
        <v>46021</v>
      </c>
      <c r="I63" s="7">
        <f t="shared" si="22"/>
        <v>46386</v>
      </c>
      <c r="J63" s="7">
        <f t="shared" si="22"/>
        <v>46751</v>
      </c>
    </row>
    <row r="64" spans="1:10" ht="15" x14ac:dyDescent="0.25">
      <c r="A64" s="9" t="s">
        <v>194</v>
      </c>
      <c r="B64" s="39" t="s">
        <v>134</v>
      </c>
      <c r="C64" s="38">
        <v>-0.184451571520205</v>
      </c>
      <c r="D64" s="34">
        <v>7.2335304851192328E-2</v>
      </c>
      <c r="E64" s="34">
        <v>0.15927710666637318</v>
      </c>
      <c r="F64" s="34">
        <v>7.4999999999999997E-2</v>
      </c>
      <c r="G64" s="34">
        <f>AVERAGEA(D64:F64)</f>
        <v>0.10220413717252184</v>
      </c>
      <c r="H64" s="34">
        <f>AVERAGEA(E64:G64)</f>
        <v>0.11216041461296501</v>
      </c>
      <c r="I64" s="34">
        <f>AVERAGEA(F64:H64)</f>
        <v>9.6454850595162289E-2</v>
      </c>
      <c r="J64" s="34">
        <f>AVERAGEA(G64:I64)</f>
        <v>0.10360646746021639</v>
      </c>
    </row>
    <row r="65" spans="1:10" ht="15" x14ac:dyDescent="0.25">
      <c r="A65" s="9" t="s">
        <v>195</v>
      </c>
      <c r="B65" s="37">
        <f>B5/B2</f>
        <v>0.86397049390635028</v>
      </c>
      <c r="C65" s="34">
        <f>C5/C2</f>
        <v>0.88680551186056755</v>
      </c>
      <c r="D65" s="34">
        <f>D5/D2</f>
        <v>0.84091359165621493</v>
      </c>
      <c r="E65" s="34">
        <f>E5/E2</f>
        <v>0.85030716766736048</v>
      </c>
      <c r="F65" s="34">
        <f>AVERAGEA(C65:E65)</f>
        <v>0.85934209039471432</v>
      </c>
      <c r="G65" s="34">
        <f>AVERAGEA(D65:F65)</f>
        <v>0.85018761657276321</v>
      </c>
      <c r="H65" s="34">
        <f t="shared" ref="H65:H76" si="23">AVERAGEA(E65:G65)</f>
        <v>0.8532789582116127</v>
      </c>
      <c r="I65" s="34">
        <f t="shared" ref="I65:I76" si="24">AVERAGEA(F65:H65)</f>
        <v>0.85426955505969671</v>
      </c>
      <c r="J65" s="34">
        <f t="shared" ref="J65:J76" si="25">AVERAGEA(G65:I65)</f>
        <v>0.8525787099480242</v>
      </c>
    </row>
    <row r="66" spans="1:10" ht="15" x14ac:dyDescent="0.25">
      <c r="A66" s="9" t="s">
        <v>196</v>
      </c>
      <c r="B66" s="37">
        <f>B8/B2</f>
        <v>7.1590763309813982E-2</v>
      </c>
      <c r="C66" s="34">
        <f>C8/C2</f>
        <v>8.0168942301642232E-2</v>
      </c>
      <c r="D66" s="34">
        <f>D8/D2</f>
        <v>8.7391173601484518E-2</v>
      </c>
      <c r="E66" s="34">
        <f>E8/E2</f>
        <v>6.8886540931436133E-2</v>
      </c>
      <c r="F66" s="34">
        <f t="shared" ref="F65:F76" si="26">AVERAGEA(C66:E66)</f>
        <v>7.8815552278187637E-2</v>
      </c>
      <c r="G66" s="34">
        <f t="shared" ref="G65:G76" si="27">AVERAGEA(D66:F66)</f>
        <v>7.8364422270369438E-2</v>
      </c>
      <c r="H66" s="34">
        <f t="shared" si="23"/>
        <v>7.535550515999774E-2</v>
      </c>
      <c r="I66" s="34">
        <f t="shared" si="24"/>
        <v>7.7511826569518272E-2</v>
      </c>
      <c r="J66" s="34">
        <f t="shared" si="25"/>
        <v>7.7077251333295141E-2</v>
      </c>
    </row>
    <row r="67" spans="1:10" ht="15" x14ac:dyDescent="0.25">
      <c r="A67" s="10" t="s">
        <v>197</v>
      </c>
      <c r="B67" s="37">
        <f>B13/B2</f>
        <v>5.1892238614496475E-3</v>
      </c>
      <c r="C67" s="34">
        <f>C13/C2</f>
        <v>3.5550242245013528E-3</v>
      </c>
      <c r="D67" s="34">
        <f>D13/D2</f>
        <v>1.9143177767509407E-3</v>
      </c>
      <c r="E67" s="34">
        <f>E13/E2</f>
        <v>4.0428453026439826E-3</v>
      </c>
      <c r="F67" s="34">
        <f t="shared" si="26"/>
        <v>3.1707291012987586E-3</v>
      </c>
      <c r="G67" s="34">
        <f t="shared" si="27"/>
        <v>3.042630726897894E-3</v>
      </c>
      <c r="H67" s="34">
        <f t="shared" si="23"/>
        <v>3.4187350436135446E-3</v>
      </c>
      <c r="I67" s="34">
        <f t="shared" si="24"/>
        <v>3.2106982906033991E-3</v>
      </c>
      <c r="J67" s="34">
        <f t="shared" si="25"/>
        <v>3.2240213537049461E-3</v>
      </c>
    </row>
    <row r="68" spans="1:10" ht="15" x14ac:dyDescent="0.25">
      <c r="A68" s="9" t="s">
        <v>198</v>
      </c>
      <c r="B68" s="37">
        <f>B15/B2</f>
        <v>0</v>
      </c>
      <c r="C68" s="34">
        <f>C14/C2</f>
        <v>8.0680173661360349E-2</v>
      </c>
      <c r="D68" s="34">
        <f>D14/D2</f>
        <v>5.174525637922562E-2</v>
      </c>
      <c r="E68" s="34">
        <f>E14/E2</f>
        <v>4.9210095092276834E-2</v>
      </c>
      <c r="F68" s="34">
        <f>AVERAGEA(C68:E68)</f>
        <v>6.0545175044287601E-2</v>
      </c>
      <c r="G68" s="34">
        <f t="shared" si="27"/>
        <v>5.3833508838596687E-2</v>
      </c>
      <c r="H68" s="34">
        <f t="shared" si="23"/>
        <v>5.4529592991720381E-2</v>
      </c>
      <c r="I68" s="34">
        <f t="shared" si="24"/>
        <v>5.6302758958201554E-2</v>
      </c>
      <c r="J68" s="34">
        <f t="shared" si="25"/>
        <v>5.4888620262839548E-2</v>
      </c>
    </row>
    <row r="69" spans="1:10" ht="15" x14ac:dyDescent="0.25">
      <c r="A69" s="9" t="s">
        <v>199</v>
      </c>
      <c r="B69" s="37">
        <f>B20/B2</f>
        <v>-7.1520205259781909E-3</v>
      </c>
      <c r="C69" s="34">
        <f>C20/C2</f>
        <v>5.340401434593846E-3</v>
      </c>
      <c r="D69" s="34">
        <f>D20/D2</f>
        <v>4.8752759624764379E-2</v>
      </c>
      <c r="E69" s="34">
        <f>E20/E2</f>
        <v>1.2780199548264233E-2</v>
      </c>
      <c r="F69" s="34">
        <f>AVERAGEA(C69:E69)</f>
        <v>2.2291120202540819E-2</v>
      </c>
      <c r="G69" s="34">
        <f t="shared" si="27"/>
        <v>2.7941359791856479E-2</v>
      </c>
      <c r="H69" s="34">
        <f t="shared" si="23"/>
        <v>2.1004226514220511E-2</v>
      </c>
      <c r="I69" s="34">
        <f t="shared" si="24"/>
        <v>2.3745568836205936E-2</v>
      </c>
      <c r="J69" s="34">
        <f t="shared" si="25"/>
        <v>2.4230385047427642E-2</v>
      </c>
    </row>
    <row r="70" spans="1:10" ht="15" x14ac:dyDescent="0.25">
      <c r="A70" s="9" t="s">
        <v>200</v>
      </c>
      <c r="B70" s="40">
        <v>0</v>
      </c>
      <c r="C70" s="34">
        <f>C22/C21</f>
        <v>0.14336917562724014</v>
      </c>
      <c r="D70" s="34">
        <f>D22/D21</f>
        <v>-7.3115860517435323E-3</v>
      </c>
      <c r="E70" s="34">
        <f>E22/E21</f>
        <v>0.28647214854111408</v>
      </c>
      <c r="F70" s="34">
        <v>0.14000000000000001</v>
      </c>
      <c r="G70" s="34">
        <f>AVERAGEA(D70:F70)</f>
        <v>0.13972018749645684</v>
      </c>
      <c r="H70" s="34">
        <f t="shared" si="23"/>
        <v>0.1887307786791903</v>
      </c>
      <c r="I70" s="34">
        <f t="shared" si="24"/>
        <v>0.15615032205854906</v>
      </c>
      <c r="J70" s="34">
        <f t="shared" si="25"/>
        <v>0.16153376274473208</v>
      </c>
    </row>
    <row r="71" spans="1:10" ht="15" x14ac:dyDescent="0.25">
      <c r="A71" s="9" t="s">
        <v>43</v>
      </c>
      <c r="B71" s="40"/>
      <c r="C71" s="34">
        <f>C48/C2</f>
        <v>0.12800446737557417</v>
      </c>
      <c r="D71" s="34">
        <f>D48/D2</f>
        <v>0.17117374817553047</v>
      </c>
      <c r="E71" s="34">
        <f>E48/E2</f>
        <v>0.11953915359648734</v>
      </c>
      <c r="F71" s="34">
        <v>0.14000000000000001</v>
      </c>
      <c r="G71" s="34">
        <f t="shared" si="27"/>
        <v>0.14357096725733928</v>
      </c>
      <c r="H71" s="34">
        <f t="shared" si="23"/>
        <v>0.13437004028460889</v>
      </c>
      <c r="I71" s="34">
        <f t="shared" si="24"/>
        <v>0.13931366918064939</v>
      </c>
      <c r="J71" s="34">
        <f t="shared" si="25"/>
        <v>0.13908489224086584</v>
      </c>
    </row>
    <row r="72" spans="1:10" ht="15" x14ac:dyDescent="0.25">
      <c r="A72" s="9" t="s">
        <v>201</v>
      </c>
      <c r="B72" s="37">
        <f>B45/B2</f>
        <v>3.0147530468248876E-4</v>
      </c>
      <c r="C72" s="38">
        <f>C45/C2</f>
        <v>-1.0059460139684138E-2</v>
      </c>
      <c r="D72" s="34">
        <f>D45/D2</f>
        <v>0.13155983893326292</v>
      </c>
      <c r="E72" s="34">
        <f>E45/E2</f>
        <v>-1.2533453121342301E-2</v>
      </c>
      <c r="F72" s="34">
        <f>AVERAGEA(A72:E72)</f>
        <v>2.1853680195383796E-2</v>
      </c>
      <c r="G72" s="34">
        <f>AVERAGEA(C72:F72)</f>
        <v>3.2705151466905072E-2</v>
      </c>
      <c r="H72" s="34">
        <f t="shared" ref="H72:J72" si="28">AVERAGEA(D72:G72)</f>
        <v>4.339630436855238E-2</v>
      </c>
      <c r="I72" s="34">
        <f t="shared" si="28"/>
        <v>2.1355420727374737E-2</v>
      </c>
      <c r="J72" s="34">
        <f t="shared" si="28"/>
        <v>2.9827639189553994E-2</v>
      </c>
    </row>
    <row r="73" spans="1:10" ht="15" x14ac:dyDescent="0.25">
      <c r="A73" s="9" t="s">
        <v>202</v>
      </c>
      <c r="B73" s="37">
        <f>B53/B2</f>
        <v>5.4457985888389994E-2</v>
      </c>
      <c r="C73" s="34">
        <f>C53/C2</f>
        <v>5.8650034606430507E-2</v>
      </c>
      <c r="D73" s="34">
        <f>D53/D2</f>
        <v>4.3713923177914199E-2</v>
      </c>
      <c r="E73" s="34">
        <f>E53/E2</f>
        <v>4.1080116666772117E-2</v>
      </c>
      <c r="F73" s="34">
        <f t="shared" si="26"/>
        <v>4.7814691483705603E-2</v>
      </c>
      <c r="G73" s="34">
        <f t="shared" si="27"/>
        <v>4.4202910442797304E-2</v>
      </c>
      <c r="H73" s="34">
        <f t="shared" si="23"/>
        <v>4.4365906197758341E-2</v>
      </c>
      <c r="I73" s="34">
        <f t="shared" si="24"/>
        <v>4.5461169374753752E-2</v>
      </c>
      <c r="J73" s="34">
        <f t="shared" si="25"/>
        <v>4.4676662005103139E-2</v>
      </c>
    </row>
    <row r="74" spans="1:10" ht="15" x14ac:dyDescent="0.25">
      <c r="A74" s="9" t="s">
        <v>203</v>
      </c>
      <c r="B74" s="37">
        <f>B54/B2</f>
        <v>0</v>
      </c>
      <c r="C74" s="34">
        <f>C54/C2</f>
        <v>2.8605360850688981E-2</v>
      </c>
      <c r="D74" s="34">
        <f>D54/D2</f>
        <v>-9.410228764641598E-3</v>
      </c>
      <c r="E74" s="34">
        <f>E54/E2</f>
        <v>2.3010686018335159E-2</v>
      </c>
      <c r="F74" s="34">
        <f t="shared" si="26"/>
        <v>1.4068606034794179E-2</v>
      </c>
      <c r="G74" s="34">
        <f t="shared" si="27"/>
        <v>9.223021096162581E-3</v>
      </c>
      <c r="H74" s="34">
        <f t="shared" si="23"/>
        <v>1.5434104383097306E-2</v>
      </c>
      <c r="I74" s="34">
        <f t="shared" si="24"/>
        <v>1.2908577171351356E-2</v>
      </c>
      <c r="J74" s="34">
        <f t="shared" si="25"/>
        <v>1.2521900883537081E-2</v>
      </c>
    </row>
    <row r="75" spans="1:10" ht="15" x14ac:dyDescent="0.25">
      <c r="A75" s="9" t="s">
        <v>204</v>
      </c>
      <c r="B75" s="37">
        <f>B56/B2</f>
        <v>-4.8954457985888392E-2</v>
      </c>
      <c r="C75" s="34">
        <f>C56/C2</f>
        <v>-4.5161391807714085E-2</v>
      </c>
      <c r="D75" s="34">
        <f>D56/D2</f>
        <v>-4.5672248259877805E-2</v>
      </c>
      <c r="E75" s="34">
        <f>E56/E2</f>
        <v>-4.3440024801179318E-2</v>
      </c>
      <c r="F75" s="34">
        <f t="shared" si="26"/>
        <v>-4.4757888289590403E-2</v>
      </c>
      <c r="G75" s="34">
        <f t="shared" si="27"/>
        <v>-4.4623387116882511E-2</v>
      </c>
      <c r="H75" s="34">
        <f t="shared" si="23"/>
        <v>-4.4273766735884075E-2</v>
      </c>
      <c r="I75" s="34">
        <f t="shared" si="24"/>
        <v>-4.4551680714118996E-2</v>
      </c>
      <c r="J75" s="34">
        <f t="shared" si="25"/>
        <v>-4.448294485562853E-2</v>
      </c>
    </row>
    <row r="76" spans="1:10" ht="15" x14ac:dyDescent="0.25">
      <c r="A76" s="9" t="s">
        <v>205</v>
      </c>
      <c r="B76" s="37">
        <f>B58/B2</f>
        <v>0</v>
      </c>
      <c r="C76" s="34">
        <f>C58/C2</f>
        <v>4.9337758761718996E-2</v>
      </c>
      <c r="D76" s="34">
        <f>D58/D2</f>
        <v>-0.17567716240895989</v>
      </c>
      <c r="E76" s="34">
        <f>E58/E2</f>
        <v>2.1321422018638846E-3</v>
      </c>
      <c r="F76" s="34">
        <f t="shared" si="26"/>
        <v>-4.1402420481792331E-2</v>
      </c>
      <c r="G76" s="34">
        <f t="shared" si="27"/>
        <v>-7.1649146896296104E-2</v>
      </c>
      <c r="H76" s="34">
        <f t="shared" si="23"/>
        <v>-3.6973141725408186E-2</v>
      </c>
      <c r="I76" s="34">
        <f t="shared" si="24"/>
        <v>-5.0008236367832214E-2</v>
      </c>
      <c r="J76" s="34">
        <f t="shared" si="25"/>
        <v>-5.2876841663178832E-2</v>
      </c>
    </row>
    <row r="77" spans="1:10" ht="12.75" customHeight="1" x14ac:dyDescent="0.2">
      <c r="B77" s="64" t="s">
        <v>234</v>
      </c>
    </row>
    <row r="78" spans="1:10" x14ac:dyDescent="0.2">
      <c r="B78" s="65"/>
    </row>
    <row r="79" spans="1:10" x14ac:dyDescent="0.2">
      <c r="B79" s="65"/>
    </row>
    <row r="80" spans="1:10" x14ac:dyDescent="0.2">
      <c r="B80" s="65"/>
    </row>
    <row r="81" spans="1:4" x14ac:dyDescent="0.2">
      <c r="B81" s="65"/>
    </row>
    <row r="82" spans="1:4" x14ac:dyDescent="0.2">
      <c r="B82" s="41"/>
    </row>
    <row r="83" spans="1:4" x14ac:dyDescent="0.2">
      <c r="B83" s="41"/>
    </row>
    <row r="84" spans="1:4" x14ac:dyDescent="0.2">
      <c r="B84" s="41"/>
    </row>
    <row r="85" spans="1:4" x14ac:dyDescent="0.2">
      <c r="B85" s="41"/>
    </row>
    <row r="86" spans="1:4" ht="15" x14ac:dyDescent="0.25">
      <c r="A86" s="57" t="s">
        <v>250</v>
      </c>
      <c r="B86" s="57">
        <f>NPV(N8,B61:I61)</f>
        <v>187201842.67871955</v>
      </c>
    </row>
    <row r="87" spans="1:4" ht="15" x14ac:dyDescent="0.25">
      <c r="A87" s="58" t="s">
        <v>251</v>
      </c>
      <c r="B87" s="58">
        <f>D94</f>
        <v>3973000</v>
      </c>
    </row>
    <row r="88" spans="1:4" ht="15" x14ac:dyDescent="0.25">
      <c r="A88" s="57" t="s">
        <v>252</v>
      </c>
      <c r="B88" s="57">
        <f>B86/B87</f>
        <v>47.118510616340181</v>
      </c>
    </row>
    <row r="89" spans="1:4" ht="15" x14ac:dyDescent="0.25">
      <c r="A89" s="58" t="s">
        <v>253</v>
      </c>
      <c r="B89" s="58">
        <v>12.73</v>
      </c>
    </row>
    <row r="90" spans="1:4" ht="15" x14ac:dyDescent="0.25">
      <c r="A90" s="57" t="s">
        <v>254</v>
      </c>
      <c r="B90" s="59" t="str">
        <f>IF(B88&gt;B89,"Buy","Sell")</f>
        <v>Buy</v>
      </c>
    </row>
    <row r="91" spans="1:4" ht="15" x14ac:dyDescent="0.25">
      <c r="A91" s="58" t="s">
        <v>255</v>
      </c>
      <c r="B91" s="60">
        <f>B88/B89-1</f>
        <v>2.7013755393825751</v>
      </c>
    </row>
    <row r="93" spans="1:4" x14ac:dyDescent="0.2">
      <c r="C93" s="31" t="s">
        <v>256</v>
      </c>
      <c r="D93" s="70">
        <v>3973000000</v>
      </c>
    </row>
    <row r="94" spans="1:4" x14ac:dyDescent="0.2">
      <c r="C94" s="31" t="s">
        <v>257</v>
      </c>
      <c r="D94" s="70">
        <f>D93/1000</f>
        <v>3973000</v>
      </c>
    </row>
  </sheetData>
  <mergeCells count="2">
    <mergeCell ref="B77:B81"/>
    <mergeCell ref="M16:N16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C1C90-8BA7-4469-8F9B-5AE18B1A8E4C}">
  <dimension ref="A1:J64"/>
  <sheetViews>
    <sheetView topLeftCell="A16" workbookViewId="0">
      <selection activeCell="A12" sqref="A12:E12"/>
    </sheetView>
  </sheetViews>
  <sheetFormatPr defaultRowHeight="12.75" x14ac:dyDescent="0.2"/>
  <cols>
    <col min="1" max="1" width="40.7109375" bestFit="1" customWidth="1"/>
    <col min="2" max="2" width="15.42578125" bestFit="1" customWidth="1"/>
    <col min="3" max="9" width="10.7109375" bestFit="1" customWidth="1"/>
  </cols>
  <sheetData>
    <row r="1" spans="1:10" x14ac:dyDescent="0.2">
      <c r="A1" s="4" t="s">
        <v>46</v>
      </c>
      <c r="B1" s="5">
        <v>43829</v>
      </c>
      <c r="C1" s="5">
        <v>44195</v>
      </c>
      <c r="D1" s="5">
        <v>44560</v>
      </c>
      <c r="E1" s="5">
        <v>44925</v>
      </c>
    </row>
    <row r="2" spans="1:10" x14ac:dyDescent="0.2">
      <c r="A2" t="s">
        <v>131</v>
      </c>
      <c r="B2" s="1">
        <v>17639000</v>
      </c>
      <c r="C2" s="1">
        <v>24269000</v>
      </c>
      <c r="D2" s="1">
        <v>15787000</v>
      </c>
      <c r="E2" s="1">
        <v>6853000</v>
      </c>
      <c r="F2" s="1"/>
      <c r="G2" s="1"/>
      <c r="H2" s="1"/>
      <c r="I2" s="1"/>
      <c r="J2" s="1"/>
    </row>
    <row r="3" spans="1:10" x14ac:dyDescent="0.2">
      <c r="A3" t="s">
        <v>132</v>
      </c>
      <c r="B3" s="1">
        <v>84000</v>
      </c>
      <c r="C3" s="1">
        <v>-1276000</v>
      </c>
      <c r="D3" s="1">
        <v>17910000</v>
      </c>
      <c r="E3" s="1">
        <v>-2152000</v>
      </c>
      <c r="F3" s="1"/>
      <c r="G3" s="1"/>
      <c r="H3" s="1"/>
      <c r="I3" s="1"/>
      <c r="J3" s="1"/>
    </row>
    <row r="4" spans="1:10" x14ac:dyDescent="0.2">
      <c r="A4" t="s">
        <v>133</v>
      </c>
      <c r="B4" s="1">
        <v>2745000</v>
      </c>
      <c r="C4" s="1">
        <v>-2839000</v>
      </c>
      <c r="D4" s="1">
        <v>-12158000</v>
      </c>
      <c r="E4" s="1">
        <v>7381000</v>
      </c>
      <c r="F4" s="1"/>
      <c r="G4" s="1"/>
      <c r="H4" s="1"/>
      <c r="I4" s="1"/>
      <c r="J4" s="1"/>
    </row>
    <row r="5" spans="1:10" x14ac:dyDescent="0.2">
      <c r="A5" t="s">
        <v>174</v>
      </c>
      <c r="B5" s="1">
        <v>-29000</v>
      </c>
      <c r="C5" s="1">
        <v>-3446000</v>
      </c>
      <c r="D5" s="1">
        <v>-368000</v>
      </c>
      <c r="E5" s="1" t="s">
        <v>134</v>
      </c>
      <c r="F5" s="1"/>
      <c r="G5" s="1"/>
      <c r="H5" s="1"/>
      <c r="I5" s="1"/>
      <c r="J5" s="1"/>
    </row>
    <row r="6" spans="1:10" x14ac:dyDescent="0.2">
      <c r="A6" t="s">
        <v>175</v>
      </c>
      <c r="B6" s="1">
        <v>-54000</v>
      </c>
      <c r="C6" s="1">
        <v>-420000</v>
      </c>
      <c r="D6" s="1">
        <v>532000</v>
      </c>
      <c r="E6" s="1">
        <v>-27000</v>
      </c>
      <c r="F6" s="1"/>
      <c r="G6" s="1"/>
      <c r="H6" s="1"/>
      <c r="I6" s="1"/>
      <c r="J6" s="1"/>
    </row>
    <row r="7" spans="1:10" x14ac:dyDescent="0.2">
      <c r="A7" t="s">
        <v>176</v>
      </c>
      <c r="B7" s="1" t="s">
        <v>134</v>
      </c>
      <c r="C7" s="1" t="s">
        <v>134</v>
      </c>
      <c r="D7" s="1">
        <v>-9159000</v>
      </c>
      <c r="E7" s="1">
        <v>7518000</v>
      </c>
      <c r="F7" s="1"/>
      <c r="G7" s="1"/>
      <c r="H7" s="1"/>
      <c r="I7" s="1"/>
      <c r="J7" s="1"/>
    </row>
    <row r="8" spans="1:10" x14ac:dyDescent="0.2">
      <c r="A8" t="s">
        <v>177</v>
      </c>
      <c r="B8" s="1">
        <v>203000</v>
      </c>
      <c r="C8" s="1">
        <v>-3446000</v>
      </c>
      <c r="D8" s="1">
        <v>-368000</v>
      </c>
      <c r="E8" s="1">
        <v>147000</v>
      </c>
      <c r="F8" s="1"/>
      <c r="G8" s="1"/>
      <c r="H8" s="1"/>
      <c r="I8" s="1"/>
      <c r="J8" s="1"/>
    </row>
    <row r="9" spans="1:10" x14ac:dyDescent="0.2">
      <c r="A9" t="s">
        <v>178</v>
      </c>
      <c r="B9" s="1">
        <v>2625000</v>
      </c>
      <c r="C9" s="1">
        <v>1027000</v>
      </c>
      <c r="D9" s="1">
        <v>-4865000</v>
      </c>
      <c r="E9" s="1">
        <v>-378000</v>
      </c>
      <c r="F9" s="1"/>
      <c r="G9" s="1"/>
      <c r="H9" s="1"/>
      <c r="I9" s="1"/>
      <c r="J9" s="1"/>
    </row>
    <row r="10" spans="1:10" x14ac:dyDescent="0.2">
      <c r="A10" t="s">
        <v>135</v>
      </c>
      <c r="B10" s="1">
        <v>8490000</v>
      </c>
      <c r="C10" s="1">
        <v>7457000</v>
      </c>
      <c r="D10" s="1">
        <v>5960000</v>
      </c>
      <c r="E10" s="1">
        <v>6493000</v>
      </c>
      <c r="F10" s="1"/>
      <c r="G10" s="1"/>
      <c r="H10" s="1"/>
      <c r="I10" s="1"/>
      <c r="J10" s="1"/>
    </row>
    <row r="11" spans="1:10" x14ac:dyDescent="0.2">
      <c r="A11" t="s">
        <v>136</v>
      </c>
      <c r="B11" s="1">
        <v>8490000</v>
      </c>
      <c r="C11" s="1">
        <v>7457000</v>
      </c>
      <c r="D11" s="1">
        <v>5960000</v>
      </c>
      <c r="E11" s="1">
        <v>6493000</v>
      </c>
      <c r="F11" s="1"/>
      <c r="G11" s="1"/>
      <c r="H11" s="1"/>
      <c r="I11" s="1"/>
      <c r="J11" s="1"/>
    </row>
    <row r="12" spans="1:10" x14ac:dyDescent="0.2">
      <c r="A12" t="s">
        <v>179</v>
      </c>
      <c r="B12" s="1">
        <v>9689000</v>
      </c>
      <c r="C12" s="1">
        <v>8751000</v>
      </c>
      <c r="D12" s="1">
        <v>7318000</v>
      </c>
      <c r="E12" s="1">
        <v>7642000</v>
      </c>
      <c r="F12" s="1"/>
      <c r="G12" s="1"/>
      <c r="H12" s="1"/>
      <c r="I12" s="1"/>
      <c r="J12" s="1"/>
    </row>
    <row r="13" spans="1:10" x14ac:dyDescent="0.2">
      <c r="A13" t="s">
        <v>180</v>
      </c>
      <c r="B13" s="1">
        <v>-1199000</v>
      </c>
      <c r="C13" s="1">
        <v>-1294000</v>
      </c>
      <c r="D13" s="1">
        <v>-1358000</v>
      </c>
      <c r="E13" s="1">
        <v>-1149000</v>
      </c>
      <c r="F13" s="1"/>
      <c r="G13" s="1"/>
      <c r="H13" s="1"/>
      <c r="I13" s="1"/>
      <c r="J13" s="1"/>
    </row>
    <row r="14" spans="1:10" x14ac:dyDescent="0.2">
      <c r="A14" t="s">
        <v>181</v>
      </c>
      <c r="B14" s="1">
        <v>-1199000</v>
      </c>
      <c r="C14" s="1">
        <v>-1294000</v>
      </c>
      <c r="D14" s="1">
        <v>-1358000</v>
      </c>
      <c r="E14" s="1">
        <v>-1149000</v>
      </c>
      <c r="F14" s="1"/>
      <c r="G14" s="1"/>
      <c r="H14" s="1"/>
      <c r="I14" s="1"/>
      <c r="J14" s="1"/>
    </row>
    <row r="15" spans="1:10" x14ac:dyDescent="0.2">
      <c r="A15" t="s">
        <v>137</v>
      </c>
      <c r="B15" s="1">
        <v>-1370000</v>
      </c>
      <c r="C15" s="1">
        <v>-269000</v>
      </c>
      <c r="D15" s="1">
        <v>-563000</v>
      </c>
      <c r="E15" s="1">
        <v>-1910000</v>
      </c>
      <c r="F15" s="1"/>
      <c r="G15" s="1"/>
      <c r="H15" s="1"/>
      <c r="I15" s="1"/>
      <c r="J15" s="1"/>
    </row>
    <row r="16" spans="1:10" x14ac:dyDescent="0.2">
      <c r="A16" t="s">
        <v>138</v>
      </c>
      <c r="B16" s="1">
        <v>-1370000</v>
      </c>
      <c r="C16" s="1">
        <v>-269000</v>
      </c>
      <c r="D16" s="1">
        <v>-563000</v>
      </c>
      <c r="E16" s="1">
        <v>-1910000</v>
      </c>
      <c r="F16" s="1"/>
      <c r="G16" s="1"/>
      <c r="H16" s="1"/>
      <c r="I16" s="1"/>
      <c r="J16" s="1"/>
    </row>
    <row r="17" spans="1:10" x14ac:dyDescent="0.2">
      <c r="A17" t="s">
        <v>139</v>
      </c>
      <c r="B17" s="1">
        <v>804000</v>
      </c>
      <c r="C17" s="1">
        <v>23</v>
      </c>
      <c r="D17" s="1">
        <v>0</v>
      </c>
      <c r="E17" s="1">
        <v>32000</v>
      </c>
      <c r="F17" s="1"/>
      <c r="G17" s="1"/>
      <c r="H17" s="1"/>
      <c r="I17" s="1"/>
      <c r="J17" s="1"/>
    </row>
    <row r="18" spans="1:10" x14ac:dyDescent="0.2">
      <c r="A18" t="s">
        <v>182</v>
      </c>
      <c r="B18" s="1">
        <v>413000</v>
      </c>
      <c r="C18" s="1">
        <v>929000</v>
      </c>
      <c r="D18" s="1">
        <v>-298000</v>
      </c>
      <c r="E18" s="1">
        <v>46000</v>
      </c>
      <c r="F18" s="1"/>
      <c r="G18" s="1"/>
      <c r="H18" s="1"/>
      <c r="I18" s="1"/>
      <c r="J18" s="1"/>
    </row>
    <row r="19" spans="1:10" x14ac:dyDescent="0.2">
      <c r="A19" t="s">
        <v>140</v>
      </c>
      <c r="B19" s="1">
        <v>228000</v>
      </c>
      <c r="C19" s="1">
        <v>19900</v>
      </c>
      <c r="D19" s="1">
        <v>305000</v>
      </c>
      <c r="E19" s="1">
        <v>185000</v>
      </c>
      <c r="F19" s="1"/>
      <c r="G19" s="1"/>
      <c r="H19" s="1"/>
      <c r="I19" s="1"/>
      <c r="J19" s="1"/>
    </row>
    <row r="20" spans="1:10" x14ac:dyDescent="0.2">
      <c r="A20" t="s">
        <v>141</v>
      </c>
      <c r="B20" s="1">
        <v>41000</v>
      </c>
      <c r="C20" s="1">
        <v>917</v>
      </c>
      <c r="D20" s="1">
        <v>186000</v>
      </c>
      <c r="E20" s="1">
        <v>185000</v>
      </c>
      <c r="F20" s="1"/>
      <c r="G20" s="1"/>
      <c r="H20" s="1"/>
      <c r="I20" s="1"/>
      <c r="J20" s="1"/>
    </row>
    <row r="21" spans="1:10" x14ac:dyDescent="0.2">
      <c r="A21" t="s">
        <v>142</v>
      </c>
      <c r="B21" s="1">
        <v>6204000</v>
      </c>
      <c r="C21" s="1">
        <v>18998000</v>
      </c>
      <c r="D21" s="1">
        <v>4701000</v>
      </c>
      <c r="E21" s="1">
        <v>-7051000</v>
      </c>
      <c r="F21" s="1"/>
      <c r="G21" s="1"/>
      <c r="H21" s="1"/>
      <c r="I21" s="1"/>
      <c r="J21" s="1"/>
    </row>
    <row r="22" spans="1:10" x14ac:dyDescent="0.2">
      <c r="A22" t="s">
        <v>160</v>
      </c>
      <c r="B22" s="1">
        <v>738000</v>
      </c>
      <c r="C22" s="1">
        <v>12041000</v>
      </c>
      <c r="D22" s="1">
        <v>6515000</v>
      </c>
      <c r="E22" s="1">
        <v>-11743000</v>
      </c>
      <c r="F22" s="1"/>
      <c r="G22" s="1"/>
      <c r="H22" s="1"/>
      <c r="I22" s="1"/>
      <c r="J22" s="1"/>
    </row>
    <row r="23" spans="1:10" x14ac:dyDescent="0.2">
      <c r="A23" t="s">
        <v>161</v>
      </c>
      <c r="B23" s="1">
        <v>738000</v>
      </c>
      <c r="C23" s="1">
        <v>12041000</v>
      </c>
      <c r="D23" s="1">
        <v>6515000</v>
      </c>
      <c r="E23" s="1">
        <v>-11743000</v>
      </c>
      <c r="F23" s="1"/>
      <c r="G23" s="1"/>
      <c r="H23" s="1"/>
      <c r="I23" s="1"/>
      <c r="J23" s="1"/>
    </row>
    <row r="24" spans="1:10" x14ac:dyDescent="0.2">
      <c r="A24" t="s">
        <v>162</v>
      </c>
      <c r="B24" s="1">
        <v>206000</v>
      </c>
      <c r="C24" s="1">
        <v>148000</v>
      </c>
      <c r="D24" s="1">
        <v>-1778000</v>
      </c>
      <c r="E24" s="1">
        <v>-2576000</v>
      </c>
      <c r="F24" s="1"/>
      <c r="G24" s="1"/>
      <c r="H24" s="1"/>
      <c r="I24" s="1"/>
      <c r="J24" s="1"/>
    </row>
    <row r="25" spans="1:10" x14ac:dyDescent="0.2">
      <c r="A25" t="s">
        <v>163</v>
      </c>
      <c r="B25" s="1">
        <v>5260000</v>
      </c>
      <c r="C25" s="1">
        <v>6809000</v>
      </c>
      <c r="D25" s="1">
        <v>-36000</v>
      </c>
      <c r="E25" s="1">
        <v>7268000</v>
      </c>
      <c r="F25" s="1"/>
      <c r="G25" s="1"/>
      <c r="H25" s="1"/>
      <c r="I25" s="1"/>
      <c r="J25" s="1"/>
    </row>
    <row r="26" spans="1:10" x14ac:dyDescent="0.2">
      <c r="A26" t="s">
        <v>164</v>
      </c>
      <c r="B26" s="1" t="s">
        <v>134</v>
      </c>
      <c r="C26" s="1">
        <v>6809000</v>
      </c>
      <c r="D26" s="1">
        <v>-36000</v>
      </c>
      <c r="E26" s="1" t="s">
        <v>134</v>
      </c>
      <c r="F26" s="1"/>
      <c r="G26" s="1"/>
      <c r="H26" s="1"/>
      <c r="I26" s="1"/>
      <c r="J26" s="1"/>
    </row>
    <row r="27" spans="1:10" x14ac:dyDescent="0.2">
      <c r="A27" t="s">
        <v>165</v>
      </c>
      <c r="B27" s="1" t="s">
        <v>134</v>
      </c>
      <c r="C27" s="1">
        <v>6809000</v>
      </c>
      <c r="D27" s="1">
        <v>-36000</v>
      </c>
      <c r="E27" s="1" t="s">
        <v>134</v>
      </c>
      <c r="F27" s="1"/>
      <c r="G27" s="1"/>
      <c r="H27" s="1"/>
      <c r="I27" s="1"/>
      <c r="J27" s="1"/>
    </row>
    <row r="28" spans="1:10" x14ac:dyDescent="0.2">
      <c r="A28" t="s">
        <v>183</v>
      </c>
      <c r="B28" s="1" t="s">
        <v>134</v>
      </c>
      <c r="C28" s="1">
        <v>130000</v>
      </c>
      <c r="D28" s="1">
        <v>116000</v>
      </c>
      <c r="E28" s="1">
        <v>3324000</v>
      </c>
      <c r="F28" s="1"/>
      <c r="G28" s="1"/>
      <c r="H28" s="1"/>
      <c r="I28" s="1"/>
      <c r="J28" s="1"/>
    </row>
    <row r="29" spans="1:10" x14ac:dyDescent="0.2">
      <c r="A29" t="s">
        <v>143</v>
      </c>
      <c r="B29" s="1">
        <v>-13721000</v>
      </c>
      <c r="C29" s="1">
        <v>-18615000</v>
      </c>
      <c r="D29" s="1">
        <v>2745000</v>
      </c>
      <c r="E29" s="1">
        <v>-4347000</v>
      </c>
      <c r="F29" s="1"/>
      <c r="G29" s="1"/>
      <c r="H29" s="1"/>
      <c r="I29" s="1"/>
      <c r="J29" s="1"/>
    </row>
    <row r="30" spans="1:10" x14ac:dyDescent="0.2">
      <c r="A30" t="s">
        <v>144</v>
      </c>
      <c r="B30" s="1">
        <v>-13721000</v>
      </c>
      <c r="C30" s="1">
        <v>-18615000</v>
      </c>
      <c r="D30" s="1">
        <v>2745000</v>
      </c>
      <c r="E30" s="1">
        <v>-4347000</v>
      </c>
      <c r="F30" s="1"/>
      <c r="G30" s="1"/>
      <c r="H30" s="1"/>
      <c r="I30" s="1"/>
      <c r="J30" s="1"/>
    </row>
    <row r="31" spans="1:10" x14ac:dyDescent="0.2">
      <c r="A31" t="s">
        <v>184</v>
      </c>
      <c r="B31" s="1">
        <v>-7632000</v>
      </c>
      <c r="C31" s="1">
        <v>-5742000</v>
      </c>
      <c r="D31" s="1">
        <v>-6227000</v>
      </c>
      <c r="E31" s="1">
        <v>-6866000</v>
      </c>
      <c r="F31" s="1"/>
      <c r="G31" s="1"/>
      <c r="H31" s="1"/>
      <c r="I31" s="1"/>
      <c r="J31" s="1"/>
    </row>
    <row r="32" spans="1:10" x14ac:dyDescent="0.2">
      <c r="A32" t="s">
        <v>166</v>
      </c>
      <c r="B32" s="1" t="s">
        <v>134</v>
      </c>
      <c r="C32" s="1">
        <v>1340000</v>
      </c>
      <c r="D32" s="1">
        <v>145000</v>
      </c>
      <c r="E32" s="1">
        <v>-289000</v>
      </c>
      <c r="F32" s="1"/>
      <c r="G32" s="1"/>
      <c r="H32" s="1"/>
      <c r="I32" s="1"/>
      <c r="J32" s="1"/>
    </row>
    <row r="33" spans="1:10" x14ac:dyDescent="0.2">
      <c r="A33" t="s">
        <v>167</v>
      </c>
      <c r="B33" s="1" t="s">
        <v>134</v>
      </c>
      <c r="C33" s="1" t="s">
        <v>134</v>
      </c>
      <c r="D33" s="1" t="s">
        <v>134</v>
      </c>
      <c r="E33" s="1">
        <v>-738000</v>
      </c>
      <c r="F33" s="1"/>
      <c r="G33" s="1"/>
      <c r="H33" s="1"/>
      <c r="I33" s="1"/>
      <c r="J33" s="1"/>
    </row>
    <row r="34" spans="1:10" x14ac:dyDescent="0.2">
      <c r="A34" t="s">
        <v>168</v>
      </c>
      <c r="B34" s="1" t="s">
        <v>134</v>
      </c>
      <c r="C34" s="1">
        <v>1340000</v>
      </c>
      <c r="D34" s="1">
        <v>145000</v>
      </c>
      <c r="E34" s="1">
        <v>449000</v>
      </c>
      <c r="F34" s="1"/>
      <c r="G34" s="1"/>
      <c r="H34" s="1"/>
      <c r="I34" s="1"/>
      <c r="J34" s="1"/>
    </row>
    <row r="35" spans="1:10" x14ac:dyDescent="0.2">
      <c r="A35" t="s">
        <v>185</v>
      </c>
      <c r="B35" s="1">
        <v>-657000</v>
      </c>
      <c r="C35" s="1">
        <v>-7552000</v>
      </c>
      <c r="D35" s="1">
        <v>5466000</v>
      </c>
      <c r="E35" s="1">
        <v>1753000</v>
      </c>
      <c r="F35" s="1"/>
      <c r="G35" s="1"/>
      <c r="H35" s="1"/>
      <c r="I35" s="1"/>
      <c r="J35" s="1"/>
    </row>
    <row r="36" spans="1:10" x14ac:dyDescent="0.2">
      <c r="A36" t="s">
        <v>186</v>
      </c>
      <c r="B36" s="1">
        <v>-17586000</v>
      </c>
      <c r="C36" s="1">
        <v>-39947000</v>
      </c>
      <c r="D36" s="1">
        <v>-27763000</v>
      </c>
      <c r="E36" s="1">
        <v>-17458000</v>
      </c>
      <c r="F36" s="1"/>
      <c r="G36" s="1"/>
      <c r="H36" s="1"/>
      <c r="I36" s="1"/>
      <c r="J36" s="1"/>
    </row>
    <row r="37" spans="1:10" x14ac:dyDescent="0.2">
      <c r="A37" t="s">
        <v>187</v>
      </c>
      <c r="B37" s="1">
        <v>16929000</v>
      </c>
      <c r="C37" s="1">
        <v>32395000</v>
      </c>
      <c r="D37" s="1">
        <v>33229000</v>
      </c>
      <c r="E37" s="1">
        <v>19211000</v>
      </c>
      <c r="F37" s="1"/>
      <c r="G37" s="1"/>
      <c r="H37" s="1"/>
      <c r="I37" s="1"/>
      <c r="J37" s="1"/>
    </row>
    <row r="38" spans="1:10" x14ac:dyDescent="0.2">
      <c r="A38" t="s">
        <v>188</v>
      </c>
      <c r="B38" s="1">
        <v>-5432000</v>
      </c>
      <c r="C38" s="1">
        <v>-6661000</v>
      </c>
      <c r="D38" s="1">
        <v>3361000</v>
      </c>
      <c r="E38" s="1">
        <v>1055000</v>
      </c>
      <c r="F38" s="1"/>
      <c r="G38" s="1"/>
      <c r="H38" s="1"/>
      <c r="I38" s="1"/>
      <c r="J38" s="1"/>
    </row>
    <row r="39" spans="1:10" x14ac:dyDescent="0.2">
      <c r="A39" t="s">
        <v>145</v>
      </c>
      <c r="B39" s="1">
        <v>-3129000</v>
      </c>
      <c r="C39" s="1">
        <v>2315000</v>
      </c>
      <c r="D39" s="1">
        <v>-23498000</v>
      </c>
      <c r="E39" s="1">
        <v>2511000</v>
      </c>
      <c r="F39" s="1"/>
      <c r="G39" s="1"/>
      <c r="H39" s="1"/>
      <c r="I39" s="1"/>
      <c r="J39" s="1"/>
    </row>
    <row r="40" spans="1:10" x14ac:dyDescent="0.2">
      <c r="A40" t="s">
        <v>146</v>
      </c>
      <c r="B40" s="1">
        <v>-3129000</v>
      </c>
      <c r="C40" s="1">
        <v>2315000</v>
      </c>
      <c r="D40" s="1">
        <v>-23498000</v>
      </c>
      <c r="E40" s="1">
        <v>2511000</v>
      </c>
      <c r="F40" s="1"/>
      <c r="G40" s="1"/>
      <c r="H40" s="1"/>
      <c r="I40" s="1"/>
      <c r="J40" s="1"/>
    </row>
    <row r="41" spans="1:10" x14ac:dyDescent="0.2">
      <c r="A41" t="s">
        <v>147</v>
      </c>
      <c r="B41" s="1">
        <v>-277000</v>
      </c>
      <c r="C41" s="1">
        <v>3095000</v>
      </c>
      <c r="D41" s="1">
        <v>-22990000</v>
      </c>
      <c r="E41" s="1">
        <v>5275000</v>
      </c>
      <c r="F41" s="1"/>
      <c r="G41" s="1"/>
      <c r="H41" s="1"/>
      <c r="I41" s="1"/>
      <c r="J41" s="1"/>
    </row>
    <row r="42" spans="1:10" x14ac:dyDescent="0.2">
      <c r="A42" t="s">
        <v>148</v>
      </c>
      <c r="B42" s="1">
        <v>1107000</v>
      </c>
      <c r="C42" s="1">
        <v>5386000</v>
      </c>
      <c r="D42" s="1">
        <v>-26263000</v>
      </c>
      <c r="E42" s="1">
        <v>185000</v>
      </c>
      <c r="F42" s="1"/>
      <c r="G42" s="1"/>
      <c r="H42" s="1"/>
      <c r="I42" s="1"/>
      <c r="J42" s="1"/>
    </row>
    <row r="43" spans="1:10" x14ac:dyDescent="0.2">
      <c r="A43" t="s">
        <v>149</v>
      </c>
      <c r="B43" s="1">
        <v>47604000</v>
      </c>
      <c r="C43" s="1">
        <v>65900000</v>
      </c>
      <c r="D43" s="1">
        <v>27901000</v>
      </c>
      <c r="E43" s="1">
        <v>45470000</v>
      </c>
      <c r="F43" s="1"/>
      <c r="G43" s="1"/>
      <c r="H43" s="1"/>
      <c r="I43" s="1"/>
      <c r="J43" s="1"/>
    </row>
    <row r="44" spans="1:10" x14ac:dyDescent="0.2">
      <c r="A44" t="s">
        <v>150</v>
      </c>
      <c r="B44" s="1">
        <v>-46497000</v>
      </c>
      <c r="C44" s="1">
        <v>-60514000</v>
      </c>
      <c r="D44" s="1">
        <v>-54164000</v>
      </c>
      <c r="E44" s="1">
        <v>-45655000</v>
      </c>
      <c r="F44" s="1"/>
      <c r="G44" s="1"/>
      <c r="H44" s="1"/>
      <c r="I44" s="1"/>
      <c r="J44" s="1"/>
    </row>
    <row r="45" spans="1:10" x14ac:dyDescent="0.2">
      <c r="A45" t="s">
        <v>151</v>
      </c>
      <c r="B45" s="1">
        <v>-1384000</v>
      </c>
      <c r="C45" s="1">
        <v>-2291000</v>
      </c>
      <c r="D45" s="1">
        <v>3273000</v>
      </c>
      <c r="E45" s="1">
        <v>5460000</v>
      </c>
      <c r="F45" s="1"/>
      <c r="G45" s="1"/>
      <c r="H45" s="1"/>
      <c r="I45" s="1"/>
      <c r="J45" s="1"/>
    </row>
    <row r="46" spans="1:10" x14ac:dyDescent="0.2">
      <c r="A46" t="s">
        <v>189</v>
      </c>
      <c r="B46" s="1">
        <v>-237000</v>
      </c>
      <c r="C46" s="1">
        <v>0</v>
      </c>
      <c r="D46" s="1">
        <v>0</v>
      </c>
      <c r="E46" s="1">
        <v>-484000</v>
      </c>
      <c r="F46" s="1"/>
      <c r="G46" s="1"/>
      <c r="H46" s="1"/>
      <c r="I46" s="1"/>
      <c r="J46" s="1"/>
    </row>
    <row r="47" spans="1:10" x14ac:dyDescent="0.2">
      <c r="A47" t="s">
        <v>190</v>
      </c>
      <c r="B47" s="1">
        <v>-237000</v>
      </c>
      <c r="C47" s="1">
        <v>0</v>
      </c>
      <c r="D47" s="1">
        <v>0</v>
      </c>
      <c r="E47" s="1">
        <v>-484000</v>
      </c>
      <c r="F47" s="1"/>
      <c r="G47" s="1"/>
      <c r="H47" s="1"/>
      <c r="I47" s="1"/>
      <c r="J47" s="1"/>
    </row>
    <row r="48" spans="1:10" x14ac:dyDescent="0.2">
      <c r="A48" t="s">
        <v>191</v>
      </c>
      <c r="B48" s="1">
        <v>-2389000</v>
      </c>
      <c r="C48" s="1">
        <v>-596000</v>
      </c>
      <c r="D48" s="1">
        <v>-403000</v>
      </c>
      <c r="E48" s="1">
        <v>-2009000</v>
      </c>
      <c r="F48" s="1"/>
      <c r="G48" s="1"/>
      <c r="H48" s="1"/>
      <c r="I48" s="1"/>
      <c r="J48" s="1"/>
    </row>
    <row r="49" spans="1:10" x14ac:dyDescent="0.2">
      <c r="A49" t="s">
        <v>192</v>
      </c>
      <c r="B49" s="1">
        <v>-2389000</v>
      </c>
      <c r="C49" s="1">
        <v>-596000</v>
      </c>
      <c r="D49" s="1">
        <v>-403000</v>
      </c>
      <c r="E49" s="1">
        <v>-2009000</v>
      </c>
      <c r="F49" s="1"/>
      <c r="G49" s="1"/>
      <c r="H49" s="1"/>
      <c r="I49" s="1"/>
      <c r="J49" s="1"/>
    </row>
    <row r="50" spans="1:10" x14ac:dyDescent="0.2">
      <c r="A50" t="s">
        <v>152</v>
      </c>
      <c r="B50" s="1">
        <v>-226000</v>
      </c>
      <c r="C50" s="1">
        <v>-184000</v>
      </c>
      <c r="D50" s="1">
        <v>-105000</v>
      </c>
      <c r="E50" s="1">
        <v>-271000</v>
      </c>
      <c r="F50" s="1"/>
      <c r="G50" s="1"/>
      <c r="H50" s="1"/>
      <c r="I50" s="1"/>
      <c r="J50" s="1"/>
    </row>
    <row r="51" spans="1:10" x14ac:dyDescent="0.2">
      <c r="A51" t="s">
        <v>153</v>
      </c>
      <c r="B51" s="1">
        <v>17741000</v>
      </c>
      <c r="C51" s="1">
        <v>25935000</v>
      </c>
      <c r="D51" s="1">
        <v>20737000</v>
      </c>
      <c r="E51" s="1">
        <v>25340000</v>
      </c>
      <c r="F51" s="1"/>
      <c r="G51" s="1"/>
      <c r="H51" s="1"/>
      <c r="I51" s="1"/>
      <c r="J51" s="1"/>
    </row>
    <row r="52" spans="1:10" x14ac:dyDescent="0.2">
      <c r="A52" t="s">
        <v>154</v>
      </c>
      <c r="B52" s="1">
        <v>789000</v>
      </c>
      <c r="C52" s="1">
        <v>7969000</v>
      </c>
      <c r="D52" s="1">
        <v>-4966000</v>
      </c>
      <c r="E52" s="1">
        <v>5017000</v>
      </c>
      <c r="F52" s="1"/>
      <c r="G52" s="1"/>
      <c r="H52" s="1"/>
      <c r="I52" s="1"/>
      <c r="J52" s="1"/>
    </row>
    <row r="53" spans="1:10" x14ac:dyDescent="0.2">
      <c r="A53" t="s">
        <v>171</v>
      </c>
      <c r="B53" s="1">
        <v>45000</v>
      </c>
      <c r="C53" s="1">
        <v>225000</v>
      </c>
      <c r="D53" s="1">
        <v>-232000</v>
      </c>
      <c r="E53" s="1">
        <v>-414000</v>
      </c>
      <c r="F53" s="1"/>
      <c r="G53" s="1"/>
      <c r="H53" s="1"/>
      <c r="I53" s="1"/>
      <c r="J53" s="1"/>
    </row>
    <row r="54" spans="1:10" x14ac:dyDescent="0.2">
      <c r="A54" t="s">
        <v>155</v>
      </c>
      <c r="B54" s="1">
        <v>16907000</v>
      </c>
      <c r="C54" s="1">
        <v>17741000</v>
      </c>
      <c r="D54" s="1">
        <v>25935000</v>
      </c>
      <c r="E54" s="1">
        <v>20737000</v>
      </c>
      <c r="F54" s="1"/>
      <c r="G54" s="1"/>
      <c r="H54" s="1"/>
      <c r="I54" s="1"/>
      <c r="J54" s="1"/>
    </row>
    <row r="55" spans="1:10" x14ac:dyDescent="0.2">
      <c r="A55" t="s">
        <v>232</v>
      </c>
      <c r="B55" s="1">
        <v>-7632000</v>
      </c>
      <c r="C55" s="1">
        <v>-5742000</v>
      </c>
      <c r="D55" s="1">
        <v>-6227000</v>
      </c>
      <c r="E55" s="1">
        <v>-6866000</v>
      </c>
      <c r="F55" s="1"/>
      <c r="G55" s="1"/>
      <c r="H55" s="1"/>
      <c r="I55" s="1"/>
      <c r="J55" s="1"/>
    </row>
    <row r="56" spans="1:10" x14ac:dyDescent="0.2">
      <c r="A56" t="s">
        <v>157</v>
      </c>
      <c r="B56" s="1">
        <v>47604000</v>
      </c>
      <c r="C56" s="1">
        <v>65900000</v>
      </c>
      <c r="D56" s="1">
        <v>27901000</v>
      </c>
      <c r="E56" s="1">
        <v>45470000</v>
      </c>
      <c r="F56" s="1"/>
      <c r="G56" s="1"/>
      <c r="H56" s="1"/>
      <c r="I56" s="1"/>
      <c r="J56" s="1"/>
    </row>
    <row r="57" spans="1:10" x14ac:dyDescent="0.2">
      <c r="A57" t="s">
        <v>158</v>
      </c>
      <c r="B57" s="1">
        <v>-46497000</v>
      </c>
      <c r="C57" s="1">
        <v>-60514000</v>
      </c>
      <c r="D57" s="1">
        <v>-54164000</v>
      </c>
      <c r="E57" s="1">
        <v>-45655000</v>
      </c>
      <c r="F57" s="1"/>
      <c r="G57" s="1"/>
      <c r="H57" s="1"/>
      <c r="I57" s="1"/>
      <c r="J57" s="1"/>
    </row>
    <row r="58" spans="1:10" x14ac:dyDescent="0.2">
      <c r="A58" t="s">
        <v>172</v>
      </c>
      <c r="B58" s="1">
        <v>-237000</v>
      </c>
      <c r="C58" s="1">
        <v>0</v>
      </c>
      <c r="D58" s="1">
        <v>0</v>
      </c>
      <c r="E58" s="1">
        <v>-484000</v>
      </c>
      <c r="F58" s="1"/>
      <c r="G58" s="1"/>
      <c r="H58" s="1"/>
      <c r="I58" s="1"/>
      <c r="J58" s="1"/>
    </row>
    <row r="59" spans="1:10" x14ac:dyDescent="0.2">
      <c r="A59" t="s">
        <v>159</v>
      </c>
      <c r="B59" s="1">
        <v>10007000</v>
      </c>
      <c r="C59" s="1">
        <v>18527000</v>
      </c>
      <c r="D59" s="1">
        <v>9560000</v>
      </c>
      <c r="E59" s="1">
        <v>-13000</v>
      </c>
      <c r="F59" s="1"/>
      <c r="G59" s="1"/>
      <c r="H59" s="1"/>
      <c r="I59" s="1"/>
      <c r="J59" s="1"/>
    </row>
    <row r="64" spans="1:10" x14ac:dyDescent="0.2">
      <c r="E64" t="s">
        <v>173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BCF6D-C84C-44E9-82CE-A425B9485AB8}">
  <sheetPr>
    <tabColor theme="8" tint="0.59999389629810485"/>
  </sheetPr>
  <dimension ref="A1:O84"/>
  <sheetViews>
    <sheetView topLeftCell="A41" workbookViewId="0">
      <selection activeCell="B48" sqref="B48"/>
    </sheetView>
  </sheetViews>
  <sheetFormatPr defaultRowHeight="12.75" x14ac:dyDescent="0.2"/>
  <cols>
    <col min="1" max="1" width="54.140625" bestFit="1" customWidth="1"/>
    <col min="2" max="6" width="11.140625" bestFit="1" customWidth="1"/>
    <col min="7" max="7" width="23.85546875" customWidth="1"/>
    <col min="8" max="8" width="21.140625" customWidth="1"/>
    <col min="9" max="9" width="28" bestFit="1" customWidth="1"/>
    <col min="10" max="10" width="12.7109375" bestFit="1" customWidth="1"/>
    <col min="12" max="12" width="15.140625" customWidth="1"/>
    <col min="13" max="13" width="14.85546875" bestFit="1" customWidth="1"/>
    <col min="14" max="14" width="25" bestFit="1" customWidth="1"/>
    <col min="15" max="15" width="24.7109375" bestFit="1" customWidth="1"/>
  </cols>
  <sheetData>
    <row r="1" spans="1:15" x14ac:dyDescent="0.2">
      <c r="A1" s="4" t="s">
        <v>46</v>
      </c>
      <c r="B1" s="5">
        <v>43829</v>
      </c>
      <c r="C1" s="5">
        <v>44195</v>
      </c>
      <c r="D1" s="5">
        <v>44560</v>
      </c>
      <c r="E1" s="5">
        <v>44925</v>
      </c>
    </row>
    <row r="2" spans="1:15" x14ac:dyDescent="0.2">
      <c r="A2" t="s">
        <v>47</v>
      </c>
      <c r="B2" s="1">
        <v>258537000</v>
      </c>
      <c r="C2" s="1">
        <v>267261000</v>
      </c>
      <c r="D2" s="1">
        <v>257035000</v>
      </c>
      <c r="E2" s="1">
        <v>255884000</v>
      </c>
    </row>
    <row r="3" spans="1:15" x14ac:dyDescent="0.2">
      <c r="A3" s="21" t="s">
        <v>48</v>
      </c>
      <c r="B3" s="1">
        <v>114047000</v>
      </c>
      <c r="C3" s="1">
        <v>116744000</v>
      </c>
      <c r="D3" s="1">
        <v>108996000</v>
      </c>
      <c r="E3" s="1">
        <v>116476000</v>
      </c>
    </row>
    <row r="4" spans="1:15" x14ac:dyDescent="0.2">
      <c r="A4" t="s">
        <v>49</v>
      </c>
      <c r="B4" s="1">
        <v>34651000</v>
      </c>
      <c r="C4" s="1">
        <v>49961000</v>
      </c>
      <c r="D4" s="1">
        <v>49593000</v>
      </c>
      <c r="E4" s="1">
        <v>44070000</v>
      </c>
    </row>
    <row r="5" spans="1:15" x14ac:dyDescent="0.2">
      <c r="A5" t="s">
        <v>50</v>
      </c>
      <c r="B5" s="1">
        <v>17504000</v>
      </c>
      <c r="C5" s="1">
        <v>25243000</v>
      </c>
      <c r="D5" s="1">
        <v>20540000</v>
      </c>
      <c r="E5" s="1">
        <v>25134000</v>
      </c>
      <c r="F5" s="1"/>
    </row>
    <row r="6" spans="1:15" x14ac:dyDescent="0.2">
      <c r="A6" s="20" t="s">
        <v>51</v>
      </c>
      <c r="B6" s="1">
        <v>14662000</v>
      </c>
      <c r="C6" s="1">
        <v>14666000</v>
      </c>
      <c r="D6" s="1">
        <v>15105000</v>
      </c>
      <c r="E6" s="1">
        <v>15757000</v>
      </c>
      <c r="F6" s="1"/>
    </row>
    <row r="7" spans="1:15" x14ac:dyDescent="0.2">
      <c r="A7" t="s">
        <v>52</v>
      </c>
      <c r="B7" s="1">
        <v>2842000</v>
      </c>
      <c r="C7" s="1">
        <v>10577000</v>
      </c>
      <c r="D7" s="1">
        <v>5435000</v>
      </c>
      <c r="E7" s="1">
        <v>9377000</v>
      </c>
      <c r="F7" s="1"/>
      <c r="L7" t="s">
        <v>220</v>
      </c>
    </row>
    <row r="8" spans="1:15" x14ac:dyDescent="0.2">
      <c r="A8" t="s">
        <v>53</v>
      </c>
      <c r="B8" s="1">
        <v>17147000</v>
      </c>
      <c r="C8" s="1">
        <v>24718000</v>
      </c>
      <c r="D8" s="1">
        <v>29053000</v>
      </c>
      <c r="E8" s="1">
        <v>18936000</v>
      </c>
      <c r="F8" s="1"/>
      <c r="G8" t="s">
        <v>220</v>
      </c>
      <c r="H8" t="s">
        <v>134</v>
      </c>
      <c r="L8" s="68" t="s">
        <v>208</v>
      </c>
      <c r="M8" s="68"/>
      <c r="N8" s="68"/>
      <c r="O8" s="68"/>
    </row>
    <row r="9" spans="1:15" x14ac:dyDescent="0.2">
      <c r="A9" t="s">
        <v>54</v>
      </c>
      <c r="B9" s="1">
        <v>62888000</v>
      </c>
      <c r="C9" s="1">
        <v>52394000</v>
      </c>
      <c r="D9" s="1">
        <v>43913000</v>
      </c>
      <c r="E9" s="1">
        <v>54449000</v>
      </c>
      <c r="F9" s="1"/>
      <c r="G9" s="68" t="s">
        <v>206</v>
      </c>
      <c r="H9" s="68"/>
      <c r="I9" s="68"/>
      <c r="J9" s="68"/>
      <c r="L9" s="24" t="s">
        <v>223</v>
      </c>
      <c r="M9" s="24">
        <f>E6</f>
        <v>15757000</v>
      </c>
      <c r="N9" s="24" t="s">
        <v>224</v>
      </c>
      <c r="O9" s="24">
        <f>D6</f>
        <v>15105000</v>
      </c>
    </row>
    <row r="10" spans="1:15" ht="25.5" x14ac:dyDescent="0.2">
      <c r="A10" t="s">
        <v>55</v>
      </c>
      <c r="B10" s="1">
        <v>62888000</v>
      </c>
      <c r="C10" s="1">
        <v>52394000</v>
      </c>
      <c r="D10" s="1">
        <v>43913000</v>
      </c>
      <c r="E10" s="1">
        <v>54449000</v>
      </c>
      <c r="F10" s="1"/>
      <c r="G10" s="11" t="s">
        <v>214</v>
      </c>
      <c r="H10" s="3">
        <f>E3</f>
        <v>116476000</v>
      </c>
      <c r="I10" s="11" t="s">
        <v>215</v>
      </c>
      <c r="J10" s="11">
        <f>E40</f>
        <v>96866000</v>
      </c>
      <c r="L10" s="24" t="s">
        <v>225</v>
      </c>
      <c r="M10" s="24">
        <f>H19</f>
        <v>0</v>
      </c>
      <c r="N10" s="24" t="s">
        <v>226</v>
      </c>
      <c r="O10" s="24">
        <f>I19</f>
        <v>0</v>
      </c>
    </row>
    <row r="11" spans="1:15" ht="25.5" x14ac:dyDescent="0.2">
      <c r="A11" t="s">
        <v>56</v>
      </c>
      <c r="B11" s="1">
        <v>63014000</v>
      </c>
      <c r="C11" s="1">
        <v>52872000</v>
      </c>
      <c r="D11" s="1">
        <v>44243000</v>
      </c>
      <c r="E11" s="1">
        <v>54809000</v>
      </c>
      <c r="F11" s="1"/>
      <c r="G11" s="11" t="s">
        <v>216</v>
      </c>
      <c r="H11" s="3">
        <f>D3</f>
        <v>108996000</v>
      </c>
      <c r="I11" s="11" t="s">
        <v>217</v>
      </c>
      <c r="J11" s="11">
        <f>D40</f>
        <v>90727000</v>
      </c>
      <c r="L11" s="24" t="s">
        <v>227</v>
      </c>
      <c r="M11" s="24">
        <f>E81</f>
        <v>140474000</v>
      </c>
      <c r="N11" s="24" t="s">
        <v>228</v>
      </c>
      <c r="O11" s="24">
        <f>D81</f>
        <v>139485000</v>
      </c>
    </row>
    <row r="12" spans="1:15" ht="26.25" x14ac:dyDescent="0.25">
      <c r="A12" t="s">
        <v>57</v>
      </c>
      <c r="B12" s="1">
        <v>-126000</v>
      </c>
      <c r="C12" s="1">
        <v>-478000</v>
      </c>
      <c r="D12" s="1">
        <v>-330000</v>
      </c>
      <c r="E12" s="1">
        <v>-360000</v>
      </c>
      <c r="F12" s="1"/>
      <c r="G12" s="19" t="s">
        <v>218</v>
      </c>
      <c r="H12" s="22">
        <f>H10-H11</f>
        <v>7480000</v>
      </c>
      <c r="I12" s="19" t="s">
        <v>219</v>
      </c>
      <c r="J12" s="11">
        <f>J10-J11</f>
        <v>6139000</v>
      </c>
      <c r="L12" s="24" t="s">
        <v>229</v>
      </c>
      <c r="M12" s="24">
        <f>M11-M9</f>
        <v>124717000</v>
      </c>
      <c r="N12" s="24" t="s">
        <v>230</v>
      </c>
      <c r="O12" s="24">
        <f>O11-O9</f>
        <v>124380000</v>
      </c>
    </row>
    <row r="13" spans="1:15" ht="30" x14ac:dyDescent="0.25">
      <c r="A13" t="s">
        <v>58</v>
      </c>
      <c r="B13" s="1">
        <v>10786000</v>
      </c>
      <c r="C13" s="1">
        <v>10808000</v>
      </c>
      <c r="D13" s="1">
        <v>12065000</v>
      </c>
      <c r="E13" s="1">
        <v>14080000</v>
      </c>
      <c r="F13" s="1"/>
      <c r="G13" s="19" t="s">
        <v>206</v>
      </c>
      <c r="H13" s="27">
        <f>H12-J12</f>
        <v>1341000</v>
      </c>
      <c r="I13" s="19" t="s">
        <v>173</v>
      </c>
      <c r="J13" s="11"/>
      <c r="L13" s="25" t="s">
        <v>208</v>
      </c>
      <c r="M13" s="28">
        <f>M12-O12</f>
        <v>337000</v>
      </c>
      <c r="N13" s="26"/>
      <c r="O13" s="26"/>
    </row>
    <row r="14" spans="1:15" x14ac:dyDescent="0.2">
      <c r="A14" t="s">
        <v>59</v>
      </c>
      <c r="B14" s="1">
        <v>4402000</v>
      </c>
      <c r="C14" s="1">
        <v>4676000</v>
      </c>
      <c r="D14" s="1">
        <v>5785000</v>
      </c>
      <c r="E14" s="1">
        <v>5997000</v>
      </c>
      <c r="F14" s="1"/>
      <c r="L14" s="26"/>
      <c r="M14" s="26"/>
      <c r="N14" s="26"/>
      <c r="O14" s="26"/>
    </row>
    <row r="15" spans="1:15" x14ac:dyDescent="0.2">
      <c r="A15" t="s">
        <v>60</v>
      </c>
      <c r="B15" s="1">
        <v>6384000</v>
      </c>
      <c r="C15" s="1">
        <v>6132000</v>
      </c>
      <c r="D15" s="1">
        <v>6280000</v>
      </c>
      <c r="E15" s="1">
        <v>8083000</v>
      </c>
      <c r="F15" s="1"/>
      <c r="L15" s="26"/>
      <c r="M15" s="26"/>
      <c r="N15" s="26"/>
      <c r="O15" s="26"/>
    </row>
    <row r="16" spans="1:15" x14ac:dyDescent="0.2">
      <c r="A16" t="s">
        <v>61</v>
      </c>
      <c r="B16" s="1">
        <v>2383000</v>
      </c>
      <c r="C16" s="1">
        <v>47000</v>
      </c>
      <c r="D16" s="1">
        <v>0</v>
      </c>
      <c r="E16" s="1">
        <v>97000</v>
      </c>
      <c r="F16" s="1"/>
      <c r="L16" s="26"/>
      <c r="M16" s="26"/>
      <c r="N16" s="26"/>
      <c r="O16" s="26"/>
    </row>
    <row r="17" spans="1:15" x14ac:dyDescent="0.2">
      <c r="A17" t="s">
        <v>62</v>
      </c>
      <c r="B17" s="1">
        <v>3339000</v>
      </c>
      <c r="C17" s="1">
        <v>3534000</v>
      </c>
      <c r="D17" s="1">
        <v>3425000</v>
      </c>
      <c r="E17" s="1">
        <v>3780000</v>
      </c>
      <c r="F17" s="1"/>
      <c r="L17" s="26"/>
      <c r="M17" s="26"/>
      <c r="N17" s="26"/>
      <c r="O17" s="26"/>
    </row>
    <row r="18" spans="1:15" x14ac:dyDescent="0.2">
      <c r="A18" t="s">
        <v>63</v>
      </c>
      <c r="B18" s="1">
        <v>144490000</v>
      </c>
      <c r="C18" s="1">
        <v>150517000</v>
      </c>
      <c r="D18" s="1">
        <v>148039000</v>
      </c>
      <c r="E18" s="1">
        <v>139408000</v>
      </c>
      <c r="F18" s="1"/>
      <c r="G18" t="s">
        <v>221</v>
      </c>
      <c r="L18" s="26" t="s">
        <v>221</v>
      </c>
      <c r="M18" s="26"/>
      <c r="N18" s="26"/>
      <c r="O18" s="26"/>
    </row>
    <row r="19" spans="1:15" x14ac:dyDescent="0.2">
      <c r="A19" t="s">
        <v>64</v>
      </c>
      <c r="B19" s="1">
        <v>65699000</v>
      </c>
      <c r="C19" s="1">
        <v>65034000</v>
      </c>
      <c r="D19" s="1">
        <v>63500000</v>
      </c>
      <c r="E19" s="1">
        <v>57687000</v>
      </c>
      <c r="F19" s="1"/>
      <c r="G19" s="68" t="s">
        <v>206</v>
      </c>
      <c r="H19" s="68"/>
      <c r="I19" s="68"/>
      <c r="J19" s="68"/>
      <c r="L19" s="69" t="s">
        <v>208</v>
      </c>
      <c r="M19" s="69"/>
      <c r="N19" s="69"/>
      <c r="O19" s="69"/>
    </row>
    <row r="20" spans="1:15" x14ac:dyDescent="0.2">
      <c r="A20" t="s">
        <v>65</v>
      </c>
      <c r="B20" s="1">
        <v>96719000</v>
      </c>
      <c r="C20" s="1">
        <v>97882000</v>
      </c>
      <c r="D20" s="1">
        <v>95842000</v>
      </c>
      <c r="E20" s="1">
        <v>91010000</v>
      </c>
      <c r="F20" s="1"/>
      <c r="G20" s="11" t="s">
        <v>214</v>
      </c>
      <c r="H20" s="3">
        <f>D3</f>
        <v>108996000</v>
      </c>
      <c r="I20" s="11" t="s">
        <v>215</v>
      </c>
      <c r="J20" s="11">
        <f>D40</f>
        <v>90727000</v>
      </c>
      <c r="L20" s="24" t="s">
        <v>223</v>
      </c>
      <c r="M20" s="24">
        <f>D6</f>
        <v>15105000</v>
      </c>
      <c r="N20" s="24" t="s">
        <v>224</v>
      </c>
      <c r="O20" s="24">
        <f>C6</f>
        <v>14666000</v>
      </c>
    </row>
    <row r="21" spans="1:15" ht="25.5" x14ac:dyDescent="0.2">
      <c r="A21" t="s">
        <v>66</v>
      </c>
      <c r="B21" s="1">
        <v>0</v>
      </c>
      <c r="C21" s="1">
        <v>0</v>
      </c>
      <c r="D21" s="1">
        <v>0</v>
      </c>
      <c r="E21" s="1">
        <v>0</v>
      </c>
      <c r="F21" s="1"/>
      <c r="G21" s="11" t="s">
        <v>216</v>
      </c>
      <c r="H21" s="3">
        <f>C3</f>
        <v>116744000</v>
      </c>
      <c r="I21" s="11" t="s">
        <v>217</v>
      </c>
      <c r="J21" s="11">
        <f>C40</f>
        <v>97192000</v>
      </c>
      <c r="L21" s="24" t="s">
        <v>225</v>
      </c>
      <c r="M21" s="24"/>
      <c r="N21" s="24" t="s">
        <v>226</v>
      </c>
      <c r="O21" s="24" t="str">
        <f>I30</f>
        <v>Change in Current Liabilities</v>
      </c>
    </row>
    <row r="22" spans="1:15" ht="26.25" x14ac:dyDescent="0.25">
      <c r="A22" t="s">
        <v>67</v>
      </c>
      <c r="B22" s="1">
        <v>421000</v>
      </c>
      <c r="C22" s="1">
        <v>451000</v>
      </c>
      <c r="D22" s="1">
        <v>450000</v>
      </c>
      <c r="E22" s="1">
        <v>371000</v>
      </c>
      <c r="F22" s="1"/>
      <c r="G22" s="19" t="s">
        <v>218</v>
      </c>
      <c r="H22" s="22">
        <f>H20-H21</f>
        <v>-7748000</v>
      </c>
      <c r="I22" s="19" t="s">
        <v>219</v>
      </c>
      <c r="J22" s="11">
        <f>J20-J21</f>
        <v>-6465000</v>
      </c>
      <c r="L22" s="24" t="s">
        <v>227</v>
      </c>
      <c r="M22" s="24">
        <f>D81</f>
        <v>139485000</v>
      </c>
      <c r="N22" s="24" t="s">
        <v>228</v>
      </c>
      <c r="O22" s="24">
        <f>C81</f>
        <v>162998000</v>
      </c>
    </row>
    <row r="23" spans="1:15" ht="26.25" x14ac:dyDescent="0.25">
      <c r="A23" t="s">
        <v>68</v>
      </c>
      <c r="B23" s="1">
        <v>11900000</v>
      </c>
      <c r="C23" s="1">
        <v>12557000</v>
      </c>
      <c r="D23" s="1">
        <v>12438000</v>
      </c>
      <c r="E23" s="1">
        <v>11946000</v>
      </c>
      <c r="F23" s="1"/>
      <c r="G23" s="19" t="s">
        <v>206</v>
      </c>
      <c r="H23" s="27">
        <f>H22-J22</f>
        <v>-1283000</v>
      </c>
      <c r="I23" s="19" t="s">
        <v>173</v>
      </c>
      <c r="J23" s="11"/>
      <c r="L23" s="24" t="s">
        <v>229</v>
      </c>
      <c r="M23" s="24">
        <f>M22-M20</f>
        <v>124380000</v>
      </c>
      <c r="N23" s="24" t="s">
        <v>230</v>
      </c>
      <c r="O23" s="24">
        <f>O22-O20</f>
        <v>148332000</v>
      </c>
    </row>
    <row r="24" spans="1:15" ht="30" x14ac:dyDescent="0.25">
      <c r="A24" t="s">
        <v>69</v>
      </c>
      <c r="B24" s="1">
        <v>42630000</v>
      </c>
      <c r="C24" s="1">
        <v>44363000</v>
      </c>
      <c r="D24" s="1">
        <v>44234000</v>
      </c>
      <c r="E24" s="1">
        <v>65970000</v>
      </c>
      <c r="F24" s="1"/>
      <c r="L24" s="25" t="s">
        <v>208</v>
      </c>
      <c r="M24" s="28">
        <f>M23-O23</f>
        <v>-23952000</v>
      </c>
      <c r="N24" s="26"/>
      <c r="O24" s="26"/>
    </row>
    <row r="25" spans="1:15" x14ac:dyDescent="0.2">
      <c r="A25" t="s">
        <v>70</v>
      </c>
      <c r="B25" s="1">
        <v>40058000</v>
      </c>
      <c r="C25" s="1">
        <v>38793000</v>
      </c>
      <c r="D25" s="1">
        <v>36568000</v>
      </c>
      <c r="E25" s="1">
        <v>9520000</v>
      </c>
      <c r="F25" s="1"/>
      <c r="L25" s="26"/>
      <c r="M25" s="26"/>
      <c r="N25" s="26"/>
      <c r="O25" s="26"/>
    </row>
    <row r="26" spans="1:15" x14ac:dyDescent="0.2">
      <c r="A26" t="s">
        <v>71</v>
      </c>
      <c r="B26" s="1">
        <v>1710000</v>
      </c>
      <c r="C26" s="1">
        <v>1718000</v>
      </c>
      <c r="D26" s="1">
        <v>2152000</v>
      </c>
      <c r="E26" s="1">
        <v>3203000</v>
      </c>
      <c r="F26" s="1"/>
      <c r="G26" t="s">
        <v>222</v>
      </c>
      <c r="L26" s="26" t="s">
        <v>222</v>
      </c>
      <c r="M26" s="26"/>
      <c r="N26" s="26"/>
      <c r="O26" s="26"/>
    </row>
    <row r="27" spans="1:15" x14ac:dyDescent="0.2">
      <c r="A27" t="s">
        <v>72</v>
      </c>
      <c r="B27" s="1">
        <v>-31020000</v>
      </c>
      <c r="C27" s="1">
        <v>-32848000</v>
      </c>
      <c r="D27" s="1">
        <v>-32342000</v>
      </c>
      <c r="E27" s="1">
        <v>-33323000</v>
      </c>
      <c r="F27" s="1"/>
      <c r="G27" s="68" t="s">
        <v>206</v>
      </c>
      <c r="H27" s="68"/>
      <c r="I27" s="68"/>
      <c r="J27" s="68"/>
      <c r="L27" s="69" t="s">
        <v>208</v>
      </c>
      <c r="M27" s="69"/>
      <c r="N27" s="69"/>
      <c r="O27" s="69"/>
    </row>
    <row r="28" spans="1:15" x14ac:dyDescent="0.2">
      <c r="A28" t="s">
        <v>73</v>
      </c>
      <c r="B28" s="1">
        <v>466000</v>
      </c>
      <c r="C28" s="1">
        <v>402000</v>
      </c>
      <c r="D28" s="1">
        <v>730000</v>
      </c>
      <c r="E28" s="1">
        <v>2350000</v>
      </c>
      <c r="F28" s="1"/>
      <c r="G28" s="11" t="s">
        <v>214</v>
      </c>
      <c r="H28" s="3">
        <f>C3</f>
        <v>116744000</v>
      </c>
      <c r="I28" s="11" t="s">
        <v>215</v>
      </c>
      <c r="J28" s="11">
        <f>C40</f>
        <v>97192000</v>
      </c>
      <c r="L28" s="24" t="s">
        <v>223</v>
      </c>
      <c r="M28" s="24">
        <f>C6</f>
        <v>14666000</v>
      </c>
      <c r="N28" s="24" t="s">
        <v>224</v>
      </c>
      <c r="O28" s="24">
        <f>B6</f>
        <v>14662000</v>
      </c>
    </row>
    <row r="29" spans="1:15" ht="25.5" x14ac:dyDescent="0.2">
      <c r="A29" t="s">
        <v>74</v>
      </c>
      <c r="B29" s="1">
        <v>2780000</v>
      </c>
      <c r="C29" s="1">
        <v>258000</v>
      </c>
      <c r="D29" s="1">
        <v>619000</v>
      </c>
      <c r="E29" s="1">
        <v>0</v>
      </c>
      <c r="F29" s="1"/>
      <c r="G29" s="11" t="s">
        <v>216</v>
      </c>
      <c r="H29" s="3">
        <f>B3</f>
        <v>114047000</v>
      </c>
      <c r="I29" s="11" t="s">
        <v>217</v>
      </c>
      <c r="J29" s="11">
        <f>B40</f>
        <v>98132000</v>
      </c>
      <c r="L29" s="24" t="s">
        <v>225</v>
      </c>
      <c r="M29" s="24">
        <f>H38</f>
        <v>0</v>
      </c>
      <c r="N29" s="24" t="s">
        <v>226</v>
      </c>
      <c r="O29" s="24">
        <f>I38</f>
        <v>0</v>
      </c>
    </row>
    <row r="30" spans="1:15" ht="26.25" x14ac:dyDescent="0.25">
      <c r="A30" t="s">
        <v>75</v>
      </c>
      <c r="B30" s="1">
        <v>188000</v>
      </c>
      <c r="C30" s="1">
        <v>144000</v>
      </c>
      <c r="D30" s="1">
        <v>111000</v>
      </c>
      <c r="E30" s="1">
        <v>2350000</v>
      </c>
      <c r="F30" s="1"/>
      <c r="G30" s="19" t="s">
        <v>218</v>
      </c>
      <c r="H30" s="22">
        <f>H28-H29</f>
        <v>2697000</v>
      </c>
      <c r="I30" s="19" t="s">
        <v>219</v>
      </c>
      <c r="J30" s="11">
        <f>J28-J29</f>
        <v>-940000</v>
      </c>
      <c r="L30" s="24" t="s">
        <v>227</v>
      </c>
      <c r="M30" s="24">
        <f>C81</f>
        <v>162998000</v>
      </c>
      <c r="N30" s="24" t="s">
        <v>228</v>
      </c>
      <c r="O30" s="24">
        <f>B81</f>
        <v>156721000</v>
      </c>
    </row>
    <row r="31" spans="1:15" ht="26.25" x14ac:dyDescent="0.25">
      <c r="A31" t="s">
        <v>76</v>
      </c>
      <c r="B31" s="1">
        <v>2519000</v>
      </c>
      <c r="C31" s="1">
        <v>4901000</v>
      </c>
      <c r="D31" s="1">
        <v>4545000</v>
      </c>
      <c r="E31" s="1">
        <v>2798000</v>
      </c>
      <c r="F31" s="1"/>
      <c r="G31" s="19" t="s">
        <v>206</v>
      </c>
      <c r="H31" s="27">
        <f>H30-J30</f>
        <v>3637000</v>
      </c>
      <c r="I31" s="19" t="s">
        <v>173</v>
      </c>
      <c r="J31" s="11"/>
      <c r="L31" s="24" t="s">
        <v>229</v>
      </c>
      <c r="M31" s="24">
        <f>M30-M28</f>
        <v>148332000</v>
      </c>
      <c r="N31" s="24" t="s">
        <v>230</v>
      </c>
      <c r="O31" s="24">
        <f>O30-O28</f>
        <v>142059000</v>
      </c>
    </row>
    <row r="32" spans="1:15" ht="30" x14ac:dyDescent="0.25">
      <c r="A32" t="s">
        <v>77</v>
      </c>
      <c r="B32" s="1">
        <v>2519000</v>
      </c>
      <c r="C32" s="1">
        <v>4901000</v>
      </c>
      <c r="D32" s="1">
        <v>4545000</v>
      </c>
      <c r="E32" s="1">
        <v>2798000</v>
      </c>
      <c r="F32" s="1"/>
      <c r="L32" s="25" t="s">
        <v>208</v>
      </c>
      <c r="M32" s="28">
        <f>M31-O31</f>
        <v>6273000</v>
      </c>
      <c r="N32" s="26"/>
      <c r="O32" s="26"/>
    </row>
    <row r="33" spans="1:6" x14ac:dyDescent="0.2">
      <c r="A33" t="s">
        <v>78</v>
      </c>
      <c r="B33" s="1">
        <v>2519000</v>
      </c>
      <c r="C33" s="1">
        <v>4901000</v>
      </c>
      <c r="D33" s="1">
        <v>4545000</v>
      </c>
      <c r="E33" s="1">
        <v>0</v>
      </c>
      <c r="F33" s="1"/>
    </row>
    <row r="34" spans="1:6" x14ac:dyDescent="0.2">
      <c r="A34" t="s">
        <v>79</v>
      </c>
      <c r="B34" s="1">
        <v>29230000</v>
      </c>
      <c r="C34" s="1">
        <v>27951000</v>
      </c>
      <c r="D34" s="1">
        <v>26361000</v>
      </c>
      <c r="E34" s="1">
        <v>0</v>
      </c>
      <c r="F34" s="1"/>
    </row>
    <row r="35" spans="1:6" x14ac:dyDescent="0.2">
      <c r="A35" t="s">
        <v>80</v>
      </c>
      <c r="B35" s="1">
        <v>53703000</v>
      </c>
      <c r="C35" s="1">
        <v>55277000</v>
      </c>
      <c r="D35" s="1">
        <v>51256000</v>
      </c>
      <c r="E35" s="1">
        <v>49903000</v>
      </c>
      <c r="F35" s="1"/>
    </row>
    <row r="36" spans="1:6" x14ac:dyDescent="0.2">
      <c r="A36" t="s">
        <v>81</v>
      </c>
      <c r="B36" s="1">
        <v>11863000</v>
      </c>
      <c r="C36" s="1">
        <v>12423000</v>
      </c>
      <c r="D36" s="1">
        <v>13796000</v>
      </c>
      <c r="E36" s="1">
        <v>15552000</v>
      </c>
      <c r="F36" s="1"/>
    </row>
    <row r="37" spans="1:6" x14ac:dyDescent="0.2">
      <c r="A37" t="s">
        <v>82</v>
      </c>
      <c r="B37" s="1">
        <v>11863000</v>
      </c>
      <c r="C37" s="1">
        <v>12423000</v>
      </c>
      <c r="D37" s="1">
        <v>13796000</v>
      </c>
      <c r="E37" s="1">
        <v>15552000</v>
      </c>
      <c r="F37" s="1"/>
    </row>
    <row r="38" spans="1:6" x14ac:dyDescent="0.2">
      <c r="A38" t="s">
        <v>83</v>
      </c>
      <c r="B38" s="1">
        <v>10240000</v>
      </c>
      <c r="C38" s="1">
        <v>12480000</v>
      </c>
      <c r="D38" s="1">
        <v>14212000</v>
      </c>
      <c r="E38" s="1">
        <v>11118000</v>
      </c>
      <c r="F38" s="1"/>
    </row>
    <row r="39" spans="1:6" x14ac:dyDescent="0.2">
      <c r="A39" t="s">
        <v>84</v>
      </c>
      <c r="B39" s="1">
        <v>225307000</v>
      </c>
      <c r="C39" s="1">
        <v>236450000</v>
      </c>
      <c r="D39" s="1">
        <v>208413000</v>
      </c>
      <c r="E39" s="1">
        <v>212717000</v>
      </c>
      <c r="F39" s="1"/>
    </row>
    <row r="40" spans="1:6" x14ac:dyDescent="0.2">
      <c r="A40" s="21" t="s">
        <v>85</v>
      </c>
      <c r="B40" s="1">
        <v>98132000</v>
      </c>
      <c r="C40" s="1">
        <v>97192000</v>
      </c>
      <c r="D40" s="1">
        <v>90727000</v>
      </c>
      <c r="E40" s="1">
        <v>96866000</v>
      </c>
      <c r="F40" s="1"/>
    </row>
    <row r="41" spans="1:6" x14ac:dyDescent="0.2">
      <c r="A41" t="s">
        <v>86</v>
      </c>
      <c r="B41" s="1">
        <v>21801000</v>
      </c>
      <c r="C41" s="1">
        <v>23419000</v>
      </c>
      <c r="D41" s="1">
        <v>23237000</v>
      </c>
      <c r="E41" s="1">
        <v>26540000</v>
      </c>
      <c r="F41" s="1"/>
    </row>
    <row r="42" spans="1:6" x14ac:dyDescent="0.2">
      <c r="A42" t="s">
        <v>87</v>
      </c>
      <c r="B42" s="1">
        <v>20673000</v>
      </c>
      <c r="C42" s="1">
        <v>22204000</v>
      </c>
      <c r="D42" s="1">
        <v>22349000</v>
      </c>
      <c r="E42" s="1">
        <v>25605000</v>
      </c>
      <c r="F42" s="1"/>
    </row>
    <row r="43" spans="1:6" x14ac:dyDescent="0.2">
      <c r="A43" t="s">
        <v>88</v>
      </c>
      <c r="B43" s="1">
        <v>20673000</v>
      </c>
      <c r="C43" s="1">
        <v>22204000</v>
      </c>
      <c r="D43" s="1">
        <v>22349000</v>
      </c>
      <c r="E43" s="1">
        <v>25605000</v>
      </c>
      <c r="F43" s="1"/>
    </row>
    <row r="44" spans="1:6" x14ac:dyDescent="0.2">
      <c r="A44" t="s">
        <v>89</v>
      </c>
      <c r="B44" s="1">
        <v>1128000</v>
      </c>
      <c r="C44" s="1">
        <v>1215000</v>
      </c>
      <c r="D44" s="1">
        <v>888000</v>
      </c>
      <c r="E44" s="1">
        <v>935000</v>
      </c>
      <c r="F44" s="1"/>
    </row>
    <row r="45" spans="1:6" x14ac:dyDescent="0.2">
      <c r="A45" t="s">
        <v>90</v>
      </c>
      <c r="B45" s="1">
        <v>1128000</v>
      </c>
      <c r="C45" s="1">
        <v>1215000</v>
      </c>
      <c r="D45" s="1">
        <v>888000</v>
      </c>
      <c r="E45" s="1">
        <v>935000</v>
      </c>
      <c r="F45" s="1"/>
    </row>
    <row r="46" spans="1:6" x14ac:dyDescent="0.2">
      <c r="A46" t="s">
        <v>91</v>
      </c>
      <c r="B46" s="1">
        <v>2374000</v>
      </c>
      <c r="C46" s="1">
        <v>2284000</v>
      </c>
      <c r="D46" s="1">
        <v>2221000</v>
      </c>
      <c r="E46" s="1">
        <v>2545000</v>
      </c>
      <c r="F46" s="1"/>
    </row>
    <row r="47" spans="1:6" x14ac:dyDescent="0.2">
      <c r="A47" t="s">
        <v>92</v>
      </c>
      <c r="B47" s="1">
        <v>54313000</v>
      </c>
      <c r="C47" s="1">
        <v>51666000</v>
      </c>
      <c r="D47" s="1">
        <v>50037000</v>
      </c>
      <c r="E47" s="1">
        <v>50568000</v>
      </c>
      <c r="F47" s="1"/>
    </row>
    <row r="48" spans="1:6" x14ac:dyDescent="0.2">
      <c r="A48" t="s">
        <v>93</v>
      </c>
      <c r="B48" s="23">
        <v>53946000</v>
      </c>
      <c r="C48" s="1">
        <v>51343000</v>
      </c>
      <c r="D48" s="1">
        <v>49692000</v>
      </c>
      <c r="E48" s="1">
        <v>50164000</v>
      </c>
      <c r="F48" s="1"/>
    </row>
    <row r="49" spans="1:6" x14ac:dyDescent="0.2">
      <c r="A49" t="s">
        <v>94</v>
      </c>
      <c r="B49" s="1">
        <v>53946000</v>
      </c>
      <c r="C49" s="1">
        <v>51343000</v>
      </c>
      <c r="D49" s="1">
        <v>49692000</v>
      </c>
      <c r="E49" s="1">
        <v>50164000</v>
      </c>
      <c r="F49" s="1"/>
    </row>
    <row r="50" spans="1:6" x14ac:dyDescent="0.2">
      <c r="A50" t="s">
        <v>95</v>
      </c>
      <c r="B50" s="23">
        <v>367000</v>
      </c>
      <c r="C50" s="1">
        <v>323000</v>
      </c>
      <c r="D50" s="1">
        <v>345000</v>
      </c>
      <c r="E50" s="1">
        <v>404000</v>
      </c>
      <c r="F50" s="1"/>
    </row>
    <row r="51" spans="1:6" x14ac:dyDescent="0.2">
      <c r="A51" t="s">
        <v>96</v>
      </c>
      <c r="B51" s="1">
        <v>2091000</v>
      </c>
      <c r="C51" s="1">
        <v>2161000</v>
      </c>
      <c r="D51" s="1">
        <v>2349000</v>
      </c>
      <c r="E51" s="1">
        <v>2404000</v>
      </c>
      <c r="F51" s="1"/>
    </row>
    <row r="52" spans="1:6" x14ac:dyDescent="0.2">
      <c r="A52" t="s">
        <v>97</v>
      </c>
      <c r="B52" s="1">
        <v>2091000</v>
      </c>
      <c r="C52" s="1">
        <v>2161000</v>
      </c>
      <c r="D52" s="1">
        <v>2349000</v>
      </c>
      <c r="E52" s="1">
        <v>2404000</v>
      </c>
      <c r="F52" s="1"/>
    </row>
    <row r="53" spans="1:6" x14ac:dyDescent="0.2">
      <c r="A53" t="s">
        <v>98</v>
      </c>
      <c r="B53" s="1">
        <v>17553000</v>
      </c>
      <c r="C53" s="1">
        <v>17662000</v>
      </c>
      <c r="D53" s="1">
        <v>12883000</v>
      </c>
      <c r="E53" s="1">
        <v>14809000</v>
      </c>
      <c r="F53" s="1"/>
    </row>
    <row r="54" spans="1:6" x14ac:dyDescent="0.2">
      <c r="A54" t="s">
        <v>99</v>
      </c>
      <c r="B54" s="1">
        <v>127175000</v>
      </c>
      <c r="C54" s="1">
        <v>139258000</v>
      </c>
      <c r="D54" s="1">
        <v>117686000</v>
      </c>
      <c r="E54" s="1">
        <v>115851000</v>
      </c>
      <c r="F54" s="1"/>
    </row>
    <row r="55" spans="1:6" x14ac:dyDescent="0.2">
      <c r="A55" t="s">
        <v>100</v>
      </c>
      <c r="B55" s="1">
        <v>102408000</v>
      </c>
      <c r="C55" s="1">
        <v>111332000</v>
      </c>
      <c r="D55" s="1">
        <v>89448000</v>
      </c>
      <c r="E55" s="1">
        <v>89906000</v>
      </c>
      <c r="F55" s="1"/>
    </row>
    <row r="56" spans="1:6" x14ac:dyDescent="0.2">
      <c r="A56" s="20" t="s">
        <v>101</v>
      </c>
      <c r="B56" s="23">
        <v>101361000</v>
      </c>
      <c r="C56" s="1">
        <v>110341000</v>
      </c>
      <c r="D56" s="1">
        <v>88400000</v>
      </c>
      <c r="E56" s="1">
        <v>88805000</v>
      </c>
      <c r="F56" s="1"/>
    </row>
    <row r="57" spans="1:6" x14ac:dyDescent="0.2">
      <c r="A57" t="s">
        <v>102</v>
      </c>
      <c r="B57" s="23">
        <v>1047000</v>
      </c>
      <c r="C57" s="1">
        <v>991000</v>
      </c>
      <c r="D57" s="1">
        <v>1048000</v>
      </c>
      <c r="E57" s="1">
        <v>1101000</v>
      </c>
      <c r="F57" s="1"/>
    </row>
    <row r="58" spans="1:6" x14ac:dyDescent="0.2">
      <c r="A58" t="s">
        <v>103</v>
      </c>
      <c r="B58" s="1">
        <v>4681000</v>
      </c>
      <c r="C58" s="1">
        <v>5097000</v>
      </c>
      <c r="D58" s="1">
        <v>6264000</v>
      </c>
      <c r="E58" s="1">
        <v>6432000</v>
      </c>
      <c r="F58" s="1"/>
    </row>
    <row r="59" spans="1:6" x14ac:dyDescent="0.2">
      <c r="A59" t="s">
        <v>104</v>
      </c>
      <c r="B59" s="1">
        <v>490000</v>
      </c>
      <c r="C59" s="1">
        <v>538000</v>
      </c>
      <c r="D59" s="1">
        <v>1581000</v>
      </c>
      <c r="E59" s="1">
        <v>1549000</v>
      </c>
      <c r="F59" s="1"/>
    </row>
    <row r="60" spans="1:6" x14ac:dyDescent="0.2">
      <c r="A60" t="s">
        <v>105</v>
      </c>
      <c r="B60" s="1">
        <v>4191000</v>
      </c>
      <c r="C60" s="1">
        <v>4559000</v>
      </c>
      <c r="D60" s="1">
        <v>4683000</v>
      </c>
      <c r="E60" s="1">
        <v>4883000</v>
      </c>
      <c r="F60" s="1"/>
    </row>
    <row r="61" spans="1:6" x14ac:dyDescent="0.2">
      <c r="A61" t="s">
        <v>106</v>
      </c>
      <c r="B61" s="1">
        <v>16722000</v>
      </c>
      <c r="C61" s="1">
        <v>18048000</v>
      </c>
      <c r="D61" s="1">
        <v>15373000</v>
      </c>
      <c r="E61" s="1">
        <v>10637000</v>
      </c>
      <c r="F61" s="1"/>
    </row>
    <row r="62" spans="1:6" x14ac:dyDescent="0.2">
      <c r="A62" t="s">
        <v>107</v>
      </c>
      <c r="B62" s="1">
        <v>15618000</v>
      </c>
      <c r="C62" s="1">
        <v>16974000</v>
      </c>
      <c r="D62" s="1">
        <v>14366000</v>
      </c>
      <c r="E62" s="1">
        <v>9803000</v>
      </c>
      <c r="F62" s="1"/>
    </row>
    <row r="63" spans="1:6" x14ac:dyDescent="0.2">
      <c r="A63" t="s">
        <v>108</v>
      </c>
      <c r="B63" s="1">
        <v>0</v>
      </c>
      <c r="C63" s="1">
        <v>0</v>
      </c>
      <c r="D63" s="1">
        <v>0</v>
      </c>
      <c r="E63" s="1">
        <v>0</v>
      </c>
      <c r="F63" s="1"/>
    </row>
    <row r="64" spans="1:6" x14ac:dyDescent="0.2">
      <c r="A64" t="s">
        <v>109</v>
      </c>
      <c r="B64" s="1">
        <v>3364000</v>
      </c>
      <c r="C64" s="1">
        <v>4781000</v>
      </c>
      <c r="D64" s="1">
        <v>6601000</v>
      </c>
      <c r="E64" s="1">
        <v>8876000</v>
      </c>
      <c r="F64" s="1"/>
    </row>
    <row r="65" spans="1:6" x14ac:dyDescent="0.2">
      <c r="A65" t="s">
        <v>110</v>
      </c>
      <c r="B65" s="1">
        <v>33230000</v>
      </c>
      <c r="C65" s="1">
        <v>30811000</v>
      </c>
      <c r="D65" s="1">
        <v>48622000</v>
      </c>
      <c r="E65" s="1">
        <v>43167000</v>
      </c>
      <c r="F65" s="1"/>
    </row>
    <row r="66" spans="1:6" x14ac:dyDescent="0.2">
      <c r="A66" t="s">
        <v>111</v>
      </c>
      <c r="B66" s="1">
        <v>33185000</v>
      </c>
      <c r="C66" s="1">
        <v>30690000</v>
      </c>
      <c r="D66" s="1">
        <v>48519000</v>
      </c>
      <c r="E66" s="1">
        <v>43242000</v>
      </c>
      <c r="F66" s="1"/>
    </row>
    <row r="67" spans="1:6" x14ac:dyDescent="0.2">
      <c r="A67" t="s">
        <v>112</v>
      </c>
      <c r="B67" s="1">
        <v>41000</v>
      </c>
      <c r="C67" s="1">
        <v>41000</v>
      </c>
      <c r="D67" s="1">
        <v>41000</v>
      </c>
      <c r="E67" s="1">
        <v>42000</v>
      </c>
      <c r="F67" s="1"/>
    </row>
    <row r="68" spans="1:6" x14ac:dyDescent="0.2">
      <c r="A68" t="s">
        <v>113</v>
      </c>
      <c r="B68" s="1">
        <v>41000</v>
      </c>
      <c r="C68" s="1">
        <v>41000</v>
      </c>
      <c r="D68" s="1">
        <v>41000</v>
      </c>
      <c r="E68" s="1">
        <v>42000</v>
      </c>
      <c r="F68" s="1"/>
    </row>
    <row r="69" spans="1:6" x14ac:dyDescent="0.2">
      <c r="A69" t="s">
        <v>114</v>
      </c>
      <c r="B69" s="1">
        <v>22165000</v>
      </c>
      <c r="C69" s="1">
        <v>22290000</v>
      </c>
      <c r="D69" s="1">
        <v>22611000</v>
      </c>
      <c r="E69" s="1">
        <v>22832000</v>
      </c>
      <c r="F69" s="1"/>
    </row>
    <row r="70" spans="1:6" x14ac:dyDescent="0.2">
      <c r="A70" t="s">
        <v>115</v>
      </c>
      <c r="B70" s="1">
        <v>20320000</v>
      </c>
      <c r="C70" s="1">
        <v>18243000</v>
      </c>
      <c r="D70" s="1">
        <v>35769000</v>
      </c>
      <c r="E70" s="1">
        <v>31754000</v>
      </c>
      <c r="F70" s="1"/>
    </row>
    <row r="71" spans="1:6" x14ac:dyDescent="0.2">
      <c r="A71" t="s">
        <v>116</v>
      </c>
      <c r="B71" s="1">
        <v>1613000</v>
      </c>
      <c r="C71" s="1">
        <v>1590000</v>
      </c>
      <c r="D71" s="1">
        <v>1563000</v>
      </c>
      <c r="E71" s="1">
        <v>2047000</v>
      </c>
      <c r="F71" s="1"/>
    </row>
    <row r="72" spans="1:6" x14ac:dyDescent="0.2">
      <c r="A72" t="s">
        <v>117</v>
      </c>
      <c r="B72" s="1">
        <v>-7728000</v>
      </c>
      <c r="C72" s="1">
        <v>-8294000</v>
      </c>
      <c r="D72" s="1">
        <v>-8339000</v>
      </c>
      <c r="E72" s="1">
        <v>-9339000</v>
      </c>
      <c r="F72" s="1"/>
    </row>
    <row r="73" spans="1:6" x14ac:dyDescent="0.2">
      <c r="A73" t="s">
        <v>118</v>
      </c>
      <c r="B73" s="1">
        <v>45000</v>
      </c>
      <c r="C73" s="1">
        <v>121000</v>
      </c>
      <c r="D73" s="1">
        <v>103000</v>
      </c>
      <c r="E73" s="1">
        <v>-75000</v>
      </c>
      <c r="F73" s="1"/>
    </row>
    <row r="74" spans="1:6" x14ac:dyDescent="0.2">
      <c r="A74" t="s">
        <v>119</v>
      </c>
      <c r="B74" s="1">
        <v>134546000</v>
      </c>
      <c r="C74" s="1">
        <v>141031000</v>
      </c>
      <c r="D74" s="1">
        <v>136919000</v>
      </c>
      <c r="E74" s="1">
        <v>132047000</v>
      </c>
      <c r="F74" s="1"/>
    </row>
    <row r="75" spans="1:6" x14ac:dyDescent="0.2">
      <c r="A75" t="s">
        <v>120</v>
      </c>
      <c r="B75" s="1">
        <v>33185000</v>
      </c>
      <c r="C75" s="1">
        <v>30690000</v>
      </c>
      <c r="D75" s="1">
        <v>48519000</v>
      </c>
      <c r="E75" s="1">
        <v>43242000</v>
      </c>
      <c r="F75" s="1"/>
    </row>
    <row r="76" spans="1:6" x14ac:dyDescent="0.2">
      <c r="A76" t="s">
        <v>121</v>
      </c>
      <c r="B76" s="1">
        <v>1414000</v>
      </c>
      <c r="C76" s="1">
        <v>1314000</v>
      </c>
      <c r="D76" s="1">
        <v>1393000</v>
      </c>
      <c r="E76" s="1">
        <v>1505000</v>
      </c>
      <c r="F76" s="1"/>
    </row>
    <row r="77" spans="1:6" x14ac:dyDescent="0.2">
      <c r="A77" t="s">
        <v>122</v>
      </c>
      <c r="B77" s="1">
        <v>32719000</v>
      </c>
      <c r="C77" s="1">
        <v>30288000</v>
      </c>
      <c r="D77" s="1">
        <v>47789000</v>
      </c>
      <c r="E77" s="1">
        <v>40892000</v>
      </c>
      <c r="F77" s="1"/>
    </row>
    <row r="78" spans="1:6" x14ac:dyDescent="0.2">
      <c r="A78" t="s">
        <v>123</v>
      </c>
      <c r="B78" s="1">
        <v>15915000</v>
      </c>
      <c r="C78" s="1">
        <v>19552000</v>
      </c>
      <c r="D78" s="1">
        <v>18269000</v>
      </c>
      <c r="E78" s="1">
        <v>19610000</v>
      </c>
      <c r="F78" s="1"/>
    </row>
    <row r="79" spans="1:6" x14ac:dyDescent="0.2">
      <c r="A79" t="s">
        <v>124</v>
      </c>
      <c r="B79" s="1">
        <v>188492000</v>
      </c>
      <c r="C79" s="1">
        <v>192374000</v>
      </c>
      <c r="D79" s="1">
        <v>186611000</v>
      </c>
      <c r="E79" s="1">
        <v>182211000</v>
      </c>
      <c r="F79" s="1"/>
    </row>
    <row r="80" spans="1:6" x14ac:dyDescent="0.2">
      <c r="A80" t="s">
        <v>125</v>
      </c>
      <c r="B80" s="1">
        <v>32719000</v>
      </c>
      <c r="C80" s="1">
        <v>30288000</v>
      </c>
      <c r="D80" s="1">
        <v>47789000</v>
      </c>
      <c r="E80" s="1">
        <v>40892000</v>
      </c>
      <c r="F80" s="1"/>
    </row>
    <row r="81" spans="1:6" x14ac:dyDescent="0.2">
      <c r="A81" s="20" t="s">
        <v>126</v>
      </c>
      <c r="B81" s="1">
        <f>SUM(B48,B50,B56:B57)</f>
        <v>156721000</v>
      </c>
      <c r="C81" s="1">
        <f t="shared" ref="C81:E81" si="0">SUM(C48,C50,C56:C57)</f>
        <v>162998000</v>
      </c>
      <c r="D81" s="1">
        <f t="shared" si="0"/>
        <v>139485000</v>
      </c>
      <c r="E81" s="1">
        <f t="shared" si="0"/>
        <v>140474000</v>
      </c>
      <c r="F81" s="1"/>
    </row>
    <row r="82" spans="1:6" x14ac:dyDescent="0.2">
      <c r="A82" t="s">
        <v>127</v>
      </c>
      <c r="B82" s="1">
        <v>137803000</v>
      </c>
      <c r="C82" s="1">
        <v>136441000</v>
      </c>
      <c r="D82" s="1">
        <v>117552000</v>
      </c>
      <c r="E82" s="1">
        <v>113835000</v>
      </c>
      <c r="F82" s="1"/>
    </row>
    <row r="83" spans="1:6" x14ac:dyDescent="0.2">
      <c r="A83" t="s">
        <v>128</v>
      </c>
      <c r="B83" s="1">
        <v>3964929</v>
      </c>
      <c r="C83" s="1">
        <v>4096000</v>
      </c>
      <c r="D83" s="1">
        <v>4121000</v>
      </c>
      <c r="E83" s="1">
        <v>4139000</v>
      </c>
      <c r="F83" s="1"/>
    </row>
    <row r="84" spans="1:6" x14ac:dyDescent="0.2">
      <c r="A84" t="s">
        <v>129</v>
      </c>
      <c r="B84" s="1">
        <v>3964929</v>
      </c>
      <c r="C84" s="1">
        <v>4096000</v>
      </c>
      <c r="D84" s="1">
        <v>4121000</v>
      </c>
      <c r="E84" s="1">
        <v>4139000</v>
      </c>
      <c r="F84" s="1"/>
    </row>
  </sheetData>
  <mergeCells count="6">
    <mergeCell ref="G9:J9"/>
    <mergeCell ref="G19:J19"/>
    <mergeCell ref="G27:J27"/>
    <mergeCell ref="L8:O8"/>
    <mergeCell ref="L19:O19"/>
    <mergeCell ref="L27:O27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7CBA3-9849-4AA6-9D3B-E373AE0A01BD}">
  <dimension ref="A1:O113"/>
  <sheetViews>
    <sheetView showGridLines="0" topLeftCell="A83" workbookViewId="0">
      <selection activeCell="D106" sqref="D106"/>
    </sheetView>
  </sheetViews>
  <sheetFormatPr defaultRowHeight="12.75" x14ac:dyDescent="0.2"/>
  <cols>
    <col min="1" max="1" width="51.140625" bestFit="1" customWidth="1"/>
    <col min="2" max="2" width="16.5703125" bestFit="1" customWidth="1"/>
    <col min="3" max="5" width="12" customWidth="1"/>
    <col min="6" max="10" width="15.85546875" bestFit="1" customWidth="1"/>
    <col min="13" max="15" width="23.85546875" customWidth="1"/>
  </cols>
  <sheetData>
    <row r="1" spans="1:15" x14ac:dyDescent="0.2">
      <c r="A1" s="7" t="s">
        <v>46</v>
      </c>
      <c r="B1" s="7">
        <v>43829</v>
      </c>
      <c r="C1" s="7">
        <v>44195</v>
      </c>
      <c r="D1" s="7">
        <v>44560</v>
      </c>
      <c r="E1" s="7">
        <v>44925</v>
      </c>
      <c r="F1" s="7">
        <f>F52</f>
        <v>45291</v>
      </c>
      <c r="G1" s="7">
        <f t="shared" ref="G1:I1" si="0">G52</f>
        <v>45656</v>
      </c>
      <c r="H1" s="7">
        <f t="shared" si="0"/>
        <v>46021</v>
      </c>
      <c r="I1" s="7">
        <f t="shared" si="0"/>
        <v>46386</v>
      </c>
      <c r="J1" s="7">
        <f>J52</f>
        <v>46751</v>
      </c>
    </row>
    <row r="2" spans="1:15" x14ac:dyDescent="0.2">
      <c r="A2" s="2" t="s">
        <v>0</v>
      </c>
      <c r="B2" s="3">
        <v>137237000</v>
      </c>
      <c r="C2" s="3">
        <v>122485000</v>
      </c>
      <c r="D2" s="3">
        <v>127004000</v>
      </c>
      <c r="E2" s="3">
        <v>156735000</v>
      </c>
      <c r="F2" s="3">
        <f>E2+(E2*F67)</f>
        <v>161750520</v>
      </c>
      <c r="G2" s="3">
        <f t="shared" ref="G2:J2" si="1">F2+(F2*G67)</f>
        <v>169655932.11819816</v>
      </c>
      <c r="H2" s="3">
        <f t="shared" si="1"/>
        <v>184579860.77977264</v>
      </c>
      <c r="I2" s="3">
        <f t="shared" si="1"/>
        <v>203173279.92019573</v>
      </c>
      <c r="J2" s="3">
        <f t="shared" si="1"/>
        <v>216865822.89756489</v>
      </c>
    </row>
    <row r="3" spans="1:15" x14ac:dyDescent="0.2">
      <c r="A3" s="35" t="s">
        <v>263</v>
      </c>
      <c r="B3" s="80"/>
      <c r="C3" s="81">
        <f>C2/B2-1</f>
        <v>-0.10749287728528023</v>
      </c>
      <c r="D3" s="81">
        <f t="shared" ref="D3:E3" si="2">D2/C2-1</f>
        <v>3.6894313589419081E-2</v>
      </c>
      <c r="E3" s="81">
        <f t="shared" si="2"/>
        <v>0.23409498913420057</v>
      </c>
      <c r="F3" s="36">
        <f>F67</f>
        <v>3.2000000000000001E-2</v>
      </c>
      <c r="G3" s="36">
        <f t="shared" ref="G3:J3" si="3">G67</f>
        <v>4.8874106359584855E-2</v>
      </c>
      <c r="H3" s="36">
        <f t="shared" si="3"/>
        <v>8.7965852270801129E-2</v>
      </c>
      <c r="I3" s="36">
        <f t="shared" si="3"/>
        <v>0.10073373694114664</v>
      </c>
      <c r="J3" s="36">
        <f t="shared" si="3"/>
        <v>6.739342389288315E-2</v>
      </c>
    </row>
    <row r="4" spans="1:15" ht="15" x14ac:dyDescent="0.25">
      <c r="A4" s="2" t="s">
        <v>1</v>
      </c>
      <c r="B4" s="3">
        <v>137237000</v>
      </c>
      <c r="C4" s="3">
        <v>122485000</v>
      </c>
      <c r="D4" s="3">
        <v>127004000</v>
      </c>
      <c r="E4" s="3">
        <v>156735000</v>
      </c>
      <c r="F4" s="3">
        <f>F2</f>
        <v>161750520</v>
      </c>
      <c r="G4" s="3">
        <f t="shared" ref="G4:J4" si="4">G2</f>
        <v>169655932.11819816</v>
      </c>
      <c r="H4" s="3">
        <f t="shared" si="4"/>
        <v>184579860.77977264</v>
      </c>
      <c r="I4" s="3">
        <f t="shared" si="4"/>
        <v>203173279.92019573</v>
      </c>
      <c r="J4" s="3">
        <f t="shared" si="4"/>
        <v>216865822.89756489</v>
      </c>
      <c r="M4" s="52" t="s">
        <v>244</v>
      </c>
    </row>
    <row r="5" spans="1:15" ht="15" x14ac:dyDescent="0.25">
      <c r="A5" s="2" t="s">
        <v>2</v>
      </c>
      <c r="B5" s="3">
        <v>123265000</v>
      </c>
      <c r="C5" s="3">
        <v>108813000</v>
      </c>
      <c r="D5" s="3">
        <v>109126000</v>
      </c>
      <c r="E5" s="3">
        <v>135754000</v>
      </c>
      <c r="F5" s="3">
        <f>F4*F68</f>
        <v>142014480.9842954</v>
      </c>
      <c r="G5" s="3">
        <f t="shared" ref="G5:J5" si="5">G4*G68</f>
        <v>148098293.78602371</v>
      </c>
      <c r="H5" s="3">
        <f t="shared" si="5"/>
        <v>160413178.34629014</v>
      </c>
      <c r="I5" s="3">
        <f t="shared" si="5"/>
        <v>177071961.03420982</v>
      </c>
      <c r="J5" s="3">
        <f t="shared" si="5"/>
        <v>189297924.15690812</v>
      </c>
      <c r="M5" s="53" t="s">
        <v>245</v>
      </c>
      <c r="N5" s="54" t="s">
        <v>246</v>
      </c>
    </row>
    <row r="6" spans="1:15" ht="15" x14ac:dyDescent="0.25">
      <c r="A6" s="2" t="s">
        <v>3</v>
      </c>
      <c r="B6" s="3">
        <v>13972000</v>
      </c>
      <c r="C6" s="3">
        <v>13672000</v>
      </c>
      <c r="D6" s="3">
        <v>17878000</v>
      </c>
      <c r="E6" s="3">
        <v>20981000</v>
      </c>
      <c r="F6" s="3">
        <f>F4-F5</f>
        <v>19736039.015704602</v>
      </c>
      <c r="G6" s="3">
        <f t="shared" ref="G6:J6" si="6">G4-G5</f>
        <v>21557638.33217445</v>
      </c>
      <c r="H6" s="3">
        <f t="shared" si="6"/>
        <v>24166682.433482498</v>
      </c>
      <c r="I6" s="3">
        <f t="shared" si="6"/>
        <v>26101318.885985911</v>
      </c>
      <c r="J6" s="3">
        <f t="shared" si="6"/>
        <v>27567898.740656763</v>
      </c>
      <c r="M6" s="9" t="s">
        <v>243</v>
      </c>
      <c r="N6" s="51">
        <f>N16</f>
        <v>8.8578599999999993E-2</v>
      </c>
    </row>
    <row r="7" spans="1:15" ht="15" x14ac:dyDescent="0.25">
      <c r="A7" s="2" t="s">
        <v>4</v>
      </c>
      <c r="B7" s="3">
        <v>8491000</v>
      </c>
      <c r="C7" s="3">
        <v>7038000</v>
      </c>
      <c r="D7" s="3">
        <v>8554000</v>
      </c>
      <c r="E7" s="3">
        <v>10667000</v>
      </c>
      <c r="F7" s="3">
        <f>F2*F69</f>
        <v>10301119.297534522</v>
      </c>
      <c r="G7" s="3">
        <f t="shared" ref="G7:J7" si="7">G2*G69</f>
        <v>10881523.119512381</v>
      </c>
      <c r="H7" s="3">
        <f t="shared" si="7"/>
        <v>12146912.785101732</v>
      </c>
      <c r="I7" s="3">
        <f t="shared" si="7"/>
        <v>13292103.555441439</v>
      </c>
      <c r="J7" s="3">
        <f t="shared" si="7"/>
        <v>14045040.794022938</v>
      </c>
      <c r="M7" s="9" t="s">
        <v>247</v>
      </c>
      <c r="N7" s="55">
        <v>0.02</v>
      </c>
    </row>
    <row r="8" spans="1:15" x14ac:dyDescent="0.2">
      <c r="A8" s="2" t="s">
        <v>5</v>
      </c>
      <c r="B8" s="3">
        <v>8491000</v>
      </c>
      <c r="C8" s="3">
        <v>7038000</v>
      </c>
      <c r="D8" s="3">
        <v>8554000</v>
      </c>
      <c r="E8" s="3">
        <v>10667000</v>
      </c>
      <c r="F8" s="3">
        <f>F7</f>
        <v>10301119.297534522</v>
      </c>
      <c r="G8" s="3">
        <f t="shared" ref="G8:J8" si="8">G7</f>
        <v>10881523.119512381</v>
      </c>
      <c r="H8" s="3">
        <f t="shared" si="8"/>
        <v>12146912.785101732</v>
      </c>
      <c r="I8" s="3">
        <f t="shared" si="8"/>
        <v>13292103.555441439</v>
      </c>
      <c r="J8" s="3">
        <f t="shared" si="8"/>
        <v>14045040.794022938</v>
      </c>
    </row>
    <row r="9" spans="1:15" x14ac:dyDescent="0.2">
      <c r="A9" s="35" t="s">
        <v>7</v>
      </c>
      <c r="B9" s="3">
        <f>B6-B7</f>
        <v>5481000</v>
      </c>
      <c r="C9" s="3">
        <f t="shared" ref="C9:E9" si="9">C6-C7</f>
        <v>6634000</v>
      </c>
      <c r="D9" s="3">
        <f t="shared" si="9"/>
        <v>9324000</v>
      </c>
      <c r="E9" s="3">
        <f t="shared" si="9"/>
        <v>10314000</v>
      </c>
      <c r="F9" s="11">
        <f>F6-F7</f>
        <v>9434919.7181700803</v>
      </c>
      <c r="G9" s="11">
        <f t="shared" ref="G9:J9" si="10">G6-G7</f>
        <v>10676115.212662069</v>
      </c>
      <c r="H9" s="11">
        <f t="shared" si="10"/>
        <v>12019769.648380766</v>
      </c>
      <c r="I9" s="11">
        <f t="shared" si="10"/>
        <v>12809215.330544472</v>
      </c>
      <c r="J9" s="11">
        <f t="shared" si="10"/>
        <v>13522857.946633825</v>
      </c>
    </row>
    <row r="10" spans="1:15" x14ac:dyDescent="0.2">
      <c r="A10" s="35" t="s">
        <v>213</v>
      </c>
      <c r="B10" s="14">
        <f>B9/B2</f>
        <v>3.9938209083556185E-2</v>
      </c>
      <c r="C10" s="14">
        <f t="shared" ref="C10:E10" si="11">C9/C2</f>
        <v>5.4161734089888558E-2</v>
      </c>
      <c r="D10" s="14">
        <f t="shared" si="11"/>
        <v>7.3415010550848786E-2</v>
      </c>
      <c r="E10" s="14">
        <f t="shared" si="11"/>
        <v>6.580534022394488E-2</v>
      </c>
      <c r="F10" s="34">
        <f>F7/F2</f>
        <v>6.3685231413998067E-2</v>
      </c>
      <c r="G10" s="34">
        <f t="shared" ref="G10:J10" si="12">G7/G2</f>
        <v>6.4138771828687352E-2</v>
      </c>
      <c r="H10" s="34">
        <f t="shared" si="12"/>
        <v>6.5808440497170773E-2</v>
      </c>
      <c r="I10" s="34">
        <f t="shared" si="12"/>
        <v>6.5422498276655444E-2</v>
      </c>
      <c r="J10" s="34">
        <f t="shared" si="12"/>
        <v>6.4763735504127909E-2</v>
      </c>
    </row>
    <row r="11" spans="1:15" x14ac:dyDescent="0.2">
      <c r="A11" s="2" t="s">
        <v>8</v>
      </c>
      <c r="B11" s="3">
        <f>B12-B13</f>
        <v>-353000</v>
      </c>
      <c r="C11" s="3">
        <f t="shared" ref="C11:F11" si="13">C12-C13</f>
        <v>-857000</v>
      </c>
      <c r="D11" s="3">
        <f t="shared" si="13"/>
        <v>-804000</v>
      </c>
      <c r="E11" s="3">
        <f t="shared" si="13"/>
        <v>-527000</v>
      </c>
      <c r="F11" s="3">
        <f t="shared" si="13"/>
        <v>-778903.16896409076</v>
      </c>
      <c r="G11" s="3">
        <f t="shared" ref="G11" si="14">G12-G13</f>
        <v>-912117.27204093244</v>
      </c>
      <c r="H11" s="3">
        <f t="shared" ref="H11" si="15">H12-H13</f>
        <v>-917574.61238536704</v>
      </c>
      <c r="I11" s="3">
        <f t="shared" ref="I11:J11" si="16">I12-I13</f>
        <v>-940959.08175968647</v>
      </c>
      <c r="J11" s="3">
        <f t="shared" si="16"/>
        <v>-1073171.5031350288</v>
      </c>
    </row>
    <row r="12" spans="1:15" ht="15" x14ac:dyDescent="0.25">
      <c r="A12" s="97" t="s">
        <v>9</v>
      </c>
      <c r="B12" s="98">
        <v>429000</v>
      </c>
      <c r="C12" s="98">
        <v>241000</v>
      </c>
      <c r="D12" s="98">
        <v>146000</v>
      </c>
      <c r="E12" s="98">
        <v>460000</v>
      </c>
      <c r="F12" s="98">
        <f>F2*F70</f>
        <v>371137.66832152667</v>
      </c>
      <c r="G12" s="98">
        <f t="shared" ref="G12:J12" si="17">G2*G70</f>
        <v>354010.63631565223</v>
      </c>
      <c r="H12" s="98">
        <f t="shared" si="17"/>
        <v>390645.08088276995</v>
      </c>
      <c r="I12" s="98">
        <f t="shared" si="17"/>
        <v>479104.7930855091</v>
      </c>
      <c r="J12" s="98">
        <f t="shared" si="17"/>
        <v>480122.29264513362</v>
      </c>
      <c r="M12" s="66" t="s">
        <v>237</v>
      </c>
      <c r="N12" s="67"/>
      <c r="O12" s="48" t="s">
        <v>238</v>
      </c>
    </row>
    <row r="13" spans="1:15" ht="25.5" x14ac:dyDescent="0.2">
      <c r="A13" s="97" t="s">
        <v>10</v>
      </c>
      <c r="B13" s="98">
        <v>782000</v>
      </c>
      <c r="C13" s="98">
        <v>1098000</v>
      </c>
      <c r="D13" s="98">
        <v>950000</v>
      </c>
      <c r="E13" s="98">
        <v>987000</v>
      </c>
      <c r="F13" s="98">
        <f>F2*F71</f>
        <v>1150040.8372856174</v>
      </c>
      <c r="G13" s="98">
        <f t="shared" ref="G13:J13" si="18">G2*G71</f>
        <v>1266127.9083565846</v>
      </c>
      <c r="H13" s="98">
        <f t="shared" si="18"/>
        <v>1308219.6932681371</v>
      </c>
      <c r="I13" s="98">
        <f t="shared" si="18"/>
        <v>1420063.8748451956</v>
      </c>
      <c r="J13" s="98">
        <f t="shared" si="18"/>
        <v>1553293.7957801623</v>
      </c>
      <c r="M13" s="2" t="s">
        <v>239</v>
      </c>
      <c r="N13" s="49">
        <v>3.9629999999999999E-2</v>
      </c>
      <c r="O13" s="56" t="s">
        <v>284</v>
      </c>
    </row>
    <row r="14" spans="1:15" ht="25.5" x14ac:dyDescent="0.2">
      <c r="A14" s="97" t="s">
        <v>11</v>
      </c>
      <c r="B14" s="98">
        <v>2308000</v>
      </c>
      <c r="C14" s="98">
        <v>2318000</v>
      </c>
      <c r="D14" s="98">
        <v>4196000</v>
      </c>
      <c r="E14" s="98">
        <v>1809000</v>
      </c>
      <c r="F14" s="98">
        <f>F2*F72</f>
        <v>1789754.6395904827</v>
      </c>
      <c r="G14" s="98">
        <f t="shared" ref="G14:J14" si="19">G2*G72</f>
        <v>2049839.909762349</v>
      </c>
      <c r="H14" s="98">
        <f t="shared" si="19"/>
        <v>2268170.7000232255</v>
      </c>
      <c r="I14" s="98">
        <f t="shared" si="19"/>
        <v>2191366.5263945651</v>
      </c>
      <c r="J14" s="98">
        <f t="shared" si="19"/>
        <v>2505951.5532500818</v>
      </c>
      <c r="M14" s="2" t="s">
        <v>240</v>
      </c>
      <c r="N14" s="2">
        <v>1.38</v>
      </c>
      <c r="O14" s="56" t="s">
        <v>285</v>
      </c>
    </row>
    <row r="15" spans="1:15" x14ac:dyDescent="0.2">
      <c r="A15" s="2" t="s">
        <v>12</v>
      </c>
      <c r="B15" s="3">
        <v>80000</v>
      </c>
      <c r="C15" s="3">
        <v>265000</v>
      </c>
      <c r="D15" s="3">
        <v>571000</v>
      </c>
      <c r="E15" s="3">
        <v>-236000</v>
      </c>
      <c r="F15" s="11"/>
      <c r="G15" s="11"/>
      <c r="H15" s="11"/>
      <c r="I15" s="11"/>
      <c r="J15" s="11"/>
      <c r="M15" s="2" t="s">
        <v>241</v>
      </c>
      <c r="N15" s="36">
        <v>7.51E-2</v>
      </c>
      <c r="O15" s="50" t="s">
        <v>242</v>
      </c>
    </row>
    <row r="16" spans="1:15" ht="15" x14ac:dyDescent="0.25">
      <c r="A16" s="2" t="s">
        <v>13</v>
      </c>
      <c r="B16" s="3">
        <v>1268000</v>
      </c>
      <c r="C16" s="3">
        <v>674000</v>
      </c>
      <c r="D16" s="3">
        <v>1301000</v>
      </c>
      <c r="E16" s="3">
        <v>837000</v>
      </c>
      <c r="F16" s="11"/>
      <c r="G16" s="11"/>
      <c r="H16" s="11"/>
      <c r="I16" s="11"/>
      <c r="J16" s="11"/>
      <c r="M16" s="9" t="s">
        <v>243</v>
      </c>
      <c r="N16" s="51">
        <f>N13+(N15-N13)*N14</f>
        <v>8.8578599999999993E-2</v>
      </c>
      <c r="O16" s="50"/>
    </row>
    <row r="17" spans="1:10" x14ac:dyDescent="0.2">
      <c r="A17" s="2" t="s">
        <v>16</v>
      </c>
      <c r="B17" s="3">
        <v>960000</v>
      </c>
      <c r="C17" s="3">
        <v>1379000</v>
      </c>
      <c r="D17" s="3">
        <v>2324000</v>
      </c>
      <c r="E17" s="3">
        <v>1208000</v>
      </c>
      <c r="F17" s="11"/>
      <c r="G17" s="11"/>
      <c r="H17" s="11"/>
      <c r="I17" s="11"/>
      <c r="J17" s="11"/>
    </row>
    <row r="18" spans="1:10" x14ac:dyDescent="0.2">
      <c r="A18" s="35" t="s">
        <v>17</v>
      </c>
      <c r="B18" s="3">
        <v>7436000</v>
      </c>
      <c r="C18" s="3">
        <v>8095000</v>
      </c>
      <c r="D18" s="3">
        <v>12716000</v>
      </c>
      <c r="E18" s="3">
        <v>11597000</v>
      </c>
      <c r="F18" s="11">
        <f>F9+F13+F14</f>
        <v>12374715.195046181</v>
      </c>
      <c r="G18" s="11">
        <f t="shared" ref="G18:J18" si="20">G9+G13+G14</f>
        <v>13992083.030781003</v>
      </c>
      <c r="H18" s="11">
        <f t="shared" si="20"/>
        <v>15596160.041672129</v>
      </c>
      <c r="I18" s="11">
        <f t="shared" si="20"/>
        <v>16420645.731784232</v>
      </c>
      <c r="J18" s="11">
        <f t="shared" si="20"/>
        <v>17582103.295664068</v>
      </c>
    </row>
    <row r="19" spans="1:10" x14ac:dyDescent="0.2">
      <c r="A19" s="35" t="s">
        <v>18</v>
      </c>
      <c r="B19" s="3">
        <v>769000</v>
      </c>
      <c r="C19" s="3">
        <v>1774000</v>
      </c>
      <c r="D19" s="3">
        <v>2771000</v>
      </c>
      <c r="E19" s="3">
        <v>1888000</v>
      </c>
      <c r="F19" s="11">
        <f>F18*F73</f>
        <v>2175718.0937345233</v>
      </c>
      <c r="G19" s="11">
        <f t="shared" ref="G19:J19" si="21">G18*G73</f>
        <v>2713353.2581686187</v>
      </c>
      <c r="H19" s="11">
        <f t="shared" si="21"/>
        <v>2926055.7143100011</v>
      </c>
      <c r="I19" s="11">
        <f t="shared" si="21"/>
        <v>2956351.8680333891</v>
      </c>
      <c r="J19" s="11">
        <f t="shared" si="21"/>
        <v>3241229.1984100249</v>
      </c>
    </row>
    <row r="20" spans="1:10" x14ac:dyDescent="0.2">
      <c r="A20" s="2" t="s">
        <v>19</v>
      </c>
      <c r="B20" s="3">
        <v>6581000</v>
      </c>
      <c r="C20" s="3">
        <v>6247000</v>
      </c>
      <c r="D20" s="3">
        <v>9837000</v>
      </c>
      <c r="E20" s="3">
        <v>8915000</v>
      </c>
      <c r="F20" s="11">
        <f>F18-F19-F44</f>
        <v>10062979.941580588</v>
      </c>
      <c r="G20" s="11">
        <f t="shared" ref="G20:J20" si="22">G18-G19-G44</f>
        <v>11120487.34720559</v>
      </c>
      <c r="H20" s="11">
        <f t="shared" si="22"/>
        <v>12494835.79416449</v>
      </c>
      <c r="I20" s="11">
        <f t="shared" si="22"/>
        <v>13252734.054930702</v>
      </c>
      <c r="J20" s="11">
        <f t="shared" si="22"/>
        <v>14136778.184569523</v>
      </c>
    </row>
    <row r="21" spans="1:10" x14ac:dyDescent="0.2">
      <c r="A21" s="35" t="s">
        <v>281</v>
      </c>
      <c r="B21" s="47">
        <v>0</v>
      </c>
      <c r="C21" s="47">
        <f>C20/B20-1</f>
        <v>-5.075216532441873E-2</v>
      </c>
      <c r="D21" s="47">
        <f>D20/C20-1</f>
        <v>0.57467584440531461</v>
      </c>
      <c r="E21" s="47">
        <f>E20/D20-1</f>
        <v>-9.3727762529226433E-2</v>
      </c>
      <c r="F21" s="47">
        <f t="shared" ref="F21:J21" si="23">F20/E20-1</f>
        <v>0.12876948307129421</v>
      </c>
      <c r="G21" s="47">
        <f t="shared" si="23"/>
        <v>0.10508889133877175</v>
      </c>
      <c r="H21" s="47">
        <f t="shared" si="23"/>
        <v>0.12358706988720702</v>
      </c>
      <c r="I21" s="47">
        <f t="shared" si="23"/>
        <v>6.0656920447099916E-2</v>
      </c>
      <c r="J21" s="47">
        <f t="shared" si="23"/>
        <v>6.6706547190533261E-2</v>
      </c>
    </row>
    <row r="22" spans="1:10" x14ac:dyDescent="0.2">
      <c r="A22" s="29" t="s">
        <v>20</v>
      </c>
      <c r="B22" s="30">
        <v>6732000</v>
      </c>
      <c r="C22" s="30">
        <v>6427000</v>
      </c>
      <c r="D22" s="30">
        <v>10019000</v>
      </c>
      <c r="E22" s="30">
        <v>9934000</v>
      </c>
      <c r="F22" s="46"/>
      <c r="G22" s="46"/>
      <c r="H22" s="46"/>
      <c r="I22" s="46"/>
      <c r="J22" s="46"/>
    </row>
    <row r="23" spans="1:10" x14ac:dyDescent="0.2">
      <c r="A23" s="2" t="s">
        <v>21</v>
      </c>
      <c r="B23" s="3">
        <v>6667000</v>
      </c>
      <c r="C23" s="3">
        <v>6321000</v>
      </c>
      <c r="D23" s="3">
        <v>9945000</v>
      </c>
      <c r="E23" s="3">
        <v>9708000</v>
      </c>
      <c r="F23" s="11"/>
      <c r="G23" s="11"/>
      <c r="H23" s="11"/>
      <c r="I23" s="11"/>
      <c r="J23" s="11"/>
    </row>
    <row r="24" spans="1:10" x14ac:dyDescent="0.2">
      <c r="A24" s="2" t="s">
        <v>22</v>
      </c>
      <c r="B24" s="3">
        <v>6667000</v>
      </c>
      <c r="C24" s="3">
        <v>6321000</v>
      </c>
      <c r="D24" s="3">
        <v>9945000</v>
      </c>
      <c r="E24" s="3">
        <v>9708000</v>
      </c>
      <c r="F24" s="11"/>
      <c r="G24" s="11"/>
      <c r="H24" s="11"/>
      <c r="I24" s="11"/>
      <c r="J24" s="11"/>
    </row>
    <row r="25" spans="1:10" x14ac:dyDescent="0.2">
      <c r="A25" s="2" t="s">
        <v>264</v>
      </c>
      <c r="B25" s="3">
        <v>0</v>
      </c>
      <c r="C25" s="3">
        <v>0</v>
      </c>
      <c r="D25" s="3">
        <v>0</v>
      </c>
      <c r="E25" s="3">
        <v>0</v>
      </c>
      <c r="F25" s="11"/>
      <c r="G25" s="11"/>
      <c r="H25" s="11"/>
      <c r="I25" s="11"/>
      <c r="J25" s="11"/>
    </row>
    <row r="26" spans="1:10" x14ac:dyDescent="0.2">
      <c r="A26" s="2" t="s">
        <v>23</v>
      </c>
      <c r="B26" s="3">
        <v>65000</v>
      </c>
      <c r="C26" s="3">
        <v>106000</v>
      </c>
      <c r="D26" s="3">
        <v>74000</v>
      </c>
      <c r="E26" s="3">
        <v>226000</v>
      </c>
      <c r="F26" s="11"/>
      <c r="G26" s="11"/>
      <c r="H26" s="11"/>
      <c r="I26" s="11"/>
      <c r="J26" s="11"/>
    </row>
    <row r="27" spans="1:10" x14ac:dyDescent="0.2">
      <c r="A27" s="2" t="s">
        <v>169</v>
      </c>
      <c r="B27" s="3">
        <v>151000</v>
      </c>
      <c r="C27" s="3">
        <v>180000</v>
      </c>
      <c r="D27" s="3">
        <v>182000</v>
      </c>
      <c r="E27" s="3">
        <v>1019000</v>
      </c>
      <c r="F27" s="11"/>
      <c r="G27" s="11"/>
      <c r="H27" s="11"/>
      <c r="I27" s="11"/>
      <c r="J27" s="11"/>
    </row>
    <row r="28" spans="1:10" x14ac:dyDescent="0.2">
      <c r="A28" s="2" t="s">
        <v>24</v>
      </c>
      <c r="B28" s="3">
        <v>6581000</v>
      </c>
      <c r="C28" s="3">
        <v>6247000</v>
      </c>
      <c r="D28" s="3">
        <v>9837000</v>
      </c>
      <c r="E28" s="3">
        <v>8915000</v>
      </c>
      <c r="F28" s="11"/>
      <c r="G28" s="11"/>
      <c r="H28" s="11"/>
      <c r="I28" s="11"/>
      <c r="J28" s="11"/>
    </row>
    <row r="29" spans="1:10" x14ac:dyDescent="0.2">
      <c r="A29" s="2" t="s">
        <v>25</v>
      </c>
      <c r="B29" s="3">
        <v>22737000</v>
      </c>
      <c r="C29" s="3">
        <v>13241000</v>
      </c>
      <c r="D29" s="3">
        <v>28642000</v>
      </c>
      <c r="E29" s="3">
        <v>42887000</v>
      </c>
      <c r="F29" s="11"/>
      <c r="G29" s="11"/>
      <c r="H29" s="11"/>
      <c r="I29" s="11"/>
      <c r="J29" s="11"/>
    </row>
    <row r="30" spans="1:10" x14ac:dyDescent="0.2">
      <c r="A30" s="82" t="s">
        <v>26</v>
      </c>
      <c r="B30" s="3">
        <v>20911000</v>
      </c>
      <c r="C30" s="3">
        <v>12145000</v>
      </c>
      <c r="D30" s="3">
        <v>25720000</v>
      </c>
      <c r="E30" s="3">
        <v>41426000</v>
      </c>
      <c r="F30" s="11"/>
      <c r="G30" s="11"/>
      <c r="H30" s="11"/>
      <c r="I30" s="11"/>
      <c r="J30" s="11"/>
    </row>
    <row r="31" spans="1:10" x14ac:dyDescent="0.2">
      <c r="A31" s="82" t="s">
        <v>27</v>
      </c>
      <c r="B31" s="3">
        <v>1424000</v>
      </c>
      <c r="C31" s="3">
        <v>1433000</v>
      </c>
      <c r="D31" s="3">
        <v>1451000</v>
      </c>
      <c r="E31" s="3">
        <v>1445000</v>
      </c>
      <c r="F31" s="11"/>
      <c r="G31" s="11"/>
      <c r="H31" s="11"/>
      <c r="I31" s="11"/>
      <c r="J31" s="11"/>
    </row>
    <row r="32" spans="1:10" x14ac:dyDescent="0.2">
      <c r="A32" s="82" t="s">
        <v>28</v>
      </c>
      <c r="B32" s="3">
        <v>1439000</v>
      </c>
      <c r="C32" s="3">
        <v>1442000</v>
      </c>
      <c r="D32" s="3">
        <v>1468000</v>
      </c>
      <c r="E32" s="3">
        <v>1454000</v>
      </c>
      <c r="F32" s="11"/>
      <c r="G32" s="11"/>
      <c r="H32" s="11"/>
      <c r="I32" s="11"/>
      <c r="J32" s="11"/>
    </row>
    <row r="33" spans="1:10" x14ac:dyDescent="0.2">
      <c r="A33" s="82" t="s">
        <v>29</v>
      </c>
      <c r="B33" s="3">
        <v>5481000</v>
      </c>
      <c r="C33" s="3">
        <v>6634000</v>
      </c>
      <c r="D33" s="3">
        <v>9324000</v>
      </c>
      <c r="E33" s="3">
        <v>10315000</v>
      </c>
      <c r="F33" s="11"/>
      <c r="G33" s="11"/>
      <c r="H33" s="11"/>
      <c r="I33" s="11"/>
      <c r="J33" s="11"/>
    </row>
    <row r="34" spans="1:10" x14ac:dyDescent="0.2">
      <c r="A34" s="82" t="s">
        <v>30</v>
      </c>
      <c r="B34" s="3">
        <v>131756000</v>
      </c>
      <c r="C34" s="3">
        <v>115851000</v>
      </c>
      <c r="D34" s="3">
        <v>117680000</v>
      </c>
      <c r="E34" s="3">
        <v>146421000</v>
      </c>
      <c r="F34" s="11"/>
      <c r="G34" s="11"/>
      <c r="H34" s="11"/>
      <c r="I34" s="11"/>
      <c r="J34" s="11"/>
    </row>
    <row r="35" spans="1:10" x14ac:dyDescent="0.2">
      <c r="A35" s="82" t="s">
        <v>31</v>
      </c>
      <c r="B35" s="3">
        <v>6732000</v>
      </c>
      <c r="C35" s="3">
        <v>6427000</v>
      </c>
      <c r="D35" s="3">
        <v>10019000</v>
      </c>
      <c r="E35" s="3">
        <v>9934000</v>
      </c>
      <c r="F35" s="11"/>
      <c r="G35" s="11"/>
      <c r="H35" s="11"/>
      <c r="I35" s="11"/>
      <c r="J35" s="11"/>
    </row>
    <row r="36" spans="1:10" x14ac:dyDescent="0.2">
      <c r="A36" s="82" t="s">
        <v>32</v>
      </c>
      <c r="B36" s="3">
        <v>6660240</v>
      </c>
      <c r="C36" s="3">
        <v>6220035</v>
      </c>
      <c r="D36" s="3">
        <v>9572478</v>
      </c>
      <c r="E36" s="3">
        <v>10131532</v>
      </c>
      <c r="F36" s="11"/>
      <c r="G36" s="11"/>
      <c r="H36" s="11"/>
      <c r="I36" s="11"/>
      <c r="J36" s="11"/>
    </row>
    <row r="37" spans="1:10" x14ac:dyDescent="0.2">
      <c r="A37" s="82" t="s">
        <v>33</v>
      </c>
      <c r="B37" s="3">
        <v>429000</v>
      </c>
      <c r="C37" s="3">
        <v>241000</v>
      </c>
      <c r="D37" s="3">
        <v>146000</v>
      </c>
      <c r="E37" s="3">
        <v>460000</v>
      </c>
      <c r="F37" s="11"/>
      <c r="G37" s="11"/>
      <c r="H37" s="11"/>
      <c r="I37" s="11"/>
      <c r="J37" s="11"/>
    </row>
    <row r="38" spans="1:10" x14ac:dyDescent="0.2">
      <c r="A38" s="82" t="s">
        <v>34</v>
      </c>
      <c r="B38" s="3">
        <v>782000</v>
      </c>
      <c r="C38" s="3">
        <v>1098000</v>
      </c>
      <c r="D38" s="3">
        <v>950000</v>
      </c>
      <c r="E38" s="3">
        <v>987000</v>
      </c>
      <c r="F38" s="11"/>
      <c r="G38" s="11"/>
      <c r="H38" s="11"/>
      <c r="I38" s="11"/>
      <c r="J38" s="11"/>
    </row>
    <row r="39" spans="1:10" x14ac:dyDescent="0.2">
      <c r="A39" s="82" t="s">
        <v>35</v>
      </c>
      <c r="B39" s="3">
        <v>-353000</v>
      </c>
      <c r="C39" s="3">
        <v>-857000</v>
      </c>
      <c r="D39" s="3">
        <v>-804000</v>
      </c>
      <c r="E39" s="3">
        <v>-527000</v>
      </c>
      <c r="F39" s="11"/>
      <c r="G39" s="11"/>
      <c r="H39" s="11"/>
      <c r="I39" s="11"/>
      <c r="J39" s="11"/>
    </row>
    <row r="40" spans="1:10" x14ac:dyDescent="0.2">
      <c r="A40" s="82" t="s">
        <v>36</v>
      </c>
      <c r="B40" s="3">
        <v>8218000</v>
      </c>
      <c r="C40" s="3">
        <v>9193000</v>
      </c>
      <c r="D40" s="3">
        <v>13666000</v>
      </c>
      <c r="E40" s="3">
        <v>12584000</v>
      </c>
      <c r="F40" s="11"/>
      <c r="G40" s="11"/>
      <c r="H40" s="11"/>
      <c r="I40" s="11"/>
      <c r="J40" s="11"/>
    </row>
    <row r="41" spans="1:10" x14ac:dyDescent="0.2">
      <c r="A41" s="82" t="s">
        <v>37</v>
      </c>
      <c r="B41" s="3">
        <v>0</v>
      </c>
      <c r="C41" s="3">
        <v>0</v>
      </c>
      <c r="D41" s="3">
        <v>0</v>
      </c>
      <c r="E41" s="3">
        <v>0</v>
      </c>
      <c r="F41" s="11"/>
      <c r="G41" s="11"/>
      <c r="H41" s="11"/>
      <c r="I41" s="11"/>
      <c r="J41" s="11"/>
    </row>
    <row r="42" spans="1:10" x14ac:dyDescent="0.2">
      <c r="A42" s="82" t="s">
        <v>38</v>
      </c>
      <c r="B42" s="3">
        <v>123265000</v>
      </c>
      <c r="C42" s="3">
        <v>108813000</v>
      </c>
      <c r="D42" s="3">
        <v>109126000</v>
      </c>
      <c r="E42" s="3">
        <v>135754000</v>
      </c>
      <c r="F42" s="11"/>
      <c r="G42" s="11"/>
      <c r="H42" s="11"/>
      <c r="I42" s="11"/>
      <c r="J42" s="11"/>
    </row>
    <row r="43" spans="1:10" x14ac:dyDescent="0.2">
      <c r="A43" s="82" t="s">
        <v>39</v>
      </c>
      <c r="B43" s="3">
        <v>14118000</v>
      </c>
      <c r="C43" s="3">
        <v>12815000</v>
      </c>
      <c r="D43" s="3">
        <v>12051000</v>
      </c>
      <c r="E43" s="3">
        <v>11290000</v>
      </c>
      <c r="F43" s="11"/>
      <c r="G43" s="11"/>
      <c r="H43" s="11"/>
      <c r="I43" s="11"/>
      <c r="J43" s="11"/>
    </row>
    <row r="44" spans="1:10" x14ac:dyDescent="0.2">
      <c r="A44" s="100" t="s">
        <v>40</v>
      </c>
      <c r="B44" s="98">
        <v>6732000</v>
      </c>
      <c r="C44" s="98">
        <v>6427000</v>
      </c>
      <c r="D44" s="98">
        <v>10019000</v>
      </c>
      <c r="E44" s="98">
        <v>9934000</v>
      </c>
      <c r="F44" s="99">
        <f>F2*F75</f>
        <v>136017.15973106964</v>
      </c>
      <c r="G44" s="99">
        <f t="shared" ref="G44:I44" si="24">G2*G75</f>
        <v>158242.42540679255</v>
      </c>
      <c r="H44" s="99">
        <f t="shared" si="24"/>
        <v>175268.5331976384</v>
      </c>
      <c r="I44" s="99">
        <f t="shared" si="24"/>
        <v>211559.8088201411</v>
      </c>
      <c r="J44" s="99">
        <f>J2*J75</f>
        <v>204095.91268452082</v>
      </c>
    </row>
    <row r="45" spans="1:10" x14ac:dyDescent="0.2">
      <c r="A45" s="82" t="s">
        <v>41</v>
      </c>
      <c r="B45" s="3">
        <v>80000</v>
      </c>
      <c r="C45" s="3">
        <v>265000</v>
      </c>
      <c r="D45" s="3">
        <v>571000</v>
      </c>
      <c r="E45" s="3">
        <v>-236000</v>
      </c>
      <c r="F45" s="11"/>
      <c r="G45" s="11"/>
      <c r="H45" s="11"/>
      <c r="I45" s="11"/>
      <c r="J45" s="11"/>
    </row>
    <row r="46" spans="1:10" x14ac:dyDescent="0.2">
      <c r="A46" s="82" t="s">
        <v>42</v>
      </c>
      <c r="B46" s="3">
        <v>80000</v>
      </c>
      <c r="C46" s="3">
        <v>265000</v>
      </c>
      <c r="D46" s="3">
        <v>571000</v>
      </c>
      <c r="E46" s="3">
        <v>-236000</v>
      </c>
      <c r="F46" s="11"/>
      <c r="G46" s="11"/>
      <c r="H46" s="11"/>
      <c r="I46" s="11"/>
      <c r="J46" s="11"/>
    </row>
    <row r="47" spans="1:10" x14ac:dyDescent="0.2">
      <c r="A47" s="100" t="s">
        <v>43</v>
      </c>
      <c r="B47" s="98">
        <v>22256000</v>
      </c>
      <c r="C47" s="98">
        <v>21743000</v>
      </c>
      <c r="D47" s="98">
        <v>25146000</v>
      </c>
      <c r="E47" s="98">
        <v>24110000</v>
      </c>
      <c r="F47" s="99">
        <f>F2*F74</f>
        <v>27962940.991017312</v>
      </c>
      <c r="G47" s="99">
        <f t="shared" ref="G47:J47" si="25">G2*G74</f>
        <v>29783645.091061957</v>
      </c>
      <c r="H47" s="99">
        <f t="shared" si="25"/>
        <v>32313034.182209212</v>
      </c>
      <c r="I47" s="99">
        <f t="shared" si="25"/>
        <v>34403297.976428606</v>
      </c>
      <c r="J47" s="99">
        <f t="shared" si="25"/>
        <v>37562388.680372335</v>
      </c>
    </row>
    <row r="48" spans="1:10" x14ac:dyDescent="0.2">
      <c r="A48" s="82" t="s">
        <v>44</v>
      </c>
      <c r="B48" s="3">
        <v>0</v>
      </c>
      <c r="C48" s="3">
        <v>0</v>
      </c>
      <c r="D48" s="3">
        <v>0</v>
      </c>
      <c r="E48" s="3">
        <v>0</v>
      </c>
      <c r="F48" s="11"/>
      <c r="G48" s="11"/>
      <c r="H48" s="11"/>
      <c r="I48" s="11"/>
      <c r="J48" s="11"/>
    </row>
    <row r="49" spans="1:10" x14ac:dyDescent="0.2">
      <c r="A49" s="82" t="s">
        <v>45</v>
      </c>
      <c r="B49" s="3">
        <v>8.24</v>
      </c>
      <c r="C49" s="3">
        <v>58.034999999999997</v>
      </c>
      <c r="D49" s="3">
        <v>124.47799999999999</v>
      </c>
      <c r="E49" s="3">
        <v>-38.468000000000004</v>
      </c>
      <c r="F49" s="11"/>
      <c r="G49" s="11"/>
      <c r="H49" s="11"/>
      <c r="I49" s="11"/>
      <c r="J49" s="11"/>
    </row>
    <row r="52" spans="1:10" x14ac:dyDescent="0.2">
      <c r="B52" s="96">
        <v>43829</v>
      </c>
      <c r="C52" s="96">
        <v>44195</v>
      </c>
      <c r="D52" s="96">
        <v>44560</v>
      </c>
      <c r="E52" s="96">
        <v>44925</v>
      </c>
      <c r="F52" s="96">
        <f>F66</f>
        <v>45291</v>
      </c>
      <c r="G52" s="96">
        <f t="shared" ref="G52:J52" si="26">G66</f>
        <v>45656</v>
      </c>
      <c r="H52" s="96">
        <f t="shared" si="26"/>
        <v>46021</v>
      </c>
      <c r="I52" s="96">
        <f t="shared" si="26"/>
        <v>46386</v>
      </c>
      <c r="J52" s="96">
        <f t="shared" si="26"/>
        <v>46751</v>
      </c>
    </row>
    <row r="53" spans="1:10" ht="15" x14ac:dyDescent="0.25">
      <c r="A53" s="61" t="s">
        <v>19</v>
      </c>
      <c r="B53" s="3">
        <f>B20</f>
        <v>6581000</v>
      </c>
      <c r="C53" s="3">
        <f t="shared" ref="C53:E53" si="27">C20</f>
        <v>6247000</v>
      </c>
      <c r="D53" s="3">
        <f t="shared" si="27"/>
        <v>9837000</v>
      </c>
      <c r="E53" s="3">
        <f t="shared" si="27"/>
        <v>8915000</v>
      </c>
      <c r="F53" s="2" t="s">
        <v>283</v>
      </c>
      <c r="G53" s="2" t="s">
        <v>283</v>
      </c>
      <c r="H53" s="2" t="s">
        <v>283</v>
      </c>
      <c r="I53" s="2" t="s">
        <v>283</v>
      </c>
      <c r="J53" s="2" t="s">
        <v>283</v>
      </c>
    </row>
    <row r="54" spans="1:10" ht="15" x14ac:dyDescent="0.25">
      <c r="A54" s="62" t="s">
        <v>136</v>
      </c>
      <c r="B54" s="3">
        <f>'GM - CF'!B11</f>
        <v>14118000</v>
      </c>
      <c r="C54" s="3">
        <f>'GM - CF'!C11</f>
        <v>12815000</v>
      </c>
      <c r="D54" s="3">
        <f>'GM - CF'!D11</f>
        <v>12051000</v>
      </c>
      <c r="E54" s="3">
        <f>'GM - CF'!E11</f>
        <v>0</v>
      </c>
      <c r="F54" s="3">
        <f>F2*F76</f>
        <v>12227731.260672256</v>
      </c>
      <c r="G54" s="3">
        <f t="shared" ref="G54:J54" si="28">G2*G76</f>
        <v>11668429.10374153</v>
      </c>
      <c r="H54" s="3">
        <f t="shared" si="28"/>
        <v>11040645.944535434</v>
      </c>
      <c r="I54" s="3">
        <f t="shared" si="28"/>
        <v>10371400.000357665</v>
      </c>
      <c r="J54" s="3">
        <f t="shared" si="28"/>
        <v>13837955.196180524</v>
      </c>
    </row>
    <row r="55" spans="1:10" ht="15" x14ac:dyDescent="0.25">
      <c r="A55" s="62" t="s">
        <v>206</v>
      </c>
      <c r="B55" s="2" t="s">
        <v>282</v>
      </c>
      <c r="C55" s="3">
        <f>'GM - BS'!H31</f>
        <v>10927000</v>
      </c>
      <c r="D55" s="3">
        <f>'GM - BS'!H23</f>
        <v>6681000</v>
      </c>
      <c r="E55" s="3">
        <f>'GM - BS'!H13</f>
        <v>1583000</v>
      </c>
      <c r="F55" s="3">
        <f>F2*F77</f>
        <v>6143099.3926208122</v>
      </c>
      <c r="G55" s="3">
        <f t="shared" ref="G55:J55" si="29">G2*G77</f>
        <v>8054172.3571415776</v>
      </c>
      <c r="H55" s="3">
        <f t="shared" si="29"/>
        <v>6836695.6429510862</v>
      </c>
      <c r="I55" s="3">
        <f t="shared" si="29"/>
        <v>6734762.4967318773</v>
      </c>
      <c r="J55" s="3">
        <f t="shared" si="29"/>
        <v>8438223.4267214388</v>
      </c>
    </row>
    <row r="56" spans="1:10" ht="15" x14ac:dyDescent="0.25">
      <c r="A56" s="62" t="s">
        <v>130</v>
      </c>
      <c r="B56" s="3">
        <f>SUM(B53:B55)</f>
        <v>20699000</v>
      </c>
      <c r="C56" s="3">
        <f>SUM(C53:C55)</f>
        <v>29989000</v>
      </c>
      <c r="D56" s="3">
        <f>SUM(D53:D55)</f>
        <v>28569000</v>
      </c>
      <c r="E56" s="3">
        <f>SUM(E53:E55)</f>
        <v>10498000</v>
      </c>
      <c r="F56" s="3">
        <f t="shared" ref="F56:J56" si="30">SUM(F53:F55)</f>
        <v>18370830.653293069</v>
      </c>
      <c r="G56" s="3">
        <f t="shared" si="30"/>
        <v>19722601.460883107</v>
      </c>
      <c r="H56" s="3">
        <f t="shared" si="30"/>
        <v>17877341.58748652</v>
      </c>
      <c r="I56" s="3">
        <f t="shared" si="30"/>
        <v>17106162.497089542</v>
      </c>
      <c r="J56" s="3">
        <f t="shared" si="30"/>
        <v>22276178.622901961</v>
      </c>
    </row>
    <row r="57" spans="1:10" ht="15" x14ac:dyDescent="0.25">
      <c r="A57" s="62" t="s">
        <v>233</v>
      </c>
      <c r="B57" s="3">
        <f>'GM - CF'!B30</f>
        <v>-7592000</v>
      </c>
      <c r="C57" s="3">
        <f>'GM - CF'!C30</f>
        <v>-5300000</v>
      </c>
      <c r="D57" s="3">
        <f>'GM - CF'!D30</f>
        <v>-7509000</v>
      </c>
      <c r="E57" s="3">
        <f>'GM - CF'!E30</f>
        <v>-9238000</v>
      </c>
      <c r="F57" s="3">
        <f>F2*F78</f>
        <v>-8761028.2466296051</v>
      </c>
      <c r="G57" s="3">
        <f t="shared" ref="G57:J57" si="31">G2*G78</f>
        <v>-9140162.8568075467</v>
      </c>
      <c r="H57" s="3">
        <f t="shared" si="31"/>
        <v>-10433510.798938865</v>
      </c>
      <c r="I57" s="3">
        <f t="shared" si="31"/>
        <v>-11352536.212825099</v>
      </c>
      <c r="J57" s="3">
        <f t="shared" si="31"/>
        <v>-11951496.697054708</v>
      </c>
    </row>
    <row r="58" spans="1:10" ht="15" x14ac:dyDescent="0.25">
      <c r="A58" s="62" t="s">
        <v>207</v>
      </c>
      <c r="B58" s="3">
        <f>B56-B57</f>
        <v>28291000</v>
      </c>
      <c r="C58" s="3">
        <f t="shared" ref="C58:E58" si="32">C56-C57</f>
        <v>35289000</v>
      </c>
      <c r="D58" s="3">
        <f t="shared" si="32"/>
        <v>36078000</v>
      </c>
      <c r="E58" s="3">
        <f>E56-E57</f>
        <v>19736000</v>
      </c>
      <c r="F58" s="3">
        <f t="shared" ref="F58:J58" si="33">F56-F57</f>
        <v>27131858.899922676</v>
      </c>
      <c r="G58" s="3">
        <f t="shared" si="33"/>
        <v>28862764.317690656</v>
      </c>
      <c r="H58" s="3">
        <f t="shared" si="33"/>
        <v>28310852.386425383</v>
      </c>
      <c r="I58" s="3">
        <f t="shared" si="33"/>
        <v>28458698.70991464</v>
      </c>
      <c r="J58" s="3">
        <f t="shared" si="33"/>
        <v>34227675.319956668</v>
      </c>
    </row>
    <row r="59" spans="1:10" ht="15" x14ac:dyDescent="0.25">
      <c r="A59" s="62" t="s">
        <v>208</v>
      </c>
      <c r="B59" s="2">
        <v>0</v>
      </c>
      <c r="C59" s="3">
        <f>'GM - BS'!M31</f>
        <v>5347000</v>
      </c>
      <c r="D59" s="3">
        <f>'GM - BS'!M23</f>
        <v>-343000</v>
      </c>
      <c r="E59" s="3">
        <f>'GM - BS'!M13</f>
        <v>4235000</v>
      </c>
      <c r="F59" s="3">
        <f>F2*F79</f>
        <v>2748697.441065399</v>
      </c>
      <c r="G59" s="3">
        <f t="shared" ref="G59:J59" si="34">G2*G79</f>
        <v>3603796.9651879342</v>
      </c>
      <c r="H59" s="3">
        <f t="shared" si="34"/>
        <v>2886582.7371735284</v>
      </c>
      <c r="I59" s="3">
        <f t="shared" si="34"/>
        <v>4108876.3922292697</v>
      </c>
      <c r="J59" s="3">
        <f t="shared" si="34"/>
        <v>4017298.8951391233</v>
      </c>
    </row>
    <row r="60" spans="1:10" ht="15" x14ac:dyDescent="0.25">
      <c r="A60" s="62" t="s">
        <v>209</v>
      </c>
      <c r="B60" s="3">
        <f>B58+B59</f>
        <v>28291000</v>
      </c>
      <c r="C60" s="3">
        <f>C58+C59</f>
        <v>40636000</v>
      </c>
      <c r="D60" s="3">
        <f>D58+D59</f>
        <v>35735000</v>
      </c>
      <c r="E60" s="3">
        <f>E58+E59</f>
        <v>23971000</v>
      </c>
      <c r="F60" s="3">
        <f t="shared" ref="F60:J60" si="35">F58+F59</f>
        <v>29880556.340988077</v>
      </c>
      <c r="G60" s="3">
        <f>G58+G59</f>
        <v>32466561.282878589</v>
      </c>
      <c r="H60" s="3">
        <f t="shared" si="35"/>
        <v>31197435.123598911</v>
      </c>
      <c r="I60" s="3">
        <f t="shared" si="35"/>
        <v>32567575.10214391</v>
      </c>
      <c r="J60" s="3">
        <f t="shared" si="35"/>
        <v>38244974.215095788</v>
      </c>
    </row>
    <row r="61" spans="1:10" ht="15" x14ac:dyDescent="0.25">
      <c r="A61" s="62" t="s">
        <v>210</v>
      </c>
      <c r="B61" s="2"/>
      <c r="C61" s="2"/>
      <c r="D61" s="2"/>
      <c r="E61" s="2"/>
      <c r="F61" s="2"/>
      <c r="G61" s="2"/>
      <c r="H61" s="2"/>
      <c r="I61" s="2"/>
      <c r="J61" s="3">
        <f>((J60*(1+N7))/(N6-N7))</f>
        <v>568834500.84133697</v>
      </c>
    </row>
    <row r="62" spans="1:10" ht="15" x14ac:dyDescent="0.25">
      <c r="A62" s="63" t="s">
        <v>211</v>
      </c>
      <c r="B62" s="3">
        <f>B60</f>
        <v>28291000</v>
      </c>
      <c r="C62" s="3">
        <f t="shared" ref="C62:J62" si="36">C60</f>
        <v>40636000</v>
      </c>
      <c r="D62" s="3">
        <f t="shared" si="36"/>
        <v>35735000</v>
      </c>
      <c r="E62" s="3">
        <f t="shared" si="36"/>
        <v>23971000</v>
      </c>
      <c r="F62" s="3">
        <f t="shared" si="36"/>
        <v>29880556.340988077</v>
      </c>
      <c r="G62" s="3">
        <f>G60</f>
        <v>32466561.282878589</v>
      </c>
      <c r="H62" s="3">
        <f t="shared" si="36"/>
        <v>31197435.123598911</v>
      </c>
      <c r="I62" s="3">
        <f t="shared" si="36"/>
        <v>32567575.10214391</v>
      </c>
      <c r="J62" s="3">
        <f>SUM(J60:J61)</f>
        <v>607079475.05643272</v>
      </c>
    </row>
    <row r="66" spans="1:10" ht="15" x14ac:dyDescent="0.25">
      <c r="A66" s="8" t="s">
        <v>193</v>
      </c>
      <c r="B66" s="7">
        <v>43829</v>
      </c>
      <c r="C66" s="7">
        <v>44195</v>
      </c>
      <c r="D66" s="7">
        <v>44560</v>
      </c>
      <c r="E66" s="7">
        <v>44925</v>
      </c>
      <c r="F66" s="7">
        <f>E66+366</f>
        <v>45291</v>
      </c>
      <c r="G66" s="7">
        <f>F66+365</f>
        <v>45656</v>
      </c>
      <c r="H66" s="7">
        <f>G66+365</f>
        <v>46021</v>
      </c>
      <c r="I66" s="7">
        <f>H66+365</f>
        <v>46386</v>
      </c>
      <c r="J66" s="7">
        <f>I66+365</f>
        <v>46751</v>
      </c>
    </row>
    <row r="67" spans="1:10" ht="15" x14ac:dyDescent="0.25">
      <c r="A67" s="83" t="s">
        <v>194</v>
      </c>
      <c r="B67" s="2" t="s">
        <v>134</v>
      </c>
      <c r="C67" s="95">
        <f>C3</f>
        <v>-0.10749287728528023</v>
      </c>
      <c r="D67" s="95">
        <f t="shared" ref="D67:E67" si="37">D3</f>
        <v>3.6894313589419081E-2</v>
      </c>
      <c r="E67" s="95">
        <f t="shared" si="37"/>
        <v>0.23409498913420057</v>
      </c>
      <c r="F67" s="34">
        <v>3.2000000000000001E-2</v>
      </c>
      <c r="G67" s="34">
        <f>AVERAGEA(C67:F67)</f>
        <v>4.8874106359584855E-2</v>
      </c>
      <c r="H67" s="34">
        <f>AVERAGEA(D67:G67)</f>
        <v>8.7965852270801129E-2</v>
      </c>
      <c r="I67" s="34">
        <f>AVERAGEA(E67:H67)</f>
        <v>0.10073373694114664</v>
      </c>
      <c r="J67" s="34">
        <f>AVERAGEA(F67:I67)</f>
        <v>6.739342389288315E-2</v>
      </c>
    </row>
    <row r="68" spans="1:10" ht="15" x14ac:dyDescent="0.25">
      <c r="A68" s="83" t="s">
        <v>195</v>
      </c>
      <c r="B68" s="34">
        <f>B5/B2</f>
        <v>0.89819072116120291</v>
      </c>
      <c r="C68" s="34">
        <f t="shared" ref="C68:E68" si="38">C5/C2</f>
        <v>0.8883781687553578</v>
      </c>
      <c r="D68" s="34">
        <f t="shared" si="38"/>
        <v>0.8592327800699191</v>
      </c>
      <c r="E68" s="34">
        <f t="shared" si="38"/>
        <v>0.86613711040928953</v>
      </c>
      <c r="F68" s="34">
        <f>AVERAGEA(B68:E68)</f>
        <v>0.87798469509894239</v>
      </c>
      <c r="G68" s="34">
        <f>AVERAGEA(C68:F68)</f>
        <v>0.87293318858337721</v>
      </c>
      <c r="H68" s="34">
        <f>AVERAGEA(D68:G68)</f>
        <v>0.86907194354038209</v>
      </c>
      <c r="I68" s="34">
        <f>AVERAGEA(E68:H68)</f>
        <v>0.8715317344079978</v>
      </c>
      <c r="J68" s="34">
        <f>AVERAGEA(F68:I68)</f>
        <v>0.87288039040767496</v>
      </c>
    </row>
    <row r="69" spans="1:10" ht="15" x14ac:dyDescent="0.25">
      <c r="A69" s="83" t="s">
        <v>196</v>
      </c>
      <c r="B69" s="34">
        <f>B8/B2</f>
        <v>6.1871069755240933E-2</v>
      </c>
      <c r="C69" s="34">
        <f t="shared" ref="C69:E69" si="39">C8/C2</f>
        <v>5.7460097154753642E-2</v>
      </c>
      <c r="D69" s="34">
        <f t="shared" si="39"/>
        <v>6.7352209379232156E-2</v>
      </c>
      <c r="E69" s="34">
        <f t="shared" si="39"/>
        <v>6.8057549366765557E-2</v>
      </c>
      <c r="F69" s="34">
        <f>AVERAGEA(B69:E69)</f>
        <v>6.3685231413998067E-2</v>
      </c>
      <c r="G69" s="34">
        <f t="shared" ref="G69:J79" si="40">AVERAGEA(C69:F69)</f>
        <v>6.4138771828687352E-2</v>
      </c>
      <c r="H69" s="34">
        <f t="shared" si="40"/>
        <v>6.5808440497170773E-2</v>
      </c>
      <c r="I69" s="34">
        <f t="shared" si="40"/>
        <v>6.5422498276655444E-2</v>
      </c>
      <c r="J69" s="34">
        <f t="shared" si="40"/>
        <v>6.4763735504127909E-2</v>
      </c>
    </row>
    <row r="70" spans="1:10" ht="15" x14ac:dyDescent="0.25">
      <c r="A70" s="84" t="s">
        <v>197</v>
      </c>
      <c r="B70" s="34">
        <f>B12/B2</f>
        <v>3.1259791455657002E-3</v>
      </c>
      <c r="C70" s="34">
        <f t="shared" ref="C70:E70" si="41">C12/C2</f>
        <v>1.9675878679021922E-3</v>
      </c>
      <c r="D70" s="34">
        <f t="shared" si="41"/>
        <v>1.1495700922805581E-3</v>
      </c>
      <c r="E70" s="34">
        <f t="shared" si="41"/>
        <v>2.9348901011261048E-3</v>
      </c>
      <c r="F70" s="34">
        <f t="shared" ref="F70:F79" si="42">AVERAGEA(B70:E70)</f>
        <v>2.2945068017186385E-3</v>
      </c>
      <c r="G70" s="34">
        <f t="shared" si="40"/>
        <v>2.0866387157568731E-3</v>
      </c>
      <c r="H70" s="34">
        <f t="shared" si="40"/>
        <v>2.1164014277205434E-3</v>
      </c>
      <c r="I70" s="34">
        <f t="shared" si="40"/>
        <v>2.3581092615805399E-3</v>
      </c>
      <c r="J70" s="34">
        <f t="shared" si="40"/>
        <v>2.2139140516941489E-3</v>
      </c>
    </row>
    <row r="71" spans="1:10" ht="15" x14ac:dyDescent="0.25">
      <c r="A71" s="83" t="s">
        <v>198</v>
      </c>
      <c r="B71" s="34">
        <f>B13/B2</f>
        <v>5.6981717758330481E-3</v>
      </c>
      <c r="C71" s="34">
        <f t="shared" ref="C71:E71" si="43">C13/C2</f>
        <v>8.9643629832224358E-3</v>
      </c>
      <c r="D71" s="34">
        <f t="shared" si="43"/>
        <v>7.4800793675789739E-3</v>
      </c>
      <c r="E71" s="34">
        <f t="shared" si="43"/>
        <v>6.2972533256770982E-3</v>
      </c>
      <c r="F71" s="34">
        <f t="shared" si="42"/>
        <v>7.1099668630778892E-3</v>
      </c>
      <c r="G71" s="34">
        <f t="shared" si="40"/>
        <v>7.4629156348890993E-3</v>
      </c>
      <c r="H71" s="34">
        <f t="shared" si="40"/>
        <v>7.0875537978057658E-3</v>
      </c>
      <c r="I71" s="34">
        <f t="shared" si="40"/>
        <v>6.9894224053624636E-3</v>
      </c>
      <c r="J71" s="34">
        <f t="shared" si="40"/>
        <v>7.1624646752838049E-3</v>
      </c>
    </row>
    <row r="72" spans="1:10" ht="15" x14ac:dyDescent="0.25">
      <c r="A72" s="83" t="s">
        <v>199</v>
      </c>
      <c r="B72" s="34">
        <f>B17/B2</f>
        <v>6.9951980879791893E-3</v>
      </c>
      <c r="C72" s="34">
        <f t="shared" ref="C72:E72" si="44">C17/C2</f>
        <v>1.1258521451606319E-2</v>
      </c>
      <c r="D72" s="34">
        <f t="shared" si="44"/>
        <v>1.8298636263424775E-2</v>
      </c>
      <c r="E72" s="34">
        <f t="shared" si="44"/>
        <v>7.7072766133920315E-3</v>
      </c>
      <c r="F72" s="34">
        <f t="shared" si="42"/>
        <v>1.1064908104100579E-2</v>
      </c>
      <c r="G72" s="34">
        <f t="shared" si="40"/>
        <v>1.2082335608130927E-2</v>
      </c>
      <c r="H72" s="34">
        <f t="shared" si="40"/>
        <v>1.2288289147262078E-2</v>
      </c>
      <c r="I72" s="34">
        <f t="shared" si="40"/>
        <v>1.0785702368221404E-2</v>
      </c>
      <c r="J72" s="34">
        <f t="shared" si="40"/>
        <v>1.1555308806928748E-2</v>
      </c>
    </row>
    <row r="73" spans="1:10" ht="15" x14ac:dyDescent="0.25">
      <c r="A73" s="83" t="s">
        <v>200</v>
      </c>
      <c r="B73" s="47">
        <f>B19/B18</f>
        <v>0.10341581495427649</v>
      </c>
      <c r="C73" s="47">
        <f t="shared" ref="C73:E73" si="45">C19/C18</f>
        <v>0.21914762198888202</v>
      </c>
      <c r="D73" s="47">
        <f t="shared" si="45"/>
        <v>0.21791443850267381</v>
      </c>
      <c r="E73" s="47">
        <f t="shared" si="45"/>
        <v>0.16280072432525652</v>
      </c>
      <c r="F73" s="34">
        <f t="shared" si="42"/>
        <v>0.17581964994277219</v>
      </c>
      <c r="G73" s="34">
        <f t="shared" si="40"/>
        <v>0.19392060868989613</v>
      </c>
      <c r="H73" s="34">
        <f t="shared" si="40"/>
        <v>0.18761385536514966</v>
      </c>
      <c r="I73" s="34">
        <f t="shared" si="40"/>
        <v>0.18003870958076862</v>
      </c>
      <c r="J73" s="34">
        <f t="shared" si="40"/>
        <v>0.18434820589464665</v>
      </c>
    </row>
    <row r="74" spans="1:10" ht="15" x14ac:dyDescent="0.25">
      <c r="A74" s="83" t="s">
        <v>43</v>
      </c>
      <c r="B74" s="47">
        <f>B47/B2</f>
        <v>0.16217200900631754</v>
      </c>
      <c r="C74" s="47">
        <f t="shared" ref="C74:E74" si="46">C47/C2</f>
        <v>0.17751561415683553</v>
      </c>
      <c r="D74" s="47">
        <f t="shared" si="46"/>
        <v>0.19799376397593776</v>
      </c>
      <c r="E74" s="47">
        <f t="shared" si="46"/>
        <v>0.15382652247423995</v>
      </c>
      <c r="F74" s="34">
        <f t="shared" si="42"/>
        <v>0.17287697740333269</v>
      </c>
      <c r="G74" s="34">
        <f t="shared" si="40"/>
        <v>0.17555321950258651</v>
      </c>
      <c r="H74" s="34">
        <f t="shared" si="40"/>
        <v>0.17506262083902421</v>
      </c>
      <c r="I74" s="34">
        <f t="shared" si="40"/>
        <v>0.16932983505479585</v>
      </c>
      <c r="J74" s="34">
        <f t="shared" si="40"/>
        <v>0.1732056631999348</v>
      </c>
    </row>
    <row r="75" spans="1:10" ht="15" x14ac:dyDescent="0.25">
      <c r="A75" s="83" t="s">
        <v>201</v>
      </c>
      <c r="B75" s="34">
        <f>B26/B2</f>
        <v>4.7363320387359097E-4</v>
      </c>
      <c r="C75" s="34">
        <f t="shared" ref="C75:E75" si="47">C26/C2</f>
        <v>8.6541209127648287E-4</v>
      </c>
      <c r="D75" s="34">
        <f t="shared" si="47"/>
        <v>5.8265881389562538E-4</v>
      </c>
      <c r="E75" s="34">
        <f t="shared" si="47"/>
        <v>1.4419242670749993E-3</v>
      </c>
      <c r="F75" s="34">
        <f t="shared" si="42"/>
        <v>8.409070940301746E-4</v>
      </c>
      <c r="G75" s="34">
        <f t="shared" si="40"/>
        <v>9.3272556656932046E-4</v>
      </c>
      <c r="H75" s="34">
        <f t="shared" si="40"/>
        <v>9.4955393539253004E-4</v>
      </c>
      <c r="I75" s="34">
        <f t="shared" si="40"/>
        <v>1.0412777157667559E-3</v>
      </c>
      <c r="J75" s="34">
        <f t="shared" si="40"/>
        <v>9.4111607793969526E-4</v>
      </c>
    </row>
    <row r="76" spans="1:10" ht="15" x14ac:dyDescent="0.25">
      <c r="A76" s="83" t="s">
        <v>202</v>
      </c>
      <c r="B76" s="34">
        <f>B54/B2</f>
        <v>0.10287313188134395</v>
      </c>
      <c r="C76" s="34">
        <f>C54/C2</f>
        <v>0.10462505612932196</v>
      </c>
      <c r="D76" s="34">
        <f>D54/D2</f>
        <v>9.4886775219678116E-2</v>
      </c>
      <c r="E76" s="34">
        <f>E54/E2</f>
        <v>0</v>
      </c>
      <c r="F76" s="34">
        <f t="shared" si="42"/>
        <v>7.5596240807586007E-2</v>
      </c>
      <c r="G76" s="34">
        <f t="shared" si="40"/>
        <v>6.8777018039146515E-2</v>
      </c>
      <c r="H76" s="34">
        <f t="shared" si="40"/>
        <v>5.9815008516602659E-2</v>
      </c>
      <c r="I76" s="34">
        <f t="shared" si="40"/>
        <v>5.1047066840833794E-2</v>
      </c>
      <c r="J76" s="34">
        <f t="shared" si="40"/>
        <v>6.3808833551042249E-2</v>
      </c>
    </row>
    <row r="77" spans="1:10" ht="15" x14ac:dyDescent="0.25">
      <c r="A77" s="83" t="s">
        <v>203</v>
      </c>
      <c r="B77" s="34" t="s">
        <v>282</v>
      </c>
      <c r="C77" s="34">
        <f>C55/C2</f>
        <v>8.9210923786586113E-2</v>
      </c>
      <c r="D77" s="34">
        <f t="shared" ref="D77:E77" si="48">D55/D2</f>
        <v>5.2604642373468555E-2</v>
      </c>
      <c r="E77" s="34">
        <f t="shared" si="48"/>
        <v>1.0099850065397008E-2</v>
      </c>
      <c r="F77" s="34">
        <f t="shared" si="42"/>
        <v>3.7978854056362921E-2</v>
      </c>
      <c r="G77" s="34">
        <f t="shared" si="40"/>
        <v>4.7473567570453651E-2</v>
      </c>
      <c r="H77" s="34">
        <f t="shared" si="40"/>
        <v>3.7039228516420532E-2</v>
      </c>
      <c r="I77" s="34">
        <f t="shared" si="40"/>
        <v>3.3147875052158528E-2</v>
      </c>
      <c r="J77" s="34">
        <f t="shared" si="40"/>
        <v>3.8909881298848904E-2</v>
      </c>
    </row>
    <row r="78" spans="1:10" ht="15" x14ac:dyDescent="0.25">
      <c r="A78" s="83" t="s">
        <v>204</v>
      </c>
      <c r="B78" s="34">
        <f>B57/B2</f>
        <v>-5.5320358212435423E-2</v>
      </c>
      <c r="C78" s="34">
        <f t="shared" ref="C78:E78" si="49">C57/C2</f>
        <v>-4.3270604563824144E-2</v>
      </c>
      <c r="D78" s="34">
        <f t="shared" si="49"/>
        <v>-5.9124122074895279E-2</v>
      </c>
      <c r="E78" s="34">
        <f t="shared" si="49"/>
        <v>-5.8940249465658595E-2</v>
      </c>
      <c r="F78" s="34">
        <f t="shared" si="42"/>
        <v>-5.416383357920336E-2</v>
      </c>
      <c r="G78" s="34">
        <f t="shared" si="40"/>
        <v>-5.3874702420895343E-2</v>
      </c>
      <c r="H78" s="34">
        <f t="shared" si="40"/>
        <v>-5.6525726885163143E-2</v>
      </c>
      <c r="I78" s="34">
        <f t="shared" si="40"/>
        <v>-5.5876128087730105E-2</v>
      </c>
      <c r="J78" s="34">
        <f t="shared" si="40"/>
        <v>-5.5110097743247988E-2</v>
      </c>
    </row>
    <row r="79" spans="1:10" ht="15" x14ac:dyDescent="0.25">
      <c r="A79" s="83" t="s">
        <v>205</v>
      </c>
      <c r="B79" s="34">
        <f>B59/B2</f>
        <v>0</v>
      </c>
      <c r="C79" s="34">
        <f t="shared" ref="C79:E79" si="50">C59/C2</f>
        <v>4.3654325019390129E-2</v>
      </c>
      <c r="D79" s="34">
        <f t="shared" si="50"/>
        <v>-2.7007023400837768E-3</v>
      </c>
      <c r="E79" s="34">
        <f t="shared" si="50"/>
        <v>2.70201295179762E-2</v>
      </c>
      <c r="F79" s="34">
        <f t="shared" si="42"/>
        <v>1.6993438049320637E-2</v>
      </c>
      <c r="G79" s="34">
        <f t="shared" si="40"/>
        <v>2.1241797561650795E-2</v>
      </c>
      <c r="H79" s="34">
        <f t="shared" si="40"/>
        <v>1.5638665697215962E-2</v>
      </c>
      <c r="I79" s="34">
        <f t="shared" si="40"/>
        <v>2.02235077065409E-2</v>
      </c>
      <c r="J79" s="34">
        <f t="shared" si="40"/>
        <v>1.8524352253682073E-2</v>
      </c>
    </row>
    <row r="83" spans="1:7" x14ac:dyDescent="0.2">
      <c r="A83" t="s">
        <v>287</v>
      </c>
      <c r="F83" s="101">
        <v>44985</v>
      </c>
      <c r="G83" s="102"/>
    </row>
    <row r="84" spans="1:7" ht="15" x14ac:dyDescent="0.25">
      <c r="A84" s="57" t="s">
        <v>250</v>
      </c>
      <c r="B84" s="57">
        <f>NPV(N6,B62:J62)</f>
        <v>460668893.95489728</v>
      </c>
    </row>
    <row r="85" spans="1:7" ht="15" x14ac:dyDescent="0.25">
      <c r="A85" s="58" t="s">
        <v>251</v>
      </c>
      <c r="B85" s="58">
        <f>F86</f>
        <v>1448000</v>
      </c>
      <c r="F85">
        <v>1448000000</v>
      </c>
    </row>
    <row r="86" spans="1:7" ht="15" x14ac:dyDescent="0.25">
      <c r="A86" s="57" t="s">
        <v>252</v>
      </c>
      <c r="B86" s="57">
        <f>B84/B85</f>
        <v>318.14150135006719</v>
      </c>
      <c r="F86">
        <f>F85/1000</f>
        <v>1448000</v>
      </c>
    </row>
    <row r="87" spans="1:7" ht="15" x14ac:dyDescent="0.25">
      <c r="A87" s="58" t="s">
        <v>253</v>
      </c>
      <c r="B87" s="58">
        <v>39.32</v>
      </c>
    </row>
    <row r="88" spans="1:7" ht="15" x14ac:dyDescent="0.25">
      <c r="A88" s="57" t="s">
        <v>254</v>
      </c>
      <c r="B88" s="59" t="str">
        <f>IF(B86&gt;B87,"Buy","Sell")</f>
        <v>Buy</v>
      </c>
    </row>
    <row r="89" spans="1:7" ht="15" x14ac:dyDescent="0.25">
      <c r="A89" s="58" t="s">
        <v>255</v>
      </c>
      <c r="B89" s="60">
        <f>B86/B87-1</f>
        <v>7.0910859956782097</v>
      </c>
    </row>
    <row r="92" spans="1:7" x14ac:dyDescent="0.2">
      <c r="A92" t="s">
        <v>286</v>
      </c>
    </row>
    <row r="93" spans="1:7" ht="15" x14ac:dyDescent="0.25">
      <c r="A93" s="57" t="s">
        <v>250</v>
      </c>
      <c r="B93" s="57">
        <f>'IS - Ford'!B86</f>
        <v>187201842.67871955</v>
      </c>
      <c r="D93" s="71"/>
    </row>
    <row r="94" spans="1:7" ht="15" x14ac:dyDescent="0.25">
      <c r="A94" s="58" t="s">
        <v>251</v>
      </c>
      <c r="B94" s="58">
        <f>'IS - Ford'!B87</f>
        <v>3973000</v>
      </c>
      <c r="D94" s="105"/>
    </row>
    <row r="95" spans="1:7" ht="15" x14ac:dyDescent="0.25">
      <c r="A95" s="57" t="s">
        <v>252</v>
      </c>
      <c r="B95" s="57">
        <f>'IS - Ford'!B88</f>
        <v>47.118510616340181</v>
      </c>
      <c r="D95" s="105">
        <f>B95/B86-1</f>
        <v>-0.8518944858926365</v>
      </c>
      <c r="E95" t="s">
        <v>288</v>
      </c>
    </row>
    <row r="96" spans="1:7" ht="15" x14ac:dyDescent="0.25">
      <c r="A96" s="58" t="s">
        <v>253</v>
      </c>
      <c r="B96" s="58">
        <f>'IS - Ford'!B89</f>
        <v>12.73</v>
      </c>
      <c r="D96" s="71"/>
    </row>
    <row r="97" spans="1:5" ht="15" x14ac:dyDescent="0.25">
      <c r="A97" s="104" t="s">
        <v>254</v>
      </c>
      <c r="B97" s="59" t="str">
        <f>'IS - Ford'!B90</f>
        <v>Buy</v>
      </c>
    </row>
    <row r="98" spans="1:5" ht="15" x14ac:dyDescent="0.25">
      <c r="A98" s="58" t="s">
        <v>255</v>
      </c>
      <c r="B98" s="60">
        <f>'IS - Ford'!B91</f>
        <v>2.7013755393825751</v>
      </c>
    </row>
    <row r="106" spans="1:5" x14ac:dyDescent="0.2">
      <c r="A106" t="s">
        <v>286</v>
      </c>
      <c r="B106" s="7">
        <v>43829</v>
      </c>
      <c r="C106" s="7">
        <v>44195</v>
      </c>
      <c r="D106" s="7">
        <v>44560</v>
      </c>
      <c r="E106" s="7">
        <v>44925</v>
      </c>
    </row>
    <row r="107" spans="1:5" x14ac:dyDescent="0.2">
      <c r="A107" s="106" t="s">
        <v>20</v>
      </c>
      <c r="B107" s="80">
        <v>47000</v>
      </c>
      <c r="C107" s="80">
        <v>1279000</v>
      </c>
      <c r="D107" s="32">
        <v>17937000</v>
      </c>
      <c r="E107" s="80">
        <v>1981000</v>
      </c>
    </row>
    <row r="109" spans="1:5" x14ac:dyDescent="0.2">
      <c r="A109" t="s">
        <v>287</v>
      </c>
      <c r="B109" s="7">
        <v>43829</v>
      </c>
      <c r="C109" s="7">
        <v>44195</v>
      </c>
      <c r="D109" s="7">
        <v>44560</v>
      </c>
      <c r="E109" s="7">
        <v>44925</v>
      </c>
    </row>
    <row r="110" spans="1:5" x14ac:dyDescent="0.2">
      <c r="A110" s="106" t="s">
        <v>20</v>
      </c>
      <c r="B110" s="80">
        <v>6732000</v>
      </c>
      <c r="C110" s="80">
        <v>6427000</v>
      </c>
      <c r="D110" s="32">
        <v>10019000</v>
      </c>
      <c r="E110" s="80">
        <v>9934000</v>
      </c>
    </row>
    <row r="113" spans="2:5" x14ac:dyDescent="0.2">
      <c r="B113" s="103">
        <f>B107/B110-1</f>
        <v>-0.99301841948900771</v>
      </c>
      <c r="C113" s="103">
        <f t="shared" ref="C113:E113" si="51">C107/C110-1</f>
        <v>-0.80099579897308226</v>
      </c>
      <c r="D113" s="107">
        <f t="shared" si="51"/>
        <v>0.79029843297734303</v>
      </c>
      <c r="E113" s="103">
        <f t="shared" si="51"/>
        <v>-0.80058385343265548</v>
      </c>
    </row>
  </sheetData>
  <mergeCells count="2">
    <mergeCell ref="M12:N12"/>
    <mergeCell ref="F83:G8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5CF08-F97D-46AE-A863-0E621F6D9705}">
  <dimension ref="A1:O79"/>
  <sheetViews>
    <sheetView topLeftCell="B1" zoomScaleNormal="100" workbookViewId="0">
      <selection activeCell="G34" sqref="G34:G36"/>
    </sheetView>
  </sheetViews>
  <sheetFormatPr defaultRowHeight="12.75" x14ac:dyDescent="0.2"/>
  <cols>
    <col min="1" max="1" width="40.7109375" customWidth="1"/>
    <col min="2" max="5" width="15.85546875" bestFit="1" customWidth="1"/>
    <col min="7" max="7" width="26.140625" bestFit="1" customWidth="1"/>
    <col min="8" max="8" width="15" customWidth="1"/>
    <col min="9" max="9" width="28" bestFit="1" customWidth="1"/>
    <col min="10" max="10" width="12.7109375" bestFit="1" customWidth="1"/>
    <col min="12" max="13" width="14.28515625" customWidth="1"/>
    <col min="14" max="14" width="16.140625" customWidth="1"/>
    <col min="15" max="15" width="14.28515625" customWidth="1"/>
    <col min="16" max="16" width="20" customWidth="1"/>
  </cols>
  <sheetData>
    <row r="1" spans="1:15" ht="13.5" thickBot="1" x14ac:dyDescent="0.25">
      <c r="A1" s="75" t="s">
        <v>46</v>
      </c>
      <c r="B1" s="74" t="s">
        <v>260</v>
      </c>
      <c r="C1" s="74" t="s">
        <v>259</v>
      </c>
      <c r="D1" s="74" t="s">
        <v>258</v>
      </c>
      <c r="E1" s="74" t="s">
        <v>261</v>
      </c>
    </row>
    <row r="2" spans="1:15" x14ac:dyDescent="0.2">
      <c r="A2" s="85" t="s">
        <v>47</v>
      </c>
      <c r="B2" s="86">
        <f>B3+B18</f>
        <v>228037000</v>
      </c>
      <c r="C2" s="86">
        <f t="shared" ref="C2:E2" si="0">C3+C18</f>
        <v>235194000</v>
      </c>
      <c r="D2" s="86">
        <f t="shared" si="0"/>
        <v>244718000</v>
      </c>
      <c r="E2" s="86">
        <f t="shared" si="0"/>
        <v>264037000</v>
      </c>
      <c r="G2" s="1"/>
    </row>
    <row r="3" spans="1:15" x14ac:dyDescent="0.2">
      <c r="A3" t="s">
        <v>48</v>
      </c>
      <c r="B3" s="1">
        <v>74992000</v>
      </c>
      <c r="C3" s="1">
        <v>80924000</v>
      </c>
      <c r="D3" s="1">
        <v>82103000</v>
      </c>
      <c r="E3" s="1">
        <v>100451000</v>
      </c>
    </row>
    <row r="4" spans="1:15" x14ac:dyDescent="0.2">
      <c r="A4" t="s">
        <v>49</v>
      </c>
      <c r="B4" s="1">
        <v>23243000</v>
      </c>
      <c r="C4" s="1">
        <v>29038000</v>
      </c>
      <c r="D4" s="1">
        <v>28676000</v>
      </c>
      <c r="E4" s="1">
        <v>31303000</v>
      </c>
    </row>
    <row r="5" spans="1:15" x14ac:dyDescent="0.2">
      <c r="A5" t="s">
        <v>50</v>
      </c>
      <c r="B5" s="1">
        <v>19069000</v>
      </c>
      <c r="C5" s="1">
        <v>19992000</v>
      </c>
      <c r="D5" s="1">
        <v>20067000</v>
      </c>
      <c r="E5" s="1">
        <v>19153000</v>
      </c>
    </row>
    <row r="6" spans="1:15" x14ac:dyDescent="0.2">
      <c r="A6" t="s">
        <v>51</v>
      </c>
      <c r="B6" s="1">
        <v>6828000</v>
      </c>
      <c r="C6" s="1">
        <v>8010000</v>
      </c>
      <c r="D6" s="1">
        <v>7881000</v>
      </c>
      <c r="E6" s="1">
        <v>8921000</v>
      </c>
    </row>
    <row r="7" spans="1:15" x14ac:dyDescent="0.2">
      <c r="A7" t="s">
        <v>52</v>
      </c>
      <c r="B7" s="1">
        <v>12241000</v>
      </c>
      <c r="C7" s="1">
        <v>11982000</v>
      </c>
      <c r="D7" s="1">
        <v>12186000</v>
      </c>
      <c r="E7" s="1">
        <v>10231000</v>
      </c>
      <c r="L7" t="s">
        <v>220</v>
      </c>
    </row>
    <row r="8" spans="1:15" x14ac:dyDescent="0.2">
      <c r="A8" t="s">
        <v>53</v>
      </c>
      <c r="B8" s="1">
        <v>4174000</v>
      </c>
      <c r="C8" s="1">
        <v>9046000</v>
      </c>
      <c r="D8" s="1">
        <v>8609000</v>
      </c>
      <c r="E8" s="1">
        <v>12150000</v>
      </c>
      <c r="G8" t="s">
        <v>220</v>
      </c>
      <c r="L8" s="68" t="s">
        <v>208</v>
      </c>
      <c r="M8" s="68"/>
      <c r="N8" s="68"/>
      <c r="O8" s="68"/>
    </row>
    <row r="9" spans="1:15" x14ac:dyDescent="0.2">
      <c r="A9" t="s">
        <v>54</v>
      </c>
      <c r="B9" s="1">
        <v>33398000</v>
      </c>
      <c r="C9" s="1">
        <v>34244000</v>
      </c>
      <c r="D9" s="1">
        <v>34043000</v>
      </c>
      <c r="E9" s="1">
        <v>46956000</v>
      </c>
      <c r="G9" s="68" t="s">
        <v>206</v>
      </c>
      <c r="H9" s="68"/>
      <c r="I9" s="68"/>
      <c r="J9" s="68"/>
      <c r="L9" s="24" t="s">
        <v>223</v>
      </c>
      <c r="M9" s="24">
        <f>E6</f>
        <v>8921000</v>
      </c>
      <c r="N9" s="24" t="s">
        <v>224</v>
      </c>
      <c r="O9" s="24">
        <f>D6</f>
        <v>7881000</v>
      </c>
    </row>
    <row r="10" spans="1:15" ht="25.5" x14ac:dyDescent="0.2">
      <c r="A10" t="s">
        <v>55</v>
      </c>
      <c r="B10" s="1">
        <v>33398000</v>
      </c>
      <c r="C10" s="1">
        <v>34244000</v>
      </c>
      <c r="D10" s="1">
        <v>34043000</v>
      </c>
      <c r="E10" s="1">
        <v>46956000</v>
      </c>
      <c r="G10" s="11" t="s">
        <v>214</v>
      </c>
      <c r="H10" s="3">
        <f>E3</f>
        <v>100451000</v>
      </c>
      <c r="I10" s="11" t="s">
        <v>215</v>
      </c>
      <c r="J10" s="11">
        <f>E39</f>
        <v>91173000</v>
      </c>
      <c r="L10" s="24" t="s">
        <v>225</v>
      </c>
      <c r="M10" s="24"/>
      <c r="N10" s="24" t="s">
        <v>226</v>
      </c>
      <c r="O10" s="24"/>
    </row>
    <row r="11" spans="1:15" ht="25.5" x14ac:dyDescent="0.2">
      <c r="A11" t="s">
        <v>56</v>
      </c>
      <c r="B11" s="1">
        <v>33599000</v>
      </c>
      <c r="C11" s="1">
        <v>34468000</v>
      </c>
      <c r="D11" s="1">
        <v>34938000</v>
      </c>
      <c r="E11" s="1">
        <v>48085000</v>
      </c>
      <c r="G11" s="11" t="s">
        <v>216</v>
      </c>
      <c r="H11" s="3">
        <f>D3</f>
        <v>82103000</v>
      </c>
      <c r="I11" s="11" t="s">
        <v>217</v>
      </c>
      <c r="J11" s="11">
        <f>D39</f>
        <v>74408000</v>
      </c>
      <c r="L11" s="24" t="s">
        <v>227</v>
      </c>
      <c r="M11" s="24">
        <f>E76</f>
        <v>115666000</v>
      </c>
      <c r="N11" s="24" t="s">
        <v>228</v>
      </c>
      <c r="O11" s="24">
        <f>D76</f>
        <v>110391000</v>
      </c>
    </row>
    <row r="12" spans="1:15" ht="15" x14ac:dyDescent="0.25">
      <c r="A12" t="s">
        <v>57</v>
      </c>
      <c r="B12" s="1">
        <v>-201000</v>
      </c>
      <c r="C12" s="1">
        <v>-224000</v>
      </c>
      <c r="D12" s="1">
        <v>-895000</v>
      </c>
      <c r="E12" s="1">
        <v>-1129000</v>
      </c>
      <c r="G12" s="19" t="s">
        <v>218</v>
      </c>
      <c r="H12" s="22">
        <f>H10-H11</f>
        <v>18348000</v>
      </c>
      <c r="I12" s="19" t="s">
        <v>219</v>
      </c>
      <c r="J12" s="11">
        <f>J10-J11</f>
        <v>16765000</v>
      </c>
      <c r="L12" s="24" t="s">
        <v>229</v>
      </c>
      <c r="M12" s="24">
        <f>M11-M9</f>
        <v>106745000</v>
      </c>
      <c r="N12" s="24" t="s">
        <v>230</v>
      </c>
      <c r="O12" s="24">
        <f>O11-O9</f>
        <v>102510000</v>
      </c>
    </row>
    <row r="13" spans="1:15" ht="15" x14ac:dyDescent="0.25">
      <c r="A13" t="s">
        <v>58</v>
      </c>
      <c r="B13" s="1">
        <v>10398000</v>
      </c>
      <c r="C13" s="1">
        <v>10235000</v>
      </c>
      <c r="D13" s="1">
        <v>12988000</v>
      </c>
      <c r="E13" s="1">
        <v>15366000</v>
      </c>
      <c r="G13" s="19" t="s">
        <v>206</v>
      </c>
      <c r="H13" s="27">
        <f>H12-J12</f>
        <v>1583000</v>
      </c>
      <c r="I13" s="19" t="s">
        <v>173</v>
      </c>
      <c r="J13" s="11"/>
      <c r="L13" s="25" t="s">
        <v>208</v>
      </c>
      <c r="M13" s="28">
        <f>M12-O12</f>
        <v>4235000</v>
      </c>
      <c r="N13" s="26"/>
      <c r="O13" s="26"/>
    </row>
    <row r="14" spans="1:15" x14ac:dyDescent="0.2">
      <c r="A14" t="s">
        <v>59</v>
      </c>
      <c r="B14" s="1">
        <v>4713000</v>
      </c>
      <c r="C14" s="1">
        <v>5117000</v>
      </c>
      <c r="D14" s="1">
        <v>8240000</v>
      </c>
      <c r="E14" s="1">
        <v>8014000</v>
      </c>
    </row>
    <row r="15" spans="1:15" x14ac:dyDescent="0.2">
      <c r="A15" t="s">
        <v>60</v>
      </c>
      <c r="B15" s="1">
        <v>5685000</v>
      </c>
      <c r="C15" s="1">
        <v>5118000</v>
      </c>
      <c r="D15" s="1">
        <v>4748000</v>
      </c>
      <c r="E15" s="1">
        <v>7353000</v>
      </c>
    </row>
    <row r="16" spans="1:15" x14ac:dyDescent="0.2">
      <c r="A16" t="s">
        <v>170</v>
      </c>
      <c r="B16" s="1">
        <v>0</v>
      </c>
      <c r="C16" s="1">
        <v>0</v>
      </c>
      <c r="D16" s="1">
        <v>0</v>
      </c>
      <c r="E16" s="1">
        <v>-1000</v>
      </c>
    </row>
    <row r="17" spans="1:15" x14ac:dyDescent="0.2">
      <c r="A17" t="s">
        <v>62</v>
      </c>
      <c r="B17" s="1">
        <v>7953000</v>
      </c>
      <c r="C17" s="1">
        <v>7407000</v>
      </c>
      <c r="D17" s="1">
        <v>6396000</v>
      </c>
      <c r="E17" s="1">
        <v>6826000</v>
      </c>
      <c r="L17" t="s">
        <v>221</v>
      </c>
    </row>
    <row r="18" spans="1:15" x14ac:dyDescent="0.2">
      <c r="A18" t="s">
        <v>63</v>
      </c>
      <c r="B18" s="1">
        <v>153045000</v>
      </c>
      <c r="C18" s="1">
        <v>154270000</v>
      </c>
      <c r="D18" s="1">
        <v>162615000</v>
      </c>
      <c r="E18" s="1">
        <v>163586000</v>
      </c>
      <c r="G18" t="s">
        <v>221</v>
      </c>
      <c r="L18" s="68" t="s">
        <v>208</v>
      </c>
      <c r="M18" s="68"/>
      <c r="N18" s="68"/>
      <c r="O18" s="68"/>
    </row>
    <row r="19" spans="1:15" x14ac:dyDescent="0.2">
      <c r="A19" t="s">
        <v>64</v>
      </c>
      <c r="B19" s="1">
        <v>80805000</v>
      </c>
      <c r="C19" s="1">
        <v>77451000</v>
      </c>
      <c r="D19" s="1">
        <v>79044000</v>
      </c>
      <c r="E19" s="1">
        <v>77950000</v>
      </c>
      <c r="G19" s="68" t="s">
        <v>206</v>
      </c>
      <c r="H19" s="68"/>
      <c r="I19" s="68"/>
      <c r="J19" s="68"/>
      <c r="L19" s="24" t="s">
        <v>223</v>
      </c>
      <c r="M19" s="24">
        <f>D6</f>
        <v>7881000</v>
      </c>
      <c r="N19" s="24" t="s">
        <v>224</v>
      </c>
      <c r="O19" s="24">
        <f>C6</f>
        <v>8010000</v>
      </c>
    </row>
    <row r="20" spans="1:15" ht="25.5" x14ac:dyDescent="0.2">
      <c r="A20" t="s">
        <v>65</v>
      </c>
      <c r="B20" s="1">
        <v>109504000</v>
      </c>
      <c r="C20" s="1">
        <v>115455000</v>
      </c>
      <c r="D20" s="1">
        <v>119824000</v>
      </c>
      <c r="E20" s="1">
        <v>119215000</v>
      </c>
      <c r="G20" s="11" t="s">
        <v>214</v>
      </c>
      <c r="H20" s="3">
        <f>D3</f>
        <v>82103000</v>
      </c>
      <c r="I20" s="11" t="s">
        <v>215</v>
      </c>
      <c r="J20" s="11">
        <f>D39</f>
        <v>74408000</v>
      </c>
      <c r="L20" s="24" t="s">
        <v>225</v>
      </c>
      <c r="M20" s="24"/>
      <c r="N20" s="24" t="s">
        <v>226</v>
      </c>
      <c r="O20" s="24"/>
    </row>
    <row r="21" spans="1:15" ht="25.5" x14ac:dyDescent="0.2">
      <c r="A21" t="s">
        <v>66</v>
      </c>
      <c r="B21" s="1">
        <v>0</v>
      </c>
      <c r="C21" s="1">
        <v>0</v>
      </c>
      <c r="D21" s="1">
        <v>0</v>
      </c>
      <c r="E21" s="1">
        <v>0</v>
      </c>
      <c r="G21" s="11" t="s">
        <v>216</v>
      </c>
      <c r="H21" s="3">
        <f>C3</f>
        <v>80924000</v>
      </c>
      <c r="I21" s="11" t="s">
        <v>217</v>
      </c>
      <c r="J21" s="11">
        <f>C39</f>
        <v>79910000</v>
      </c>
      <c r="L21" s="24" t="s">
        <v>227</v>
      </c>
      <c r="M21" s="24">
        <f>D76</f>
        <v>110391000</v>
      </c>
      <c r="N21" s="24" t="s">
        <v>228</v>
      </c>
      <c r="O21" s="24">
        <f>C76</f>
        <v>110863000</v>
      </c>
    </row>
    <row r="22" spans="1:15" ht="15" x14ac:dyDescent="0.25">
      <c r="A22" t="s">
        <v>67</v>
      </c>
      <c r="B22" s="1">
        <v>1302000</v>
      </c>
      <c r="C22" s="1">
        <v>1339000</v>
      </c>
      <c r="D22" s="1">
        <v>1301000</v>
      </c>
      <c r="E22" s="1">
        <v>1307000</v>
      </c>
      <c r="G22" s="19" t="s">
        <v>218</v>
      </c>
      <c r="H22" s="22">
        <f>H20-H21</f>
        <v>1179000</v>
      </c>
      <c r="I22" s="19" t="s">
        <v>219</v>
      </c>
      <c r="J22" s="11">
        <f>J20-J21</f>
        <v>-5502000</v>
      </c>
      <c r="L22" s="24" t="s">
        <v>229</v>
      </c>
      <c r="M22" s="24">
        <f>M21-M19</f>
        <v>102510000</v>
      </c>
      <c r="N22" s="24" t="s">
        <v>230</v>
      </c>
      <c r="O22" s="24">
        <f>O21-O19</f>
        <v>102853000</v>
      </c>
    </row>
    <row r="23" spans="1:15" ht="15" x14ac:dyDescent="0.25">
      <c r="A23" t="s">
        <v>68</v>
      </c>
      <c r="B23" s="1">
        <v>9705000</v>
      </c>
      <c r="C23" s="1">
        <v>9671000</v>
      </c>
      <c r="D23" s="1">
        <v>10542000</v>
      </c>
      <c r="E23" s="1">
        <v>11461000</v>
      </c>
      <c r="G23" s="19" t="s">
        <v>206</v>
      </c>
      <c r="H23" s="27">
        <f>H22-J22</f>
        <v>6681000</v>
      </c>
      <c r="I23" s="19" t="s">
        <v>173</v>
      </c>
      <c r="J23" s="11"/>
      <c r="L23" s="25" t="s">
        <v>208</v>
      </c>
      <c r="M23" s="28">
        <f>M22-O22</f>
        <v>-343000</v>
      </c>
      <c r="N23" s="26"/>
      <c r="O23" s="26"/>
    </row>
    <row r="24" spans="1:15" x14ac:dyDescent="0.2">
      <c r="A24" t="s">
        <v>69</v>
      </c>
      <c r="B24" s="1">
        <v>29814000</v>
      </c>
      <c r="C24" s="1">
        <v>30013000</v>
      </c>
      <c r="D24" s="1">
        <v>31444000</v>
      </c>
      <c r="E24" s="1">
        <v>33413000</v>
      </c>
    </row>
    <row r="25" spans="1:15" x14ac:dyDescent="0.2">
      <c r="A25" t="s">
        <v>70</v>
      </c>
      <c r="B25" s="1">
        <v>65641000</v>
      </c>
      <c r="C25" s="1">
        <v>70851000</v>
      </c>
      <c r="D25" s="1">
        <v>71142000</v>
      </c>
      <c r="E25" s="1">
        <v>65694000</v>
      </c>
      <c r="L25" s="94" t="s">
        <v>222</v>
      </c>
    </row>
    <row r="26" spans="1:15" x14ac:dyDescent="0.2">
      <c r="A26" t="s">
        <v>71</v>
      </c>
      <c r="B26" s="1">
        <v>3042000</v>
      </c>
      <c r="C26" s="1">
        <v>3581000</v>
      </c>
      <c r="D26" s="1">
        <v>5395000</v>
      </c>
      <c r="E26" s="1">
        <v>7340000</v>
      </c>
      <c r="G26" t="s">
        <v>222</v>
      </c>
      <c r="L26" s="68" t="s">
        <v>208</v>
      </c>
      <c r="M26" s="68"/>
      <c r="N26" s="68"/>
      <c r="O26" s="68"/>
    </row>
    <row r="27" spans="1:15" x14ac:dyDescent="0.2">
      <c r="A27" t="s">
        <v>72</v>
      </c>
      <c r="B27" s="1">
        <v>-28699000</v>
      </c>
      <c r="C27" s="1">
        <v>-38004000</v>
      </c>
      <c r="D27" s="1">
        <v>-40780000</v>
      </c>
      <c r="E27" s="1">
        <v>-41265000</v>
      </c>
      <c r="G27" s="68" t="s">
        <v>206</v>
      </c>
      <c r="H27" s="68"/>
      <c r="I27" s="68"/>
      <c r="J27" s="68"/>
      <c r="L27" s="24" t="s">
        <v>223</v>
      </c>
      <c r="M27" s="24">
        <f>C6</f>
        <v>8010000</v>
      </c>
      <c r="N27" s="24" t="s">
        <v>224</v>
      </c>
      <c r="O27" s="24">
        <f>B6</f>
        <v>6828000</v>
      </c>
    </row>
    <row r="28" spans="1:15" ht="25.5" x14ac:dyDescent="0.2">
      <c r="A28" t="s">
        <v>73</v>
      </c>
      <c r="B28" s="1">
        <v>5378000</v>
      </c>
      <c r="C28" s="1">
        <v>5220000</v>
      </c>
      <c r="D28" s="1">
        <v>5073000</v>
      </c>
      <c r="E28" s="1">
        <v>4934000</v>
      </c>
      <c r="G28" s="11" t="s">
        <v>214</v>
      </c>
      <c r="H28" s="3">
        <f>C3</f>
        <v>80924000</v>
      </c>
      <c r="I28" s="11" t="s">
        <v>215</v>
      </c>
      <c r="J28" s="11">
        <f>C39</f>
        <v>79910000</v>
      </c>
      <c r="L28" s="24" t="s">
        <v>225</v>
      </c>
      <c r="M28" s="24"/>
      <c r="N28" s="24" t="s">
        <v>226</v>
      </c>
      <c r="O28" s="24"/>
    </row>
    <row r="29" spans="1:15" ht="25.5" x14ac:dyDescent="0.2">
      <c r="A29" t="s">
        <v>74</v>
      </c>
      <c r="B29" s="1">
        <v>1900000</v>
      </c>
      <c r="C29" s="1">
        <v>1900000</v>
      </c>
      <c r="D29" s="1">
        <v>1900000</v>
      </c>
      <c r="E29" s="1">
        <v>1900000</v>
      </c>
      <c r="G29" s="11" t="s">
        <v>216</v>
      </c>
      <c r="H29" s="3">
        <f>B3</f>
        <v>74992000</v>
      </c>
      <c r="I29" s="11" t="s">
        <v>217</v>
      </c>
      <c r="J29" s="11">
        <f>B39</f>
        <v>84905000</v>
      </c>
      <c r="L29" s="24" t="s">
        <v>227</v>
      </c>
      <c r="M29" s="24">
        <f>C76</f>
        <v>110863000</v>
      </c>
      <c r="N29" s="24" t="s">
        <v>228</v>
      </c>
      <c r="O29" s="24">
        <f>B76</f>
        <v>104334000</v>
      </c>
    </row>
    <row r="30" spans="1:15" ht="15" x14ac:dyDescent="0.25">
      <c r="A30" t="s">
        <v>75</v>
      </c>
      <c r="B30" s="1">
        <v>3478000</v>
      </c>
      <c r="C30" s="1">
        <v>3320000</v>
      </c>
      <c r="D30" s="1">
        <v>3173000</v>
      </c>
      <c r="E30" s="1">
        <v>3034000</v>
      </c>
      <c r="G30" s="19" t="s">
        <v>218</v>
      </c>
      <c r="H30" s="22">
        <f>H28-H29</f>
        <v>5932000</v>
      </c>
      <c r="I30" s="19" t="s">
        <v>219</v>
      </c>
      <c r="J30" s="11">
        <f>J28-J29</f>
        <v>-4995000</v>
      </c>
      <c r="L30" s="24" t="s">
        <v>229</v>
      </c>
      <c r="M30" s="24">
        <f>M29-M27</f>
        <v>102853000</v>
      </c>
      <c r="N30" s="24" t="s">
        <v>230</v>
      </c>
      <c r="O30" s="24">
        <f>O29-O27</f>
        <v>97506000</v>
      </c>
    </row>
    <row r="31" spans="1:15" ht="15" x14ac:dyDescent="0.25">
      <c r="A31" t="s">
        <v>76</v>
      </c>
      <c r="B31" s="1">
        <v>8562000</v>
      </c>
      <c r="C31" s="1">
        <v>8406000</v>
      </c>
      <c r="D31" s="1">
        <v>9677000</v>
      </c>
      <c r="E31" s="1">
        <v>10176000</v>
      </c>
      <c r="G31" s="19" t="s">
        <v>206</v>
      </c>
      <c r="H31" s="27">
        <f>H30-J30</f>
        <v>10927000</v>
      </c>
      <c r="I31" s="19" t="s">
        <v>173</v>
      </c>
      <c r="J31" s="11"/>
      <c r="L31" s="25" t="s">
        <v>208</v>
      </c>
      <c r="M31" s="28">
        <f>M30-O30</f>
        <v>5347000</v>
      </c>
      <c r="N31" s="26"/>
      <c r="O31" s="26"/>
    </row>
    <row r="32" spans="1:15" x14ac:dyDescent="0.2">
      <c r="A32" t="s">
        <v>77</v>
      </c>
      <c r="B32" s="1">
        <v>8562000</v>
      </c>
      <c r="C32" s="1">
        <v>8406000</v>
      </c>
      <c r="D32" s="1">
        <v>9677000</v>
      </c>
      <c r="E32" s="1">
        <v>10176000</v>
      </c>
    </row>
    <row r="33" spans="1:5" x14ac:dyDescent="0.2">
      <c r="A33" t="s">
        <v>78</v>
      </c>
      <c r="B33" s="1">
        <v>8562000</v>
      </c>
      <c r="C33" s="1">
        <v>8406000</v>
      </c>
      <c r="D33" s="1">
        <v>9677000</v>
      </c>
      <c r="E33" s="1">
        <v>0</v>
      </c>
    </row>
    <row r="34" spans="1:5" x14ac:dyDescent="0.2">
      <c r="A34" t="s">
        <v>80</v>
      </c>
      <c r="B34" s="1">
        <v>26355000</v>
      </c>
      <c r="C34" s="1">
        <v>31783000</v>
      </c>
      <c r="D34" s="1">
        <v>36167000</v>
      </c>
      <c r="E34" s="1">
        <v>40591000</v>
      </c>
    </row>
    <row r="35" spans="1:5" x14ac:dyDescent="0.2">
      <c r="A35" t="s">
        <v>81</v>
      </c>
      <c r="B35" s="1">
        <v>24640000</v>
      </c>
      <c r="C35" s="1">
        <v>24136000</v>
      </c>
      <c r="D35" s="1">
        <v>21152000</v>
      </c>
      <c r="E35" s="1">
        <v>20539000</v>
      </c>
    </row>
    <row r="36" spans="1:5" x14ac:dyDescent="0.2">
      <c r="A36" t="s">
        <v>82</v>
      </c>
      <c r="B36" s="1">
        <v>24640000</v>
      </c>
      <c r="C36" s="1">
        <v>24136000</v>
      </c>
      <c r="D36" s="1">
        <v>21152000</v>
      </c>
      <c r="E36" s="1">
        <v>20539000</v>
      </c>
    </row>
    <row r="37" spans="1:5" x14ac:dyDescent="0.2">
      <c r="A37" t="s">
        <v>83</v>
      </c>
      <c r="B37" s="1">
        <v>7305000</v>
      </c>
      <c r="C37" s="1">
        <v>7274000</v>
      </c>
      <c r="D37" s="1">
        <v>11502000</v>
      </c>
      <c r="E37" s="1">
        <v>9396000</v>
      </c>
    </row>
    <row r="38" spans="1:5" ht="13.5" thickBot="1" x14ac:dyDescent="0.25">
      <c r="A38" t="s">
        <v>84</v>
      </c>
      <c r="B38" s="1">
        <v>182080000</v>
      </c>
      <c r="C38" s="1">
        <v>185517000</v>
      </c>
      <c r="D38" s="1">
        <v>178903000</v>
      </c>
      <c r="E38" s="1">
        <v>191753000</v>
      </c>
    </row>
    <row r="39" spans="1:5" ht="13.5" thickBot="1" x14ac:dyDescent="0.25">
      <c r="A39" s="76" t="s">
        <v>85</v>
      </c>
      <c r="B39" s="93">
        <v>84905000</v>
      </c>
      <c r="C39" s="77">
        <v>79910000</v>
      </c>
      <c r="D39" s="77">
        <v>74408000</v>
      </c>
      <c r="E39" s="78">
        <v>91173000</v>
      </c>
    </row>
    <row r="40" spans="1:5" x14ac:dyDescent="0.2">
      <c r="A40" t="s">
        <v>86</v>
      </c>
      <c r="B40" s="1">
        <v>42302000</v>
      </c>
      <c r="C40" s="1">
        <v>38001000</v>
      </c>
      <c r="D40" s="1">
        <v>35290000</v>
      </c>
      <c r="E40" s="1">
        <v>46609000</v>
      </c>
    </row>
    <row r="41" spans="1:5" x14ac:dyDescent="0.2">
      <c r="A41" t="s">
        <v>87</v>
      </c>
      <c r="B41" s="1">
        <v>21018000</v>
      </c>
      <c r="C41" s="1">
        <v>19928000</v>
      </c>
      <c r="D41" s="1">
        <v>20391000</v>
      </c>
      <c r="E41" s="1">
        <v>27486000</v>
      </c>
    </row>
    <row r="42" spans="1:5" x14ac:dyDescent="0.2">
      <c r="A42" t="s">
        <v>88</v>
      </c>
      <c r="B42" s="1">
        <v>21018000</v>
      </c>
      <c r="C42" s="1">
        <v>19928000</v>
      </c>
      <c r="D42" s="1">
        <v>20391000</v>
      </c>
      <c r="E42" s="1">
        <v>27486000</v>
      </c>
    </row>
    <row r="43" spans="1:5" x14ac:dyDescent="0.2">
      <c r="A43" t="s">
        <v>89</v>
      </c>
      <c r="B43" s="1">
        <v>21284000</v>
      </c>
      <c r="C43" s="1">
        <v>18073000</v>
      </c>
      <c r="D43" s="1">
        <v>14899000</v>
      </c>
      <c r="E43" s="1">
        <v>19123000</v>
      </c>
    </row>
    <row r="44" spans="1:5" x14ac:dyDescent="0.2">
      <c r="A44" t="s">
        <v>91</v>
      </c>
      <c r="B44" s="1">
        <v>1969000</v>
      </c>
      <c r="C44" s="1">
        <v>1864000</v>
      </c>
      <c r="D44" s="1">
        <v>2937000</v>
      </c>
      <c r="E44" s="1">
        <v>3298000</v>
      </c>
    </row>
    <row r="45" spans="1:5" x14ac:dyDescent="0.2">
      <c r="A45" t="s">
        <v>92</v>
      </c>
      <c r="B45" s="1">
        <v>37400000</v>
      </c>
      <c r="C45" s="1">
        <v>36913000</v>
      </c>
      <c r="D45" s="1">
        <v>33720000</v>
      </c>
      <c r="E45" s="1">
        <v>38778000</v>
      </c>
    </row>
    <row r="46" spans="1:5" x14ac:dyDescent="0.2">
      <c r="A46" s="90" t="s">
        <v>93</v>
      </c>
      <c r="B46" s="91">
        <v>37400000</v>
      </c>
      <c r="C46" s="91">
        <v>36913000</v>
      </c>
      <c r="D46" s="91">
        <v>33720000</v>
      </c>
      <c r="E46" s="91">
        <v>38778000</v>
      </c>
    </row>
    <row r="47" spans="1:5" x14ac:dyDescent="0.2">
      <c r="A47" t="s">
        <v>94</v>
      </c>
      <c r="B47" s="1">
        <v>37400000</v>
      </c>
      <c r="C47" s="1">
        <v>36913000</v>
      </c>
      <c r="D47" s="1">
        <v>33720000</v>
      </c>
      <c r="E47" s="1">
        <v>38778000</v>
      </c>
    </row>
    <row r="48" spans="1:5" x14ac:dyDescent="0.2">
      <c r="A48" t="s">
        <v>96</v>
      </c>
      <c r="B48" s="1">
        <v>3234000</v>
      </c>
      <c r="C48" s="1">
        <v>3132000</v>
      </c>
      <c r="D48" s="1">
        <v>2461000</v>
      </c>
      <c r="E48" s="1">
        <v>2489000</v>
      </c>
    </row>
    <row r="49" spans="1:5" x14ac:dyDescent="0.2">
      <c r="A49" t="s">
        <v>97</v>
      </c>
      <c r="B49" s="1">
        <v>3234000</v>
      </c>
      <c r="C49" s="1">
        <v>3132000</v>
      </c>
      <c r="D49" s="1">
        <v>2461000</v>
      </c>
      <c r="E49" s="1">
        <v>2489000</v>
      </c>
    </row>
    <row r="50" spans="1:5" ht="13.5" thickBot="1" x14ac:dyDescent="0.25">
      <c r="A50" t="s">
        <v>98</v>
      </c>
      <c r="B50" s="1">
        <v>0</v>
      </c>
      <c r="C50" s="1">
        <v>0</v>
      </c>
      <c r="D50" s="1">
        <v>0</v>
      </c>
      <c r="E50" s="1">
        <v>-1000</v>
      </c>
    </row>
    <row r="51" spans="1:5" ht="13.5" thickBot="1" x14ac:dyDescent="0.25">
      <c r="A51" s="76" t="s">
        <v>99</v>
      </c>
      <c r="B51" s="92">
        <v>97175000</v>
      </c>
      <c r="C51" s="77">
        <v>105607000</v>
      </c>
      <c r="D51" s="77">
        <v>104495000</v>
      </c>
      <c r="E51" s="78">
        <v>100580000</v>
      </c>
    </row>
    <row r="52" spans="1:5" ht="13.5" thickBot="1" x14ac:dyDescent="0.25">
      <c r="A52" s="87" t="s">
        <v>100</v>
      </c>
      <c r="B52" s="88">
        <v>66934000</v>
      </c>
      <c r="C52" s="88">
        <v>73950000</v>
      </c>
      <c r="D52" s="88">
        <v>76671000</v>
      </c>
      <c r="E52" s="89">
        <v>76888000</v>
      </c>
    </row>
    <row r="53" spans="1:5" ht="13.5" thickBot="1" x14ac:dyDescent="0.25">
      <c r="A53" s="72" t="s">
        <v>101</v>
      </c>
      <c r="B53" s="79">
        <v>65924000</v>
      </c>
      <c r="C53" s="79">
        <v>72981000</v>
      </c>
      <c r="D53" s="79">
        <v>75659000</v>
      </c>
      <c r="E53" s="79">
        <v>75921000</v>
      </c>
    </row>
    <row r="54" spans="1:5" x14ac:dyDescent="0.2">
      <c r="A54" t="s">
        <v>102</v>
      </c>
      <c r="B54" s="1">
        <v>1010000</v>
      </c>
      <c r="C54" s="1">
        <v>969000</v>
      </c>
      <c r="D54" s="1">
        <v>1012000</v>
      </c>
      <c r="E54" s="1">
        <v>967000</v>
      </c>
    </row>
    <row r="55" spans="1:5" x14ac:dyDescent="0.2">
      <c r="A55" t="s">
        <v>103</v>
      </c>
      <c r="B55" s="1">
        <v>2962000</v>
      </c>
      <c r="C55" s="1">
        <v>2715000</v>
      </c>
      <c r="D55" s="1">
        <v>3010000</v>
      </c>
      <c r="E55" s="1">
        <v>3552000</v>
      </c>
    </row>
    <row r="56" spans="1:5" x14ac:dyDescent="0.2">
      <c r="A56" t="s">
        <v>105</v>
      </c>
      <c r="B56" s="1">
        <v>2962000</v>
      </c>
      <c r="C56" s="1">
        <v>2715000</v>
      </c>
      <c r="D56" s="1">
        <v>3010000</v>
      </c>
      <c r="E56" s="1">
        <v>3552000</v>
      </c>
    </row>
    <row r="57" spans="1:5" x14ac:dyDescent="0.2">
      <c r="A57" t="s">
        <v>262</v>
      </c>
      <c r="B57" s="1">
        <v>4811000</v>
      </c>
      <c r="C57" s="1">
        <v>5193000</v>
      </c>
      <c r="D57" s="1">
        <v>6005000</v>
      </c>
      <c r="E57" s="1">
        <v>0</v>
      </c>
    </row>
    <row r="58" spans="1:5" x14ac:dyDescent="0.2">
      <c r="A58" t="s">
        <v>106</v>
      </c>
      <c r="B58" s="1">
        <v>19442000</v>
      </c>
      <c r="C58" s="1">
        <v>20740000</v>
      </c>
      <c r="D58" s="1">
        <v>15148000</v>
      </c>
      <c r="E58" s="1">
        <v>10910000</v>
      </c>
    </row>
    <row r="59" spans="1:5" x14ac:dyDescent="0.2">
      <c r="A59" t="s">
        <v>107</v>
      </c>
      <c r="B59" s="1">
        <v>18738000</v>
      </c>
      <c r="C59" s="1">
        <v>19918000</v>
      </c>
      <c r="D59" s="1">
        <v>14526000</v>
      </c>
      <c r="E59" s="1">
        <v>10398000</v>
      </c>
    </row>
    <row r="60" spans="1:5" ht="13.5" thickBot="1" x14ac:dyDescent="0.25">
      <c r="A60" t="s">
        <v>109</v>
      </c>
      <c r="B60" s="1">
        <v>7837000</v>
      </c>
      <c r="C60" s="1">
        <v>8202000</v>
      </c>
      <c r="D60" s="1">
        <v>9666000</v>
      </c>
      <c r="E60" s="1">
        <v>9230000</v>
      </c>
    </row>
    <row r="61" spans="1:5" ht="13.5" thickBot="1" x14ac:dyDescent="0.25">
      <c r="A61" s="76" t="s">
        <v>110</v>
      </c>
      <c r="B61" s="92">
        <v>45957000</v>
      </c>
      <c r="C61" s="77">
        <v>49677000</v>
      </c>
      <c r="D61" s="77">
        <v>65815000</v>
      </c>
      <c r="E61" s="78">
        <v>72284000</v>
      </c>
    </row>
    <row r="62" spans="1:5" x14ac:dyDescent="0.2">
      <c r="A62" t="s">
        <v>111</v>
      </c>
      <c r="B62" s="1">
        <v>41792000</v>
      </c>
      <c r="C62" s="1">
        <v>45030000</v>
      </c>
      <c r="D62" s="1">
        <v>59744000</v>
      </c>
      <c r="E62" s="1">
        <v>67792000</v>
      </c>
    </row>
    <row r="63" spans="1:5" x14ac:dyDescent="0.2">
      <c r="A63" t="s">
        <v>112</v>
      </c>
      <c r="B63" s="1">
        <v>14000</v>
      </c>
      <c r="C63" s="1">
        <v>14000</v>
      </c>
      <c r="D63" s="1">
        <v>15000</v>
      </c>
      <c r="E63" s="1">
        <v>14000</v>
      </c>
    </row>
    <row r="64" spans="1:5" x14ac:dyDescent="0.2">
      <c r="A64" t="s">
        <v>113</v>
      </c>
      <c r="B64" s="1">
        <v>14000</v>
      </c>
      <c r="C64" s="1">
        <v>14000</v>
      </c>
      <c r="D64" s="1">
        <v>15000</v>
      </c>
      <c r="E64" s="1">
        <v>14000</v>
      </c>
    </row>
    <row r="65" spans="1:5" x14ac:dyDescent="0.2">
      <c r="A65" t="s">
        <v>114</v>
      </c>
      <c r="B65" s="1">
        <v>26074000</v>
      </c>
      <c r="C65" s="1">
        <v>26542000</v>
      </c>
      <c r="D65" s="1">
        <v>27061000</v>
      </c>
      <c r="E65" s="1">
        <v>26428000</v>
      </c>
    </row>
    <row r="66" spans="1:5" x14ac:dyDescent="0.2">
      <c r="A66" t="s">
        <v>115</v>
      </c>
      <c r="B66" s="1">
        <v>26860000</v>
      </c>
      <c r="C66" s="1">
        <v>31962000</v>
      </c>
      <c r="D66" s="1">
        <v>41937000</v>
      </c>
      <c r="E66" s="1">
        <v>49251000</v>
      </c>
    </row>
    <row r="67" spans="1:5" x14ac:dyDescent="0.2">
      <c r="A67" t="s">
        <v>117</v>
      </c>
      <c r="B67" s="1">
        <v>-11156000</v>
      </c>
      <c r="C67" s="1">
        <v>-13488000</v>
      </c>
      <c r="D67" s="1">
        <v>-9269000</v>
      </c>
      <c r="E67" s="1">
        <v>-7901000</v>
      </c>
    </row>
    <row r="68" spans="1:5" x14ac:dyDescent="0.2">
      <c r="A68" t="s">
        <v>118</v>
      </c>
      <c r="B68" s="1">
        <v>4165000</v>
      </c>
      <c r="C68" s="1">
        <v>4647000</v>
      </c>
      <c r="D68" s="1">
        <v>6071000</v>
      </c>
      <c r="E68" s="1">
        <v>4492000</v>
      </c>
    </row>
    <row r="69" spans="1:5" x14ac:dyDescent="0.2">
      <c r="A69" t="s">
        <v>119</v>
      </c>
      <c r="B69" s="1">
        <v>107716000</v>
      </c>
      <c r="C69" s="1">
        <v>118011000</v>
      </c>
      <c r="D69" s="1">
        <v>135403000</v>
      </c>
      <c r="E69" s="1">
        <v>143713000</v>
      </c>
    </row>
    <row r="70" spans="1:5" x14ac:dyDescent="0.2">
      <c r="A70" t="s">
        <v>120</v>
      </c>
      <c r="B70" s="1">
        <v>41792000</v>
      </c>
      <c r="C70" s="1">
        <v>45030000</v>
      </c>
      <c r="D70" s="1">
        <v>59744000</v>
      </c>
      <c r="E70" s="1">
        <v>67792000</v>
      </c>
    </row>
    <row r="71" spans="1:5" x14ac:dyDescent="0.2">
      <c r="A71" t="s">
        <v>121</v>
      </c>
      <c r="B71" s="1">
        <v>1010000</v>
      </c>
      <c r="C71" s="1">
        <v>969000</v>
      </c>
      <c r="D71" s="1">
        <v>1012000</v>
      </c>
      <c r="E71" s="1">
        <v>967000</v>
      </c>
    </row>
    <row r="72" spans="1:5" x14ac:dyDescent="0.2">
      <c r="A72" t="s">
        <v>122</v>
      </c>
      <c r="B72" s="1">
        <v>36414000</v>
      </c>
      <c r="C72" s="1">
        <v>39810000</v>
      </c>
      <c r="D72" s="1">
        <v>54671000</v>
      </c>
      <c r="E72" s="1">
        <v>62858000</v>
      </c>
    </row>
    <row r="73" spans="1:5" x14ac:dyDescent="0.2">
      <c r="A73" t="s">
        <v>123</v>
      </c>
      <c r="B73" s="1">
        <v>-9913000</v>
      </c>
      <c r="C73" s="1">
        <v>1014000</v>
      </c>
      <c r="D73" s="1">
        <v>7695000</v>
      </c>
      <c r="E73" s="1">
        <v>9278000</v>
      </c>
    </row>
    <row r="74" spans="1:5" x14ac:dyDescent="0.2">
      <c r="A74" t="s">
        <v>124</v>
      </c>
      <c r="B74" s="1">
        <v>145116000</v>
      </c>
      <c r="C74" s="1">
        <v>154924000</v>
      </c>
      <c r="D74" s="1">
        <v>169123000</v>
      </c>
      <c r="E74" s="1">
        <v>182491000</v>
      </c>
    </row>
    <row r="75" spans="1:5" x14ac:dyDescent="0.2">
      <c r="A75" t="s">
        <v>125</v>
      </c>
      <c r="B75" s="1">
        <v>36414000</v>
      </c>
      <c r="C75" s="1">
        <v>39810000</v>
      </c>
      <c r="D75" s="1">
        <v>54671000</v>
      </c>
      <c r="E75" s="1">
        <v>62858000</v>
      </c>
    </row>
    <row r="76" spans="1:5" x14ac:dyDescent="0.2">
      <c r="A76" s="90" t="s">
        <v>126</v>
      </c>
      <c r="B76" s="91">
        <v>104334000</v>
      </c>
      <c r="C76" s="91">
        <v>110863000</v>
      </c>
      <c r="D76" s="91">
        <v>110391000</v>
      </c>
      <c r="E76" s="91">
        <v>115666000</v>
      </c>
    </row>
    <row r="77" spans="1:5" x14ac:dyDescent="0.2">
      <c r="A77" t="s">
        <v>127</v>
      </c>
      <c r="B77" s="1">
        <v>84255000</v>
      </c>
      <c r="C77" s="1">
        <v>89902000</v>
      </c>
      <c r="D77" s="1">
        <v>89312000</v>
      </c>
      <c r="E77" s="1">
        <v>95546000</v>
      </c>
    </row>
    <row r="78" spans="1:5" x14ac:dyDescent="0.2">
      <c r="A78" t="s">
        <v>128</v>
      </c>
      <c r="B78" s="1">
        <v>1400000</v>
      </c>
      <c r="C78" s="1">
        <v>1400000</v>
      </c>
      <c r="D78" s="1">
        <v>1500000</v>
      </c>
      <c r="E78" s="1">
        <v>1400000</v>
      </c>
    </row>
    <row r="79" spans="1:5" x14ac:dyDescent="0.2">
      <c r="A79" t="s">
        <v>129</v>
      </c>
      <c r="B79" s="1">
        <v>1400000</v>
      </c>
      <c r="C79" s="1">
        <v>1400000</v>
      </c>
      <c r="D79" s="1">
        <v>1500000</v>
      </c>
      <c r="E79" s="1">
        <v>1400000</v>
      </c>
    </row>
  </sheetData>
  <mergeCells count="6">
    <mergeCell ref="G9:J9"/>
    <mergeCell ref="G19:J19"/>
    <mergeCell ref="G27:J27"/>
    <mergeCell ref="L8:O8"/>
    <mergeCell ref="L18:O18"/>
    <mergeCell ref="L26:O26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CF2C8-710A-4D73-8556-B79905633DCB}">
  <dimension ref="A1:E65"/>
  <sheetViews>
    <sheetView topLeftCell="A9" workbookViewId="0">
      <selection activeCell="B6" sqref="B6"/>
    </sheetView>
  </sheetViews>
  <sheetFormatPr defaultRowHeight="12.75" x14ac:dyDescent="0.2"/>
  <cols>
    <col min="1" max="1" width="40.7109375" bestFit="1" customWidth="1"/>
    <col min="2" max="5" width="13.42578125" style="1" bestFit="1" customWidth="1"/>
  </cols>
  <sheetData>
    <row r="1" spans="1:5" ht="13.5" thickBot="1" x14ac:dyDescent="0.25">
      <c r="A1" s="73" t="s">
        <v>46</v>
      </c>
      <c r="B1" s="74" t="s">
        <v>260</v>
      </c>
      <c r="C1" s="74" t="s">
        <v>259</v>
      </c>
      <c r="D1" s="74" t="s">
        <v>258</v>
      </c>
      <c r="E1" s="74" t="s">
        <v>261</v>
      </c>
    </row>
    <row r="2" spans="1:5" x14ac:dyDescent="0.2">
      <c r="A2" t="s">
        <v>130</v>
      </c>
      <c r="B2" s="1">
        <v>15021000</v>
      </c>
      <c r="C2" s="1">
        <v>16670000</v>
      </c>
      <c r="D2" s="1">
        <v>15188000</v>
      </c>
      <c r="E2" s="1">
        <v>16043000</v>
      </c>
    </row>
    <row r="3" spans="1:5" x14ac:dyDescent="0.2">
      <c r="A3" t="s">
        <v>131</v>
      </c>
      <c r="B3" s="1">
        <v>15021000</v>
      </c>
      <c r="C3" s="1">
        <v>16670000</v>
      </c>
      <c r="D3" s="1">
        <v>15188000</v>
      </c>
      <c r="E3" s="1">
        <v>16042000</v>
      </c>
    </row>
    <row r="4" spans="1:5" x14ac:dyDescent="0.2">
      <c r="A4" t="s">
        <v>132</v>
      </c>
      <c r="B4" s="1">
        <v>6667000</v>
      </c>
      <c r="C4" s="1">
        <v>6321000</v>
      </c>
      <c r="D4" s="1">
        <v>9945000</v>
      </c>
      <c r="E4" s="1">
        <v>9708000</v>
      </c>
    </row>
    <row r="5" spans="1:5" x14ac:dyDescent="0.2">
      <c r="A5" t="s">
        <v>133</v>
      </c>
      <c r="B5" s="1">
        <v>16000</v>
      </c>
      <c r="C5" s="1">
        <v>-38000</v>
      </c>
      <c r="D5" s="1">
        <v>-2139000</v>
      </c>
      <c r="E5" s="1">
        <v>-824000</v>
      </c>
    </row>
    <row r="6" spans="1:5" x14ac:dyDescent="0.2">
      <c r="A6" t="s">
        <v>175</v>
      </c>
      <c r="B6" s="1">
        <v>-85000</v>
      </c>
      <c r="C6" s="1">
        <v>203000</v>
      </c>
      <c r="D6" s="1">
        <v>-17000</v>
      </c>
      <c r="E6" s="1">
        <v>172000</v>
      </c>
    </row>
    <row r="7" spans="1:5" x14ac:dyDescent="0.2">
      <c r="A7" t="s">
        <v>177</v>
      </c>
      <c r="B7" s="1">
        <v>585000</v>
      </c>
      <c r="C7" s="1">
        <v>524000</v>
      </c>
      <c r="D7" s="1">
        <v>-517000</v>
      </c>
      <c r="E7" s="1">
        <v>193000</v>
      </c>
    </row>
    <row r="8" spans="1:5" x14ac:dyDescent="0.2">
      <c r="A8" t="s">
        <v>178</v>
      </c>
      <c r="B8" s="1">
        <v>-484000</v>
      </c>
      <c r="C8" s="1">
        <v>-765000</v>
      </c>
      <c r="D8" s="1">
        <v>-1605000</v>
      </c>
      <c r="E8" s="1">
        <v>-1189000</v>
      </c>
    </row>
    <row r="9" spans="1:5" x14ac:dyDescent="0.2">
      <c r="A9" t="s">
        <v>135</v>
      </c>
      <c r="B9" s="1">
        <v>14118000</v>
      </c>
      <c r="C9" s="1">
        <v>12815000</v>
      </c>
      <c r="D9" s="1">
        <v>12051000</v>
      </c>
      <c r="E9" s="1">
        <v>11290000</v>
      </c>
    </row>
    <row r="10" spans="1:5" x14ac:dyDescent="0.2">
      <c r="A10" t="s">
        <v>136</v>
      </c>
      <c r="B10" s="1">
        <v>14118000</v>
      </c>
      <c r="C10" s="1">
        <v>12815000</v>
      </c>
      <c r="D10" s="1">
        <v>12051000</v>
      </c>
      <c r="E10" s="1">
        <v>11290000</v>
      </c>
    </row>
    <row r="11" spans="1:5" x14ac:dyDescent="0.2">
      <c r="A11" t="s">
        <v>179</v>
      </c>
      <c r="B11" s="1">
        <v>14118000</v>
      </c>
      <c r="C11" s="1">
        <v>12815000</v>
      </c>
      <c r="D11" s="1">
        <v>12051000</v>
      </c>
      <c r="E11" s="1">
        <v>0</v>
      </c>
    </row>
    <row r="12" spans="1:5" x14ac:dyDescent="0.2">
      <c r="A12" t="s">
        <v>137</v>
      </c>
      <c r="B12" s="1">
        <v>-133000</v>
      </c>
      <c r="C12" s="1">
        <v>925000</v>
      </c>
      <c r="D12" s="1">
        <v>2214000</v>
      </c>
      <c r="E12" s="1">
        <v>425000</v>
      </c>
    </row>
    <row r="13" spans="1:5" x14ac:dyDescent="0.2">
      <c r="A13" t="s">
        <v>138</v>
      </c>
      <c r="B13" s="1">
        <v>-133000</v>
      </c>
      <c r="C13" s="1">
        <v>925000</v>
      </c>
      <c r="D13" s="1">
        <v>2214000</v>
      </c>
      <c r="E13" s="1">
        <v>425000</v>
      </c>
    </row>
    <row r="14" spans="1:5" x14ac:dyDescent="0.2">
      <c r="A14" t="s">
        <v>141</v>
      </c>
      <c r="B14" s="1">
        <v>-1858000</v>
      </c>
      <c r="C14" s="1">
        <v>-2954000</v>
      </c>
      <c r="D14" s="1">
        <v>-3517000</v>
      </c>
      <c r="E14" s="1">
        <v>-1579000</v>
      </c>
    </row>
    <row r="15" spans="1:5" x14ac:dyDescent="0.2">
      <c r="A15" t="s">
        <v>142</v>
      </c>
      <c r="B15" s="1">
        <v>-3789000</v>
      </c>
      <c r="C15" s="1">
        <v>-399000</v>
      </c>
      <c r="D15" s="1">
        <v>-3366000</v>
      </c>
      <c r="E15" s="1">
        <v>-2977000</v>
      </c>
    </row>
    <row r="16" spans="1:5" x14ac:dyDescent="0.2">
      <c r="A16" t="s">
        <v>160</v>
      </c>
      <c r="B16" s="1">
        <v>100000</v>
      </c>
      <c r="C16" s="1">
        <v>1403000</v>
      </c>
      <c r="D16" s="1">
        <v>3347000</v>
      </c>
      <c r="E16" s="1">
        <v>-9483000</v>
      </c>
    </row>
    <row r="17" spans="1:5" x14ac:dyDescent="0.2">
      <c r="A17" t="s">
        <v>161</v>
      </c>
      <c r="B17" s="1">
        <v>-563000</v>
      </c>
      <c r="C17" s="1">
        <v>-1341000</v>
      </c>
      <c r="D17" s="1">
        <v>493000</v>
      </c>
      <c r="E17" s="1">
        <v>-4483000</v>
      </c>
    </row>
    <row r="18" spans="1:5" x14ac:dyDescent="0.2">
      <c r="A18" t="s">
        <v>162</v>
      </c>
      <c r="B18" s="1">
        <v>-761000</v>
      </c>
      <c r="C18" s="1">
        <v>-104000</v>
      </c>
      <c r="D18" s="1">
        <v>-3155000</v>
      </c>
      <c r="E18" s="1">
        <v>-2581000</v>
      </c>
    </row>
    <row r="19" spans="1:5" x14ac:dyDescent="0.2">
      <c r="A19" t="s">
        <v>163</v>
      </c>
      <c r="B19" s="1">
        <v>-1852000</v>
      </c>
      <c r="C19" s="1">
        <v>-1819000</v>
      </c>
      <c r="D19" s="1">
        <v>-2140000</v>
      </c>
      <c r="E19" s="1">
        <v>9335000</v>
      </c>
    </row>
    <row r="20" spans="1:5" x14ac:dyDescent="0.2">
      <c r="A20" t="s">
        <v>164</v>
      </c>
      <c r="B20" s="1">
        <v>-279000</v>
      </c>
      <c r="C20" s="1">
        <v>172000</v>
      </c>
      <c r="D20" s="1">
        <v>-1261000</v>
      </c>
      <c r="E20" s="1">
        <v>6417000</v>
      </c>
    </row>
    <row r="21" spans="1:5" x14ac:dyDescent="0.2">
      <c r="A21" t="s">
        <v>265</v>
      </c>
      <c r="B21" s="1">
        <v>213000</v>
      </c>
      <c r="C21" s="1">
        <v>130000</v>
      </c>
      <c r="D21" s="1">
        <v>-95000</v>
      </c>
      <c r="E21" s="1">
        <v>273000</v>
      </c>
    </row>
    <row r="22" spans="1:5" x14ac:dyDescent="0.2">
      <c r="A22" t="s">
        <v>266</v>
      </c>
      <c r="B22" s="1">
        <v>213000</v>
      </c>
      <c r="C22" s="1">
        <v>130000</v>
      </c>
      <c r="D22" s="1">
        <v>-95000</v>
      </c>
      <c r="E22" s="1">
        <v>273000</v>
      </c>
    </row>
    <row r="23" spans="1:5" x14ac:dyDescent="0.2">
      <c r="A23" t="s">
        <v>165</v>
      </c>
      <c r="B23" s="1">
        <v>-492000</v>
      </c>
      <c r="C23" s="1">
        <v>42000</v>
      </c>
      <c r="D23" s="1">
        <v>-1166000</v>
      </c>
      <c r="E23" s="1">
        <v>6144000</v>
      </c>
    </row>
    <row r="24" spans="1:5" x14ac:dyDescent="0.2">
      <c r="A24" t="s">
        <v>267</v>
      </c>
      <c r="B24" s="1">
        <v>-1573000</v>
      </c>
      <c r="C24" s="1">
        <v>-1991000</v>
      </c>
      <c r="D24" s="1">
        <v>-879000</v>
      </c>
      <c r="E24" s="1">
        <v>2918000</v>
      </c>
    </row>
    <row r="25" spans="1:5" x14ac:dyDescent="0.2">
      <c r="A25" t="s">
        <v>268</v>
      </c>
      <c r="B25" s="1">
        <v>-1550000</v>
      </c>
      <c r="C25" s="1">
        <v>68000</v>
      </c>
      <c r="D25" s="1">
        <v>-1418000</v>
      </c>
      <c r="E25" s="1">
        <v>-248000</v>
      </c>
    </row>
    <row r="26" spans="1:5" x14ac:dyDescent="0.2">
      <c r="A26" t="s">
        <v>269</v>
      </c>
      <c r="B26" s="1">
        <v>274000</v>
      </c>
      <c r="C26" s="1">
        <v>53000</v>
      </c>
      <c r="D26" s="1">
        <v>0</v>
      </c>
      <c r="E26" s="1">
        <v>0</v>
      </c>
    </row>
    <row r="27" spans="1:5" x14ac:dyDescent="0.2">
      <c r="A27" t="s">
        <v>270</v>
      </c>
      <c r="B27" s="1">
        <v>0</v>
      </c>
      <c r="C27" s="1">
        <v>0</v>
      </c>
      <c r="D27" s="1">
        <v>0</v>
      </c>
      <c r="E27" s="1">
        <v>0</v>
      </c>
    </row>
    <row r="28" spans="1:5" x14ac:dyDescent="0.2">
      <c r="A28" t="s">
        <v>143</v>
      </c>
      <c r="B28" s="1">
        <v>-10899000</v>
      </c>
      <c r="C28" s="1">
        <v>-21826000</v>
      </c>
      <c r="D28" s="1">
        <v>-16355000</v>
      </c>
      <c r="E28" s="1">
        <v>-17882000</v>
      </c>
    </row>
    <row r="29" spans="1:5" x14ac:dyDescent="0.2">
      <c r="A29" t="s">
        <v>144</v>
      </c>
      <c r="B29" s="1">
        <v>-10899000</v>
      </c>
      <c r="C29" s="1">
        <v>-21826000</v>
      </c>
      <c r="D29" s="1">
        <v>-16355000</v>
      </c>
      <c r="E29" s="1">
        <v>-17882000</v>
      </c>
    </row>
    <row r="30" spans="1:5" x14ac:dyDescent="0.2">
      <c r="A30" t="s">
        <v>184</v>
      </c>
      <c r="B30" s="1">
        <v>-7592000</v>
      </c>
      <c r="C30" s="1">
        <v>-5300000</v>
      </c>
      <c r="D30" s="1">
        <v>-7509000</v>
      </c>
      <c r="E30" s="1">
        <v>-9238000</v>
      </c>
    </row>
    <row r="31" spans="1:5" x14ac:dyDescent="0.2">
      <c r="A31" t="s">
        <v>271</v>
      </c>
      <c r="B31" s="1">
        <v>-3102000</v>
      </c>
      <c r="C31" s="1">
        <v>-1834000</v>
      </c>
      <c r="D31" s="1">
        <v>-209000</v>
      </c>
      <c r="E31" s="1">
        <v>2285000</v>
      </c>
    </row>
    <row r="32" spans="1:5" x14ac:dyDescent="0.2">
      <c r="A32" t="s">
        <v>272</v>
      </c>
      <c r="B32" s="1">
        <v>-16404000</v>
      </c>
      <c r="C32" s="1">
        <v>-15233000</v>
      </c>
      <c r="D32" s="1">
        <v>-14602000</v>
      </c>
      <c r="E32" s="1">
        <v>-11949000</v>
      </c>
    </row>
    <row r="33" spans="1:5" x14ac:dyDescent="0.2">
      <c r="A33" t="s">
        <v>273</v>
      </c>
      <c r="B33" s="1">
        <v>13302000</v>
      </c>
      <c r="C33" s="1">
        <v>13399000</v>
      </c>
      <c r="D33" s="1">
        <v>14393000</v>
      </c>
      <c r="E33" s="1">
        <v>14234000</v>
      </c>
    </row>
    <row r="34" spans="1:5" x14ac:dyDescent="0.2">
      <c r="A34" t="s">
        <v>185</v>
      </c>
      <c r="B34" s="1">
        <v>2190000</v>
      </c>
      <c r="C34" s="1">
        <v>-4263000</v>
      </c>
      <c r="D34" s="1">
        <v>385000</v>
      </c>
      <c r="E34" s="1">
        <v>-3780000</v>
      </c>
    </row>
    <row r="35" spans="1:5" x14ac:dyDescent="0.2">
      <c r="A35" t="s">
        <v>186</v>
      </c>
      <c r="B35" s="1">
        <v>-4075000</v>
      </c>
      <c r="C35" s="1">
        <v>-16204000</v>
      </c>
      <c r="D35" s="1">
        <v>-8962000</v>
      </c>
      <c r="E35" s="1">
        <v>-11837000</v>
      </c>
    </row>
    <row r="36" spans="1:5" x14ac:dyDescent="0.2">
      <c r="A36" t="s">
        <v>187</v>
      </c>
      <c r="B36" s="1">
        <v>6265000</v>
      </c>
      <c r="C36" s="1">
        <v>11941000</v>
      </c>
      <c r="D36" s="1">
        <v>9347000</v>
      </c>
      <c r="E36" s="1">
        <v>8057000</v>
      </c>
    </row>
    <row r="37" spans="1:5" x14ac:dyDescent="0.2">
      <c r="A37" t="s">
        <v>188</v>
      </c>
      <c r="B37" s="1">
        <v>-2395000</v>
      </c>
      <c r="C37" s="1">
        <v>-10429000</v>
      </c>
      <c r="D37" s="1">
        <v>-9022000</v>
      </c>
      <c r="E37" s="1">
        <v>-7149000</v>
      </c>
    </row>
    <row r="38" spans="1:5" x14ac:dyDescent="0.2">
      <c r="A38" t="s">
        <v>274</v>
      </c>
      <c r="B38" s="1">
        <v>0</v>
      </c>
      <c r="C38" s="1">
        <v>0</v>
      </c>
      <c r="D38" s="1">
        <v>0</v>
      </c>
      <c r="E38" s="1">
        <v>0</v>
      </c>
    </row>
    <row r="39" spans="1:5" x14ac:dyDescent="0.2">
      <c r="A39" t="s">
        <v>145</v>
      </c>
      <c r="B39" s="1">
        <v>-4677000</v>
      </c>
      <c r="C39" s="1">
        <v>5552000</v>
      </c>
      <c r="D39" s="1">
        <v>1744000</v>
      </c>
      <c r="E39" s="1">
        <v>383000</v>
      </c>
    </row>
    <row r="40" spans="1:5" x14ac:dyDescent="0.2">
      <c r="A40" t="s">
        <v>146</v>
      </c>
      <c r="B40" s="1">
        <v>-4677000</v>
      </c>
      <c r="C40" s="1">
        <v>5552000</v>
      </c>
      <c r="D40" s="1">
        <v>1744000</v>
      </c>
      <c r="E40" s="1">
        <v>384000</v>
      </c>
    </row>
    <row r="41" spans="1:5" x14ac:dyDescent="0.2">
      <c r="A41" t="s">
        <v>147</v>
      </c>
      <c r="B41" s="1">
        <v>-2531000</v>
      </c>
      <c r="C41" s="1">
        <v>6141000</v>
      </c>
      <c r="D41" s="1">
        <v>406000</v>
      </c>
      <c r="E41" s="1">
        <v>6580000</v>
      </c>
    </row>
    <row r="42" spans="1:5" x14ac:dyDescent="0.2">
      <c r="A42" t="s">
        <v>148</v>
      </c>
      <c r="B42" s="1">
        <v>-2219000</v>
      </c>
      <c r="C42" s="1">
        <v>5864000</v>
      </c>
      <c r="D42" s="1">
        <v>-2506000</v>
      </c>
      <c r="E42" s="1">
        <v>6207000</v>
      </c>
    </row>
    <row r="43" spans="1:5" x14ac:dyDescent="0.2">
      <c r="A43" t="s">
        <v>149</v>
      </c>
      <c r="B43" s="1">
        <v>36937000</v>
      </c>
      <c r="C43" s="1">
        <v>78527000</v>
      </c>
      <c r="D43" s="1">
        <v>45300000</v>
      </c>
      <c r="E43" s="1">
        <v>45813000</v>
      </c>
    </row>
    <row r="44" spans="1:5" x14ac:dyDescent="0.2">
      <c r="A44" t="s">
        <v>150</v>
      </c>
      <c r="B44" s="1">
        <v>-39156000</v>
      </c>
      <c r="C44" s="1">
        <v>-72663000</v>
      </c>
      <c r="D44" s="1">
        <v>-47806000</v>
      </c>
      <c r="E44" s="1">
        <v>-39606000</v>
      </c>
    </row>
    <row r="45" spans="1:5" x14ac:dyDescent="0.2">
      <c r="A45" t="s">
        <v>151</v>
      </c>
      <c r="B45" s="1">
        <v>-312000</v>
      </c>
      <c r="C45" s="1">
        <v>277000</v>
      </c>
      <c r="D45" s="1">
        <v>2912000</v>
      </c>
      <c r="E45" s="1">
        <v>373000</v>
      </c>
    </row>
    <row r="46" spans="1:5" x14ac:dyDescent="0.2">
      <c r="A46" t="s">
        <v>189</v>
      </c>
      <c r="B46" s="1">
        <v>0</v>
      </c>
      <c r="C46" s="1">
        <v>0</v>
      </c>
      <c r="D46" s="1">
        <v>0</v>
      </c>
      <c r="E46" s="1">
        <v>-2500000</v>
      </c>
    </row>
    <row r="47" spans="1:5" x14ac:dyDescent="0.2">
      <c r="A47" t="s">
        <v>190</v>
      </c>
      <c r="B47" s="1">
        <v>0</v>
      </c>
      <c r="C47" s="1">
        <v>0</v>
      </c>
      <c r="D47" s="1">
        <v>0</v>
      </c>
      <c r="E47" s="1">
        <v>-2500000</v>
      </c>
    </row>
    <row r="48" spans="1:5" x14ac:dyDescent="0.2">
      <c r="A48" t="s">
        <v>275</v>
      </c>
      <c r="B48" s="1">
        <v>457000</v>
      </c>
      <c r="C48" s="1">
        <v>492000</v>
      </c>
      <c r="D48" s="1">
        <v>1736000</v>
      </c>
      <c r="E48" s="1">
        <v>-2121000</v>
      </c>
    </row>
    <row r="49" spans="1:5" x14ac:dyDescent="0.2">
      <c r="A49" t="s">
        <v>276</v>
      </c>
      <c r="B49" s="1">
        <v>457000</v>
      </c>
      <c r="C49" s="1">
        <v>492000</v>
      </c>
      <c r="D49" s="1">
        <v>1736000</v>
      </c>
      <c r="E49" s="1">
        <v>0</v>
      </c>
    </row>
    <row r="50" spans="1:5" x14ac:dyDescent="0.2">
      <c r="A50" t="s">
        <v>191</v>
      </c>
      <c r="B50" s="1">
        <v>-2350000</v>
      </c>
      <c r="C50" s="1">
        <v>-669000</v>
      </c>
      <c r="D50" s="1">
        <v>-186000</v>
      </c>
      <c r="E50" s="1">
        <v>-397000</v>
      </c>
    </row>
    <row r="51" spans="1:5" x14ac:dyDescent="0.2">
      <c r="A51" t="s">
        <v>192</v>
      </c>
      <c r="B51" s="1">
        <v>0</v>
      </c>
      <c r="C51" s="1">
        <v>-669000</v>
      </c>
      <c r="D51" s="1">
        <v>0</v>
      </c>
      <c r="E51" s="1">
        <v>0</v>
      </c>
    </row>
    <row r="52" spans="1:5" x14ac:dyDescent="0.2">
      <c r="A52" t="s">
        <v>152</v>
      </c>
      <c r="B52" s="1">
        <v>-253000</v>
      </c>
      <c r="C52" s="1">
        <v>-412000</v>
      </c>
      <c r="D52" s="1">
        <v>-212000</v>
      </c>
      <c r="E52" s="1">
        <v>-3300000</v>
      </c>
    </row>
    <row r="53" spans="1:5" x14ac:dyDescent="0.2">
      <c r="A53" t="s">
        <v>277</v>
      </c>
      <c r="B53" s="1">
        <v>0</v>
      </c>
      <c r="C53" s="1">
        <v>0</v>
      </c>
      <c r="D53" s="1">
        <v>0</v>
      </c>
      <c r="E53" s="1">
        <v>0</v>
      </c>
    </row>
    <row r="54" spans="1:5" x14ac:dyDescent="0.2">
      <c r="A54" t="s">
        <v>153</v>
      </c>
      <c r="B54" s="1">
        <v>22943000</v>
      </c>
      <c r="C54" s="1">
        <v>23117000</v>
      </c>
      <c r="D54" s="1">
        <v>23542000</v>
      </c>
      <c r="E54" s="1">
        <v>21948000</v>
      </c>
    </row>
    <row r="55" spans="1:5" x14ac:dyDescent="0.2">
      <c r="A55" t="s">
        <v>154</v>
      </c>
      <c r="B55" s="1">
        <v>-555000</v>
      </c>
      <c r="C55" s="1">
        <v>396000</v>
      </c>
      <c r="D55" s="1">
        <v>577000</v>
      </c>
      <c r="E55" s="1">
        <v>-1456000</v>
      </c>
    </row>
    <row r="56" spans="1:5" x14ac:dyDescent="0.2">
      <c r="A56" t="s">
        <v>171</v>
      </c>
      <c r="B56" s="1">
        <v>2000</v>
      </c>
      <c r="C56" s="1">
        <v>-222000</v>
      </c>
      <c r="D56" s="1">
        <v>-152000</v>
      </c>
      <c r="E56" s="1">
        <v>-138000</v>
      </c>
    </row>
    <row r="57" spans="1:5" x14ac:dyDescent="0.2">
      <c r="A57" t="s">
        <v>155</v>
      </c>
      <c r="B57" s="1">
        <v>23496000</v>
      </c>
      <c r="C57" s="1">
        <v>22943000</v>
      </c>
      <c r="D57" s="1">
        <v>23117000</v>
      </c>
      <c r="E57" s="1">
        <v>23542000</v>
      </c>
    </row>
    <row r="58" spans="1:5" x14ac:dyDescent="0.2">
      <c r="A58" t="s">
        <v>278</v>
      </c>
      <c r="B58" s="1">
        <v>689000</v>
      </c>
      <c r="C58" s="1">
        <v>0</v>
      </c>
      <c r="D58" s="1">
        <v>652000</v>
      </c>
      <c r="E58" s="1">
        <v>1191000</v>
      </c>
    </row>
    <row r="59" spans="1:5" x14ac:dyDescent="0.2">
      <c r="A59" t="s">
        <v>279</v>
      </c>
      <c r="B59" s="1">
        <v>4214000</v>
      </c>
      <c r="C59" s="1">
        <v>0</v>
      </c>
      <c r="D59" s="1">
        <v>3403000</v>
      </c>
      <c r="E59" s="1">
        <v>3606000</v>
      </c>
    </row>
    <row r="60" spans="1:5" x14ac:dyDescent="0.2">
      <c r="A60" t="s">
        <v>156</v>
      </c>
      <c r="B60" s="1">
        <v>-23996000</v>
      </c>
      <c r="C60" s="1">
        <v>-20533000</v>
      </c>
      <c r="D60" s="1">
        <v>-22111000</v>
      </c>
      <c r="E60" s="1">
        <v>-21187000</v>
      </c>
    </row>
    <row r="61" spans="1:5" x14ac:dyDescent="0.2">
      <c r="A61" t="s">
        <v>280</v>
      </c>
      <c r="B61" s="1">
        <v>457000</v>
      </c>
      <c r="C61" s="1">
        <v>492000</v>
      </c>
      <c r="D61" s="1">
        <v>1736000</v>
      </c>
      <c r="E61" s="1">
        <v>0</v>
      </c>
    </row>
    <row r="62" spans="1:5" x14ac:dyDescent="0.2">
      <c r="A62" t="s">
        <v>157</v>
      </c>
      <c r="B62" s="1">
        <v>36937000</v>
      </c>
      <c r="C62" s="1">
        <v>78527000</v>
      </c>
      <c r="D62" s="1">
        <v>45300000</v>
      </c>
      <c r="E62" s="1">
        <v>45813000</v>
      </c>
    </row>
    <row r="63" spans="1:5" x14ac:dyDescent="0.2">
      <c r="A63" t="s">
        <v>158</v>
      </c>
      <c r="B63" s="1">
        <v>-39156000</v>
      </c>
      <c r="C63" s="1">
        <v>-72663000</v>
      </c>
      <c r="D63" s="1">
        <v>-47806000</v>
      </c>
      <c r="E63" s="1">
        <v>-39606000</v>
      </c>
    </row>
    <row r="64" spans="1:5" x14ac:dyDescent="0.2">
      <c r="A64" t="s">
        <v>172</v>
      </c>
      <c r="B64" s="1">
        <v>0</v>
      </c>
      <c r="C64" s="1">
        <v>0</v>
      </c>
      <c r="D64" s="1">
        <v>0</v>
      </c>
      <c r="E64" s="1">
        <v>-2500000</v>
      </c>
    </row>
    <row r="65" spans="1:5" x14ac:dyDescent="0.2">
      <c r="A65" t="s">
        <v>159</v>
      </c>
      <c r="B65" s="1">
        <v>-8975000</v>
      </c>
      <c r="C65" s="1">
        <v>-3863000</v>
      </c>
      <c r="D65" s="1">
        <v>-6923000</v>
      </c>
      <c r="E65" s="1">
        <v>-5144000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IS - Ford</vt:lpstr>
      <vt:lpstr>CF - Ford</vt:lpstr>
      <vt:lpstr>BS - Ford</vt:lpstr>
      <vt:lpstr>GM-IS</vt:lpstr>
      <vt:lpstr>GM - BS</vt:lpstr>
      <vt:lpstr>GM - 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Kirill Raduta</dc:creator>
  <cp:lastModifiedBy>Kirill Raduta</cp:lastModifiedBy>
  <dcterms:created xsi:type="dcterms:W3CDTF">2023-02-09T06:56:19Z</dcterms:created>
  <dcterms:modified xsi:type="dcterms:W3CDTF">2023-02-28T14:55:31Z</dcterms:modified>
</cp:coreProperties>
</file>