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lambabaev/Documents/"/>
    </mc:Choice>
  </mc:AlternateContent>
  <xr:revisionPtr revIDLastSave="0" documentId="13_ncr:1_{F377A916-76BE-AA43-8D49-B7FC0E221888}" xr6:coauthVersionLast="47" xr6:coauthVersionMax="47" xr10:uidLastSave="{00000000-0000-0000-0000-000000000000}"/>
  <bookViews>
    <workbookView xWindow="80" yWindow="460" windowWidth="25440" windowHeight="14200" activeTab="5" xr2:uid="{9DB74E24-0BDB-1341-B59C-9576F65C5A59}"/>
  </bookViews>
  <sheets>
    <sheet name="NPV" sheetId="1" r:id="rId1"/>
    <sheet name="Correlation result" sheetId="4" r:id="rId2"/>
    <sheet name="B.H MA" sheetId="6" r:id="rId3"/>
    <sheet name="ExxM MA" sheetId="7" r:id="rId4"/>
    <sheet name="B.H ExxM Correlation" sheetId="3" r:id="rId5"/>
    <sheet name="stock prices" sheetId="9" r:id="rId6"/>
    <sheet name="revenues expenses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6" l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G7" i="6"/>
  <c r="G8" i="6"/>
  <c r="G9" i="6"/>
  <c r="G10" i="6"/>
  <c r="G11" i="6"/>
  <c r="G12" i="6"/>
  <c r="G13" i="6"/>
  <c r="G14" i="6"/>
  <c r="G15" i="6"/>
  <c r="G16" i="6"/>
  <c r="O20" i="7"/>
  <c r="O21" i="7"/>
  <c r="O22" i="7"/>
  <c r="O8" i="7"/>
  <c r="O9" i="7"/>
  <c r="O10" i="7"/>
  <c r="O11" i="7"/>
  <c r="O12" i="7"/>
  <c r="O13" i="7"/>
  <c r="O14" i="7"/>
  <c r="O15" i="7"/>
  <c r="O16" i="7"/>
  <c r="O17" i="7"/>
  <c r="O18" i="7"/>
  <c r="O19" i="7"/>
  <c r="P8" i="7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Q5" i="7"/>
  <c r="G20" i="6"/>
  <c r="G17" i="6"/>
  <c r="G18" i="6"/>
  <c r="G19" i="6"/>
  <c r="D14" i="3"/>
  <c r="K16" i="2"/>
  <c r="K15" i="2"/>
  <c r="K14" i="2"/>
  <c r="K13" i="2"/>
  <c r="K12" i="2"/>
  <c r="K11" i="2"/>
  <c r="K10" i="2"/>
  <c r="K9" i="2"/>
  <c r="K8" i="2"/>
  <c r="K7" i="2"/>
  <c r="K6" i="2"/>
  <c r="F15" i="2"/>
  <c r="F14" i="2"/>
  <c r="F13" i="2"/>
  <c r="F12" i="2"/>
  <c r="F11" i="2"/>
  <c r="F10" i="2"/>
  <c r="F9" i="2"/>
  <c r="F8" i="2"/>
  <c r="F7" i="2"/>
  <c r="F6" i="2"/>
  <c r="K33" i="1"/>
  <c r="K15" i="1"/>
</calcChain>
</file>

<file path=xl/sharedStrings.xml><?xml version="1.0" encoding="utf-8"?>
<sst xmlns="http://schemas.openxmlformats.org/spreadsheetml/2006/main" count="142" uniqueCount="83">
  <si>
    <t>№ of period</t>
  </si>
  <si>
    <t>year</t>
  </si>
  <si>
    <t>cash flow value</t>
  </si>
  <si>
    <t>discount rate</t>
  </si>
  <si>
    <t>NPV =</t>
  </si>
  <si>
    <t>79,7    </t>
  </si>
  <si>
    <t>86,5    </t>
  </si>
  <si>
    <t>90,5    </t>
  </si>
  <si>
    <t>97,3    </t>
  </si>
  <si>
    <t>82,8    </t>
  </si>
  <si>
    <t>86,2    </t>
  </si>
  <si>
    <t>81,9    </t>
  </si>
  <si>
    <t>80,0    </t>
  </si>
  <si>
    <t>73,7    </t>
  </si>
  <si>
    <t>44,5    </t>
  </si>
  <si>
    <t>58,0    </t>
  </si>
  <si>
    <t>total revenues</t>
  </si>
  <si>
    <t>total expenses</t>
  </si>
  <si>
    <t>B.H</t>
  </si>
  <si>
    <t>Berkshire Hathaway</t>
  </si>
  <si>
    <t>ExxonMobil</t>
  </si>
  <si>
    <t>Column 1</t>
  </si>
  <si>
    <t>Column 2</t>
  </si>
  <si>
    <t>Mar 01, 2022</t>
  </si>
  <si>
    <t>Feb 01, 2022</t>
  </si>
  <si>
    <t>Jan 01, 2022</t>
  </si>
  <si>
    <t>Dec 01, 2021</t>
  </si>
  <si>
    <t>Mar 01, 2021</t>
  </si>
  <si>
    <t>Feb 01, 2021</t>
  </si>
  <si>
    <t>Jan 01, 2021</t>
  </si>
  <si>
    <t>Date</t>
  </si>
  <si>
    <t>SMA</t>
  </si>
  <si>
    <t>EMA</t>
  </si>
  <si>
    <t>Alpha</t>
  </si>
  <si>
    <t>June 01, 2022</t>
  </si>
  <si>
    <t>May 01, 2022</t>
  </si>
  <si>
    <t>Apr 01, 2022</t>
  </si>
  <si>
    <t>B.H (in billion $)</t>
  </si>
  <si>
    <t>ExxM (in billion $)</t>
  </si>
  <si>
    <r>
      <t>𝐸𝑀𝐴</t>
    </r>
    <r>
      <rPr>
        <sz val="12"/>
        <color theme="1"/>
        <rFont val="Times New Roman"/>
        <family val="1"/>
      </rPr>
      <t xml:space="preserve"> = (</t>
    </r>
    <r>
      <rPr>
        <sz val="12"/>
        <color theme="1"/>
        <rFont val="Cambria Math"/>
        <family val="1"/>
      </rPr>
      <t>𝑃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mbria Math"/>
        <family val="1"/>
      </rPr>
      <t>∗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mbria Math"/>
        <family val="1"/>
      </rPr>
      <t>𝛼</t>
    </r>
    <r>
      <rPr>
        <sz val="12"/>
        <color theme="1"/>
        <rFont val="Times New Roman"/>
        <family val="1"/>
      </rPr>
      <t>) + {</t>
    </r>
    <r>
      <rPr>
        <sz val="12"/>
        <color theme="1"/>
        <rFont val="Cambria Math"/>
        <family val="1"/>
      </rPr>
      <t>𝑃𝑟𝑒𝑣𝑖𝑜𝑢𝑠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mbria Math"/>
        <family val="1"/>
      </rPr>
      <t>𝐸𝑀𝐴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mbria Math"/>
        <family val="1"/>
      </rPr>
      <t>∗</t>
    </r>
    <r>
      <rPr>
        <sz val="12"/>
        <color theme="1"/>
        <rFont val="Times New Roman"/>
        <family val="1"/>
      </rPr>
      <t xml:space="preserve"> (1 − </t>
    </r>
    <r>
      <rPr>
        <sz val="12"/>
        <color theme="1"/>
        <rFont val="Cambria Math"/>
        <family val="1"/>
      </rPr>
      <t>𝛼</t>
    </r>
    <r>
      <rPr>
        <sz val="12"/>
        <color theme="1"/>
        <rFont val="Times New Roman"/>
        <family val="1"/>
      </rPr>
      <t>)}</t>
    </r>
  </si>
  <si>
    <t>P= Current price</t>
  </si>
  <si>
    <t>α= Smoothing Factor =2/1+N</t>
  </si>
  <si>
    <t xml:space="preserve">N= Number of time periods. </t>
  </si>
  <si>
    <t>Nov 01, 2021</t>
  </si>
  <si>
    <t>Oct 01, 2021</t>
  </si>
  <si>
    <t>Sep 01, 2021</t>
  </si>
  <si>
    <t>Aug 01, 2021</t>
  </si>
  <si>
    <t>Jul 01, 2021</t>
  </si>
  <si>
    <t>Jun 01, 2021</t>
  </si>
  <si>
    <t>May 01, 2021</t>
  </si>
  <si>
    <t>Apr 01, 2021</t>
  </si>
  <si>
    <t>Closing stock price</t>
  </si>
  <si>
    <t>Apr 01, 2020</t>
  </si>
  <si>
    <t>Dec 01, 2022</t>
  </si>
  <si>
    <t>#Н/A</t>
  </si>
  <si>
    <t>493,785.00</t>
  </si>
  <si>
    <t>476,205.00</t>
  </si>
  <si>
    <t>469,805.00</t>
  </si>
  <si>
    <t>450,662.00</t>
  </si>
  <si>
    <t>416,876.00</t>
  </si>
  <si>
    <t>432,902.00</t>
  </si>
  <si>
    <t>411,379.00</t>
  </si>
  <si>
    <t>429,900.00</t>
  </si>
  <si>
    <t>418,900.00</t>
  </si>
  <si>
    <t>418,601.00</t>
  </si>
  <si>
    <t>436,000.00</t>
  </si>
  <si>
    <t>385,702.00</t>
  </si>
  <si>
    <t>412,500.00</t>
  </si>
  <si>
    <t>364,580.00</t>
  </si>
  <si>
    <t>344,100.00</t>
  </si>
  <si>
    <t>Year</t>
  </si>
  <si>
    <t>Stock Price $</t>
  </si>
  <si>
    <t>                 116 462     </t>
  </si>
  <si>
    <t>                 125 162     </t>
  </si>
  <si>
    <t>                 165 328     </t>
  </si>
  <si>
    <t>                 195 670     </t>
  </si>
  <si>
    <t>                 210 581     </t>
  </si>
  <si>
    <t>                 216 172     </t>
  </si>
  <si>
    <t>                 262 726     </t>
  </si>
  <si>
    <t>                 305 903     </t>
  </si>
  <si>
    <t>                 312 329     </t>
  </si>
  <si>
    <t>                 307 638     </t>
  </si>
  <si>
    <t>                 410 842  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</si>
</sst>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CZK&quot;;[Red]\-#,##0.00\ &quot;CZK&quot;"/>
    <numFmt numFmtId="164" formatCode="_-[$$-409]* #,##0.00_ ;_-[$$-409]* \-#,##0.00\ ;_-[$$-409]* &quot;-&quot;??_ ;_-@_ "/>
    <numFmt numFmtId="165" formatCode="#,##0\ _C_Z_K"/>
    <numFmt numFmtId="166" formatCode="[$$-409]#,##0"/>
    <numFmt numFmtId="167" formatCode="[$$-409]#,##0.00"/>
    <numFmt numFmtId="168" formatCode="#,##0.00\ &quot;CZK&quot;"/>
  </numFmts>
  <fonts count="17" x14ac:knownFonts="1">
    <font>
      <sz val="12"/>
      <color theme="1"/>
      <name val="Calibri"/>
      <family val="2"/>
      <charset val="204"/>
      <scheme val="minor"/>
    </font>
    <font>
      <sz val="14"/>
      <color rgb="FF444444"/>
      <name val="Arial"/>
      <family val="2"/>
    </font>
    <font>
      <sz val="12"/>
      <color rgb="FF000000"/>
      <name val="Calibri"/>
      <family val="2"/>
      <charset val="204"/>
      <scheme val="minor"/>
    </font>
    <font>
      <sz val="14"/>
      <color rgb="FF333333"/>
      <name val="Helvetica"/>
      <family val="2"/>
    </font>
    <font>
      <sz val="12"/>
      <color rgb="FF444444"/>
      <name val="Calibri"/>
      <family val="2"/>
      <scheme val="minor"/>
    </font>
    <font>
      <sz val="13"/>
      <color rgb="FF232A31"/>
      <name val="Helvetica Neue"/>
      <family val="2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3"/>
      <color rgb="FF232A31"/>
      <name val="Helvetica Neue"/>
      <family val="2"/>
    </font>
    <font>
      <sz val="12"/>
      <color rgb="FF232A31"/>
      <name val="Calibri"/>
      <family val="2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theme="1"/>
      <name val="Cambria Math"/>
      <family val="1"/>
    </font>
    <font>
      <sz val="12"/>
      <color rgb="FF232A31"/>
      <name val="Times New Roman"/>
      <family val="1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0" fillId="0" borderId="0" xfId="0" applyNumberFormat="1"/>
    <xf numFmtId="9" fontId="0" fillId="0" borderId="0" xfId="0" applyNumberFormat="1"/>
    <xf numFmtId="8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4" fillId="0" borderId="1" xfId="0" applyNumberFormat="1" applyFont="1" applyBorder="1"/>
    <xf numFmtId="0" fontId="5" fillId="0" borderId="0" xfId="0" applyFont="1"/>
    <xf numFmtId="164" fontId="4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/>
    <xf numFmtId="166" fontId="5" fillId="0" borderId="0" xfId="0" applyNumberFormat="1" applyFont="1"/>
    <xf numFmtId="166" fontId="0" fillId="0" borderId="0" xfId="0" applyNumberFormat="1"/>
    <xf numFmtId="0" fontId="8" fillId="0" borderId="0" xfId="0" applyFont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8" fontId="7" fillId="0" borderId="1" xfId="0" applyNumberFormat="1" applyFont="1" applyBorder="1" applyAlignment="1">
      <alignment horizontal="center"/>
    </xf>
    <xf numFmtId="164" fontId="9" fillId="0" borderId="2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/>
    <xf numFmtId="167" fontId="11" fillId="0" borderId="1" xfId="0" applyNumberFormat="1" applyFont="1" applyBorder="1"/>
    <xf numFmtId="164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4" xfId="0" applyFont="1" applyBorder="1"/>
    <xf numFmtId="166" fontId="11" fillId="0" borderId="1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6" fontId="11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/>
    <xf numFmtId="0" fontId="16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202020"/>
      <color rgb="FFE96A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B.H stock price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'B.H MA'!$E$3:$E$20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2021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Ref>
              <c:f>'B.H MA'!$F$3:$F$17</c:f>
              <c:numCache>
                <c:formatCode>[$$-409]#\ ##0</c:formatCode>
                <c:ptCount val="15"/>
                <c:pt idx="0">
                  <c:v>344100</c:v>
                </c:pt>
                <c:pt idx="1">
                  <c:v>364580</c:v>
                </c:pt>
                <c:pt idx="2">
                  <c:v>385702</c:v>
                </c:pt>
                <c:pt idx="3">
                  <c:v>412500</c:v>
                </c:pt>
                <c:pt idx="4">
                  <c:v>436000</c:v>
                </c:pt>
                <c:pt idx="5">
                  <c:v>418601</c:v>
                </c:pt>
                <c:pt idx="6">
                  <c:v>418900</c:v>
                </c:pt>
                <c:pt idx="7">
                  <c:v>429900</c:v>
                </c:pt>
                <c:pt idx="8">
                  <c:v>411379</c:v>
                </c:pt>
                <c:pt idx="9">
                  <c:v>432902</c:v>
                </c:pt>
                <c:pt idx="10">
                  <c:v>416876</c:v>
                </c:pt>
                <c:pt idx="11">
                  <c:v>450662</c:v>
                </c:pt>
                <c:pt idx="12">
                  <c:v>469805</c:v>
                </c:pt>
                <c:pt idx="13">
                  <c:v>476205</c:v>
                </c:pt>
                <c:pt idx="14">
                  <c:v>493785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5F-9745-9579-4D9A66EDFA3F}"/>
            </c:ext>
          </c:extLst>
        </c:ser>
        <c:ser>
          <c:idx val="1"/>
          <c:order val="1"/>
          <c:tx>
            <c:v>3 months SMA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5"/>
              <c:layout>
                <c:manualLayout>
                  <c:x val="-1.0259710736879868E-16"/>
                  <c:y val="0.121512185662965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5F-9745-9579-4D9A66EDFA3F}"/>
                </c:ext>
              </c:extLst>
            </c:dLbl>
            <c:dLbl>
              <c:idx val="16"/>
              <c:layout>
                <c:manualLayout>
                  <c:x val="-2.7981352521638655E-3"/>
                  <c:y val="6.75067698127585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5F-9745-9579-4D9A66EDFA3F}"/>
                </c:ext>
              </c:extLst>
            </c:dLbl>
            <c:dLbl>
              <c:idx val="1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5F-9745-9579-4D9A66EDF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'B.H MA'!$E$3:$E$20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2021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Ref>
              <c:f>'B.H MA'!$G$3:$G$20</c:f>
              <c:numCache>
                <c:formatCode>[$$-409]#\ 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376720.5</c:v>
                </c:pt>
                <c:pt idx="4">
                  <c:v>399695.5</c:v>
                </c:pt>
                <c:pt idx="5">
                  <c:v>413200.75</c:v>
                </c:pt>
                <c:pt idx="6">
                  <c:v>421500.25</c:v>
                </c:pt>
                <c:pt idx="7">
                  <c:v>425850.25</c:v>
                </c:pt>
                <c:pt idx="8">
                  <c:v>419695</c:v>
                </c:pt>
                <c:pt idx="9">
                  <c:v>423270.25</c:v>
                </c:pt>
                <c:pt idx="10">
                  <c:v>422764.25</c:v>
                </c:pt>
                <c:pt idx="11">
                  <c:v>427954.75</c:v>
                </c:pt>
                <c:pt idx="12">
                  <c:v>442561.25</c:v>
                </c:pt>
                <c:pt idx="13">
                  <c:v>453387</c:v>
                </c:pt>
                <c:pt idx="14">
                  <c:v>472614.25</c:v>
                </c:pt>
                <c:pt idx="15">
                  <c:v>479931.66666666669</c:v>
                </c:pt>
                <c:pt idx="16">
                  <c:v>484995</c:v>
                </c:pt>
                <c:pt idx="17">
                  <c:v>493785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5F-9745-9579-4D9A66EDFA3F}"/>
            </c:ext>
          </c:extLst>
        </c:ser>
        <c:ser>
          <c:idx val="2"/>
          <c:order val="2"/>
          <c:tx>
            <c:v>Date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'B.H MA'!$E$3:$E$20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2021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335F-9745-9579-4D9A66EDF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895552"/>
        <c:axId val="2075976656"/>
      </c:barChart>
      <c:catAx>
        <c:axId val="20448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2075976656"/>
        <c:crosses val="autoZero"/>
        <c:auto val="1"/>
        <c:lblAlgn val="ctr"/>
        <c:lblOffset val="100"/>
        <c:noMultiLvlLbl val="0"/>
      </c:catAx>
      <c:valAx>
        <c:axId val="207597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$-409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204489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661231507656"/>
          <c:y val="6.1632118743295071E-2"/>
          <c:w val="0.69561764952537652"/>
          <c:h val="0.75031456572685828"/>
        </c:manualLayout>
      </c:layout>
      <c:lineChart>
        <c:grouping val="standard"/>
        <c:varyColors val="0"/>
        <c:ser>
          <c:idx val="0"/>
          <c:order val="0"/>
          <c:tx>
            <c:v>B.H stock price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'B.H MA'!$E$3:$E$20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2021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Ref>
              <c:f>'B.H MA'!$F$3:$F$17</c:f>
              <c:numCache>
                <c:formatCode>[$$-409]#\ ##0</c:formatCode>
                <c:ptCount val="15"/>
                <c:pt idx="0">
                  <c:v>344100</c:v>
                </c:pt>
                <c:pt idx="1">
                  <c:v>364580</c:v>
                </c:pt>
                <c:pt idx="2">
                  <c:v>385702</c:v>
                </c:pt>
                <c:pt idx="3">
                  <c:v>412500</c:v>
                </c:pt>
                <c:pt idx="4">
                  <c:v>436000</c:v>
                </c:pt>
                <c:pt idx="5">
                  <c:v>418601</c:v>
                </c:pt>
                <c:pt idx="6">
                  <c:v>418900</c:v>
                </c:pt>
                <c:pt idx="7">
                  <c:v>429900</c:v>
                </c:pt>
                <c:pt idx="8">
                  <c:v>411379</c:v>
                </c:pt>
                <c:pt idx="9">
                  <c:v>432902</c:v>
                </c:pt>
                <c:pt idx="10">
                  <c:v>416876</c:v>
                </c:pt>
                <c:pt idx="11">
                  <c:v>450662</c:v>
                </c:pt>
                <c:pt idx="12">
                  <c:v>469805</c:v>
                </c:pt>
                <c:pt idx="13">
                  <c:v>476205</c:v>
                </c:pt>
                <c:pt idx="14">
                  <c:v>493785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1-3744-8038-E2DAA65F1978}"/>
            </c:ext>
          </c:extLst>
        </c:ser>
        <c:ser>
          <c:idx val="1"/>
          <c:order val="1"/>
          <c:tx>
            <c:v>EMA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'B.H MA'!$E$3:$E$20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2021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Ref>
              <c:f>'B.H MA'!$H$3:$H$17</c:f>
              <c:numCache>
                <c:formatCode>[$$-409]#\ ##0</c:formatCode>
                <c:ptCount val="15"/>
                <c:pt idx="3">
                  <c:v>376720.5</c:v>
                </c:pt>
                <c:pt idx="4">
                  <c:v>384130.4375</c:v>
                </c:pt>
                <c:pt idx="5">
                  <c:v>388439.2578125</c:v>
                </c:pt>
                <c:pt idx="6">
                  <c:v>392246.8505859375</c:v>
                </c:pt>
                <c:pt idx="7">
                  <c:v>396953.49426269531</c:v>
                </c:pt>
                <c:pt idx="8">
                  <c:v>398756.6824798584</c:v>
                </c:pt>
                <c:pt idx="9">
                  <c:v>403024.8471698761</c:v>
                </c:pt>
                <c:pt idx="10">
                  <c:v>404756.24127364159</c:v>
                </c:pt>
                <c:pt idx="11">
                  <c:v>410494.46111443639</c:v>
                </c:pt>
                <c:pt idx="12">
                  <c:v>417908.27847513184</c:v>
                </c:pt>
                <c:pt idx="13">
                  <c:v>425195.36866574036</c:v>
                </c:pt>
                <c:pt idx="14">
                  <c:v>433769.07258252281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1-3744-8038-E2DAA65F1978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'B.H MA'!$E$3:$E$20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2021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61-3744-8038-E2DAA65F1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498207"/>
        <c:axId val="358125023"/>
      </c:lineChart>
      <c:catAx>
        <c:axId val="404498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358125023"/>
        <c:crosses val="autoZero"/>
        <c:auto val="1"/>
        <c:lblAlgn val="ctr"/>
        <c:lblOffset val="100"/>
        <c:noMultiLvlLbl val="0"/>
      </c:catAx>
      <c:valAx>
        <c:axId val="358125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$-409]#\ 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40449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551663354646662E-2"/>
          <c:y val="3.6124794745484398E-2"/>
          <c:w val="0.75846943102545128"/>
          <c:h val="0.7991187308482991"/>
        </c:manualLayout>
      </c:layout>
      <c:lineChart>
        <c:grouping val="standard"/>
        <c:varyColors val="0"/>
        <c:ser>
          <c:idx val="0"/>
          <c:order val="0"/>
          <c:tx>
            <c:v>ExxonMobil stock price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'ExxM MA'!$M$5:$M$22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2020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Ref>
              <c:f>'ExxM MA'!$N$5:$N$19</c:f>
              <c:numCache>
                <c:formatCode>_-[$$-409]* #\ ##0.00_ ;_-[$$-409]* \-#\ ##0.00\ ;_-[$$-409]* "-"??_ ;_-@_ </c:formatCode>
                <c:ptCount val="15"/>
                <c:pt idx="0">
                  <c:v>44.84</c:v>
                </c:pt>
                <c:pt idx="1">
                  <c:v>54.37</c:v>
                </c:pt>
                <c:pt idx="2">
                  <c:v>55.83</c:v>
                </c:pt>
                <c:pt idx="3">
                  <c:v>57.24</c:v>
                </c:pt>
                <c:pt idx="4">
                  <c:v>58.37</c:v>
                </c:pt>
                <c:pt idx="5">
                  <c:v>63.08</c:v>
                </c:pt>
                <c:pt idx="6">
                  <c:v>57.57</c:v>
                </c:pt>
                <c:pt idx="7">
                  <c:v>54.52</c:v>
                </c:pt>
                <c:pt idx="8">
                  <c:v>58.82</c:v>
                </c:pt>
                <c:pt idx="9">
                  <c:v>64.47</c:v>
                </c:pt>
                <c:pt idx="10">
                  <c:v>59.84</c:v>
                </c:pt>
                <c:pt idx="11">
                  <c:v>61.19</c:v>
                </c:pt>
                <c:pt idx="12">
                  <c:v>75.959999999999994</c:v>
                </c:pt>
                <c:pt idx="13">
                  <c:v>78.42</c:v>
                </c:pt>
                <c:pt idx="1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0E-B34A-B90B-86DF2B5CA762}"/>
            </c:ext>
          </c:extLst>
        </c:ser>
        <c:ser>
          <c:idx val="1"/>
          <c:order val="1"/>
          <c:tx>
            <c:v>EMA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'ExxM MA'!$M$5:$M$22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2020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Ref>
              <c:f>'ExxM MA'!$P$5:$P$19</c:f>
              <c:numCache>
                <c:formatCode>General</c:formatCode>
                <c:ptCount val="15"/>
                <c:pt idx="3" formatCode="[$$-409]#\ ##0.00">
                  <c:v>53.070000000000007</c:v>
                </c:pt>
                <c:pt idx="4" formatCode="[$$-409]#\ ##0.00">
                  <c:v>53.732500000000009</c:v>
                </c:pt>
                <c:pt idx="5" formatCode="[$$-409]#\ ##0.00">
                  <c:v>54.900937500000005</c:v>
                </c:pt>
                <c:pt idx="6" formatCode="[$$-409]#\ ##0.00">
                  <c:v>55.234570312500004</c:v>
                </c:pt>
                <c:pt idx="7" formatCode="[$$-409]#\ ##0.00">
                  <c:v>55.145249023437501</c:v>
                </c:pt>
                <c:pt idx="8" formatCode="[$$-409]#\ ##0.00">
                  <c:v>55.604592895507814</c:v>
                </c:pt>
                <c:pt idx="9" formatCode="[$$-409]#\ ##0.00">
                  <c:v>56.712768783569331</c:v>
                </c:pt>
                <c:pt idx="10" formatCode="[$$-409]#\ ##0.00">
                  <c:v>57.103672685623167</c:v>
                </c:pt>
                <c:pt idx="11" formatCode="[$$-409]#\ ##0.00">
                  <c:v>57.614463599920271</c:v>
                </c:pt>
                <c:pt idx="12" formatCode="[$$-409]#\ ##0.00">
                  <c:v>59.907655649930234</c:v>
                </c:pt>
                <c:pt idx="13" formatCode="[$$-409]#\ ##0.00">
                  <c:v>62.221698693688957</c:v>
                </c:pt>
                <c:pt idx="14" formatCode="[$$-409]#\ ##0.00">
                  <c:v>64.678986356977845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E-B34A-B90B-86DF2B5CA762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'ExxM MA'!$M$5:$M$22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2020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0E-B34A-B90B-86DF2B5CA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160687"/>
        <c:axId val="386089071"/>
      </c:lineChart>
      <c:catAx>
        <c:axId val="35616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386089071"/>
        <c:crosses val="autoZero"/>
        <c:auto val="1"/>
        <c:lblAlgn val="ctr"/>
        <c:lblOffset val="100"/>
        <c:noMultiLvlLbl val="0"/>
      </c:catAx>
      <c:valAx>
        <c:axId val="38608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[$$-409]* #\ ##0.00_ ;_-[$$-409]* \-#\ ##0.00\ ;_-[$$-409]* &quot;-&quot;??_ ;_-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35616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5322069693769798"/>
          <c:y val="0.35262686991712244"/>
          <c:w val="0.13410770855332629"/>
          <c:h val="0.22578074292437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Closing stock price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'ExxM MA'!$M$5:$M$22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2020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Ref>
              <c:f>'ExxM MA'!$N$5:$N$19</c:f>
              <c:numCache>
                <c:formatCode>_-[$$-409]* #\ ##0.00_ ;_-[$$-409]* \-#\ ##0.00\ ;_-[$$-409]* "-"??_ ;_-@_ </c:formatCode>
                <c:ptCount val="15"/>
                <c:pt idx="0">
                  <c:v>44.84</c:v>
                </c:pt>
                <c:pt idx="1">
                  <c:v>54.37</c:v>
                </c:pt>
                <c:pt idx="2">
                  <c:v>55.83</c:v>
                </c:pt>
                <c:pt idx="3">
                  <c:v>57.24</c:v>
                </c:pt>
                <c:pt idx="4">
                  <c:v>58.37</c:v>
                </c:pt>
                <c:pt idx="5">
                  <c:v>63.08</c:v>
                </c:pt>
                <c:pt idx="6">
                  <c:v>57.57</c:v>
                </c:pt>
                <c:pt idx="7">
                  <c:v>54.52</c:v>
                </c:pt>
                <c:pt idx="8">
                  <c:v>58.82</c:v>
                </c:pt>
                <c:pt idx="9">
                  <c:v>64.47</c:v>
                </c:pt>
                <c:pt idx="10">
                  <c:v>59.84</c:v>
                </c:pt>
                <c:pt idx="11">
                  <c:v>61.19</c:v>
                </c:pt>
                <c:pt idx="12">
                  <c:v>75.959999999999994</c:v>
                </c:pt>
                <c:pt idx="13">
                  <c:v>78.42</c:v>
                </c:pt>
                <c:pt idx="14">
                  <c:v>81.88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F-8445-9F05-C74C01DA0D96}"/>
            </c:ext>
          </c:extLst>
        </c:ser>
        <c:ser>
          <c:idx val="1"/>
          <c:order val="1"/>
          <c:tx>
            <c:v>SMA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1F-8445-9F05-C74C01DA0D96}"/>
                </c:ext>
              </c:extLst>
            </c:dLbl>
            <c:dLbl>
              <c:idx val="16"/>
              <c:layout>
                <c:manualLayout>
                  <c:x val="-8.6488247580094511E-17"/>
                  <c:y val="2.7750350634966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1F-8445-9F05-C74C01DA0D96}"/>
                </c:ext>
              </c:extLst>
            </c:dLbl>
            <c:dLbl>
              <c:idx val="1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1F-8445-9F05-C74C01DA0D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'ExxM MA'!$M$5:$M$22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2020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Ref>
              <c:f>'ExxM MA'!$O$5:$O$22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-[$$-409]* #\ ##0.00_ ;_-[$$-409]* \-#\ ##0.00\ ;_-[$$-409]* &quot;-&quot;??_ ;_-@_ ">
                  <c:v>53.070000000000007</c:v>
                </c:pt>
                <c:pt idx="4" formatCode="_-[$$-409]* #\ ##0.00_ ;_-[$$-409]* \-#\ ##0.00\ ;_-[$$-409]* &quot;-&quot;??_ ;_-@_ ">
                  <c:v>56.452500000000001</c:v>
                </c:pt>
                <c:pt idx="5" formatCode="_-[$$-409]* #\ ##0.00_ ;_-[$$-409]* \-#\ ##0.00\ ;_-[$$-409]* &quot;-&quot;??_ ;_-@_ ">
                  <c:v>58.629999999999995</c:v>
                </c:pt>
                <c:pt idx="6" formatCode="_-[$$-409]* #\ ##0.00_ ;_-[$$-409]* \-#\ ##0.00\ ;_-[$$-409]* &quot;-&quot;??_ ;_-@_ ">
                  <c:v>59.064999999999998</c:v>
                </c:pt>
                <c:pt idx="7" formatCode="_-[$$-409]* #\ ##0.00_ ;_-[$$-409]* \-#\ ##0.00\ ;_-[$$-409]* &quot;-&quot;??_ ;_-@_ ">
                  <c:v>58.384999999999998</c:v>
                </c:pt>
                <c:pt idx="8" formatCode="_-[$$-409]* #\ ##0.00_ ;_-[$$-409]* \-#\ ##0.00\ ;_-[$$-409]* &quot;-&quot;??_ ;_-@_ ">
                  <c:v>58.497500000000002</c:v>
                </c:pt>
                <c:pt idx="9" formatCode="_-[$$-409]* #\ ##0.00_ ;_-[$$-409]* \-#\ ##0.00\ ;_-[$$-409]* &quot;-&quot;??_ ;_-@_ ">
                  <c:v>58.844999999999999</c:v>
                </c:pt>
                <c:pt idx="10" formatCode="_-[$$-409]* #\ ##0.00_ ;_-[$$-409]* \-#\ ##0.00\ ;_-[$$-409]* &quot;-&quot;??_ ;_-@_ ">
                  <c:v>59.412500000000001</c:v>
                </c:pt>
                <c:pt idx="11" formatCode="_-[$$-409]* #\ ##0.00_ ;_-[$$-409]* \-#\ ##0.00\ ;_-[$$-409]* &quot;-&quot;??_ ;_-@_ ">
                  <c:v>61.08</c:v>
                </c:pt>
                <c:pt idx="12" formatCode="_-[$$-409]* #\ ##0.00_ ;_-[$$-409]* \-#\ ##0.00\ ;_-[$$-409]* &quot;-&quot;??_ ;_-@_ ">
                  <c:v>65.364999999999995</c:v>
                </c:pt>
                <c:pt idx="13" formatCode="_-[$$-409]* #\ ##0.00_ ;_-[$$-409]* \-#\ ##0.00\ ;_-[$$-409]* &quot;-&quot;??_ ;_-@_ ">
                  <c:v>68.852500000000006</c:v>
                </c:pt>
                <c:pt idx="14" formatCode="_-[$$-409]* #\ ##0.00_ ;_-[$$-409]* \-#\ ##0.00\ ;_-[$$-409]* &quot;-&quot;??_ ;_-@_ ">
                  <c:v>74.362499999999997</c:v>
                </c:pt>
                <c:pt idx="15" formatCode="_-[$$-409]* #\ ##0.00_ ;_-[$$-409]* \-#\ ##0.00\ ;_-[$$-409]* &quot;-&quot;??_ ;_-@_ ">
                  <c:v>78.75333333333333</c:v>
                </c:pt>
                <c:pt idx="16" formatCode="_-[$$-409]* #\ ##0.00_ ;_-[$$-409]* \-#\ ##0.00\ ;_-[$$-409]* &quot;-&quot;??_ ;_-@_ ">
                  <c:v>80.150000000000006</c:v>
                </c:pt>
                <c:pt idx="17" formatCode="_-[$$-409]* #\ ##0.00_ ;_-[$$-409]* \-#\ ##0.00\ ;_-[$$-409]* &quot;-&quot;??_ ;_-@_ ">
                  <c:v>81.88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1F-8445-9F05-C74C01DA0D96}"/>
            </c:ext>
          </c:extLst>
        </c:ser>
        <c:ser>
          <c:idx val="2"/>
          <c:order val="2"/>
          <c:tx>
            <c:v>Date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'ExxM MA'!$M$5:$M$22</c:f>
              <c:strCache>
                <c:ptCount val="18"/>
                <c:pt idx="0">
                  <c:v>Jan 01, 2021</c:v>
                </c:pt>
                <c:pt idx="1">
                  <c:v>Feb 01, 2021</c:v>
                </c:pt>
                <c:pt idx="2">
                  <c:v>Mar 01, 2021</c:v>
                </c:pt>
                <c:pt idx="3">
                  <c:v>Apr 01, 2020</c:v>
                </c:pt>
                <c:pt idx="4">
                  <c:v>May 01, 2021</c:v>
                </c:pt>
                <c:pt idx="5">
                  <c:v>Jun 01, 2021</c:v>
                </c:pt>
                <c:pt idx="6">
                  <c:v>Jul 01, 2021</c:v>
                </c:pt>
                <c:pt idx="7">
                  <c:v>Aug 01, 2021</c:v>
                </c:pt>
                <c:pt idx="8">
                  <c:v>Sep 01, 2021</c:v>
                </c:pt>
                <c:pt idx="9">
                  <c:v>Oct 01, 2021</c:v>
                </c:pt>
                <c:pt idx="10">
                  <c:v>Nov 01, 2021</c:v>
                </c:pt>
                <c:pt idx="11">
                  <c:v>Dec 01, 2022</c:v>
                </c:pt>
                <c:pt idx="12">
                  <c:v>Jan 01, 2022</c:v>
                </c:pt>
                <c:pt idx="13">
                  <c:v>Feb 01, 2022</c:v>
                </c:pt>
                <c:pt idx="14">
                  <c:v>Mar 01, 2022</c:v>
                </c:pt>
                <c:pt idx="15">
                  <c:v>Apr 01, 2022</c:v>
                </c:pt>
                <c:pt idx="16">
                  <c:v>May 01, 2022</c:v>
                </c:pt>
                <c:pt idx="17">
                  <c:v>June 01, 2022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9B1F-8445-9F05-C74C01DA0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34415"/>
        <c:axId val="83608527"/>
      </c:barChart>
      <c:catAx>
        <c:axId val="85634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83608527"/>
        <c:crosses val="autoZero"/>
        <c:auto val="1"/>
        <c:lblAlgn val="ctr"/>
        <c:lblOffset val="100"/>
        <c:noMultiLvlLbl val="0"/>
      </c:catAx>
      <c:valAx>
        <c:axId val="83608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[$$-409]* #\ ##0.00_ ;_-[$$-409]* \-#\ ##0.00\ ;_-[$$-409]* &quot;-&quot;??_ ;_-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8563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file:////var/folders/1s/ks8q4sfn6tjc8ycx9v1gs3tm0000gn/T/com.microsoft.Word/WebArchiveCopyPasteTempFiles/jP8AN5yy6B39PaEAAAAASUVORK5CYII=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/var/folders/1s/ks8q4sfn6tjc8ycx9v1gs3tm0000gn/T/com.microsoft.Word/WebArchiveCopyPasteTempFiles/jP8AN5yy6B39PaEAAAAASUVORK5CYII=" TargetMode="External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382530</xdr:colOff>
      <xdr:row>12</xdr:row>
      <xdr:rowOff>107108</xdr:rowOff>
    </xdr:from>
    <xdr:to>
      <xdr:col>7</xdr:col>
      <xdr:colOff>650668</xdr:colOff>
      <xdr:row>20</xdr:row>
      <xdr:rowOff>227376</xdr:rowOff>
    </xdr:to>
    <xdr:pic>
      <xdr:nvPicPr>
        <xdr:cNvPr id="2" name="Рисунок 1" descr="Изображение выглядит как текст&#10;&#10;Автоматически созданное описание">
          <a:extLst>
            <a:ext uri="{FF2B5EF4-FFF2-40B4-BE49-F238E27FC236}">
              <a16:creationId xmlns:a16="http://schemas.microsoft.com/office/drawing/2014/main" id="{E4C62299-E296-6D49-9159-20A8FE6A6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2769518"/>
          <a:ext cx="4353560" cy="18034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438501</xdr:colOff>
      <xdr:row>18</xdr:row>
      <xdr:rowOff>189789</xdr:rowOff>
    </xdr:from>
    <xdr:to>
      <xdr:col>16</xdr:col>
      <xdr:colOff>749430</xdr:colOff>
      <xdr:row>41</xdr:row>
      <xdr:rowOff>181665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E636040-8033-1B41-9F37-5F7A43B55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421061</xdr:colOff>
      <xdr:row>0</xdr:row>
      <xdr:rowOff>98534</xdr:rowOff>
    </xdr:from>
    <xdr:to>
      <xdr:col>16</xdr:col>
      <xdr:colOff>799223</xdr:colOff>
      <xdr:row>18</xdr:row>
      <xdr:rowOff>122864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B13AF2B-7DC2-C34C-874B-14D0E0B986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558363</xdr:colOff>
      <xdr:row>1</xdr:row>
      <xdr:rowOff>10949</xdr:rowOff>
    </xdr:from>
    <xdr:to>
      <xdr:col>3</xdr:col>
      <xdr:colOff>711639</xdr:colOff>
      <xdr:row>7</xdr:row>
      <xdr:rowOff>176924</xdr:rowOff>
    </xdr:to>
    <xdr:pic>
      <xdr:nvPicPr>
        <xdr:cNvPr id="4" name="Рисунок 20" descr="Definition and Types of Moving Averages | Orderhive">
          <a:extLst>
            <a:ext uri="{FF2B5EF4-FFF2-40B4-BE49-F238E27FC236}">
              <a16:creationId xmlns:a16="http://schemas.microsoft.com/office/drawing/2014/main" id="{DEAD0327-BF3A-D041-B67E-B7C3B2D3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63" y="218966"/>
          <a:ext cx="2934138" cy="146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165100</xdr:colOff>
      <xdr:row>4</xdr:row>
      <xdr:rowOff>203200</xdr:rowOff>
    </xdr:from>
    <xdr:to>
      <xdr:col>26</xdr:col>
      <xdr:colOff>711200</xdr:colOff>
      <xdr:row>26</xdr:row>
      <xdr:rowOff>63500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9083A81D-38B7-604F-8125-322730F13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584200</xdr:colOff>
      <xdr:row>3</xdr:row>
      <xdr:rowOff>25400</xdr:rowOff>
    </xdr:from>
    <xdr:to>
      <xdr:col>11</xdr:col>
      <xdr:colOff>571938</xdr:colOff>
      <xdr:row>10</xdr:row>
      <xdr:rowOff>10860</xdr:rowOff>
    </xdr:to>
    <xdr:pic>
      <xdr:nvPicPr>
        <xdr:cNvPr id="3" name="Рисунок 20" descr="Definition and Types of Moving Averages | Orderhive">
          <a:extLst>
            <a:ext uri="{FF2B5EF4-FFF2-40B4-BE49-F238E27FC236}">
              <a16:creationId xmlns:a16="http://schemas.microsoft.com/office/drawing/2014/main" id="{C0014289-F184-AD43-801D-76D4869C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2040" y="635000"/>
          <a:ext cx="2934138" cy="146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276931</xdr:colOff>
      <xdr:row>11</xdr:row>
      <xdr:rowOff>40124</xdr:rowOff>
    </xdr:from>
    <xdr:to>
      <xdr:col>11</xdr:col>
      <xdr:colOff>1053470</xdr:colOff>
      <xdr:row>28</xdr:row>
      <xdr:rowOff>71679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7A0A5369-BBD5-9F49-B902-8F16088E07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87C1-7DC7-6945-9E07-7687FD94EB2A}">
  <dimension ref="E2:P34"/>
  <sheetViews>
    <sheetView topLeftCell="A5" zoomScale="83" workbookViewId="0">
      <selection activeCell="M34" sqref="M34"/>
    </sheetView>
  </sheetViews>
  <sheetFormatPr baseColWidth="10" defaultRowHeight="16" x14ac:dyDescent="0.2"/>
  <cols>
    <col min="3" max="3" width="12.5" customWidth="1"/>
    <col min="5" max="5" width="29.5" customWidth="1"/>
    <col min="6" max="6" width="13.1640625" customWidth="1"/>
    <col min="8" max="8" width="16.6640625" customWidth="1"/>
    <col min="11" max="11" width="25.5" customWidth="1"/>
    <col min="13" max="13" width="28.83203125" customWidth="1"/>
    <col min="15" max="15" width="20.6640625" customWidth="1"/>
    <col min="16" max="16" width="25.6640625" customWidth="1"/>
  </cols>
  <sheetData>
    <row r="2" spans="5:16" x14ac:dyDescent="0.2">
      <c r="I2" s="5" t="s">
        <v>0</v>
      </c>
      <c r="J2" s="5" t="s">
        <v>1</v>
      </c>
      <c r="K2" s="5" t="s">
        <v>2</v>
      </c>
      <c r="L2" s="5" t="s">
        <v>3</v>
      </c>
      <c r="O2" s="19"/>
      <c r="P2" s="20"/>
    </row>
    <row r="3" spans="5:16" x14ac:dyDescent="0.2">
      <c r="I3" s="5">
        <v>1</v>
      </c>
      <c r="J3" s="6">
        <v>2011</v>
      </c>
      <c r="K3" s="7">
        <v>116462</v>
      </c>
      <c r="L3" s="31">
        <v>0.1</v>
      </c>
      <c r="M3" s="2"/>
      <c r="P3" s="20"/>
    </row>
    <row r="4" spans="5:16" ht="18" x14ac:dyDescent="0.2">
      <c r="H4" s="1"/>
      <c r="I4" s="5">
        <v>2</v>
      </c>
      <c r="J4" s="6">
        <v>2012</v>
      </c>
      <c r="K4" s="7">
        <v>125162</v>
      </c>
      <c r="L4" s="32"/>
      <c r="P4" s="20"/>
    </row>
    <row r="5" spans="5:16" ht="18" x14ac:dyDescent="0.2">
      <c r="H5" s="1"/>
      <c r="I5" s="5">
        <v>3</v>
      </c>
      <c r="J5" s="6">
        <v>2013</v>
      </c>
      <c r="K5" s="7">
        <v>165328</v>
      </c>
      <c r="L5" s="32"/>
      <c r="P5" s="20"/>
    </row>
    <row r="6" spans="5:16" ht="18" x14ac:dyDescent="0.2">
      <c r="G6" s="3"/>
      <c r="H6" s="1"/>
      <c r="I6" s="5">
        <v>4</v>
      </c>
      <c r="J6" s="6">
        <v>2014</v>
      </c>
      <c r="K6" s="7">
        <v>195670</v>
      </c>
      <c r="L6" s="32"/>
      <c r="M6" s="2"/>
      <c r="P6" s="20"/>
    </row>
    <row r="7" spans="5:16" ht="18" x14ac:dyDescent="0.2">
      <c r="H7" s="1"/>
      <c r="I7" s="5">
        <v>5</v>
      </c>
      <c r="J7" s="6">
        <v>2015</v>
      </c>
      <c r="K7" s="7">
        <v>210581</v>
      </c>
      <c r="L7" s="32"/>
      <c r="M7" s="2"/>
      <c r="P7" s="20"/>
    </row>
    <row r="8" spans="5:16" ht="18" x14ac:dyDescent="0.2">
      <c r="H8" s="1"/>
      <c r="I8" s="5">
        <v>6</v>
      </c>
      <c r="J8" s="6">
        <v>2016</v>
      </c>
      <c r="K8" s="7">
        <v>216172</v>
      </c>
      <c r="L8" s="32"/>
      <c r="M8" s="2"/>
      <c r="P8" s="20"/>
    </row>
    <row r="9" spans="5:16" ht="18" x14ac:dyDescent="0.2">
      <c r="H9" s="1"/>
      <c r="I9" s="5">
        <v>7</v>
      </c>
      <c r="J9" s="6">
        <v>2017</v>
      </c>
      <c r="K9" s="7">
        <v>262726</v>
      </c>
      <c r="L9" s="32"/>
      <c r="M9" s="2"/>
      <c r="P9" s="20"/>
    </row>
    <row r="10" spans="5:16" ht="18" x14ac:dyDescent="0.2">
      <c r="H10" s="1"/>
      <c r="I10" s="5">
        <v>8</v>
      </c>
      <c r="J10" s="6">
        <v>2018</v>
      </c>
      <c r="K10" s="7">
        <v>305903</v>
      </c>
      <c r="L10" s="32"/>
      <c r="M10" s="2"/>
      <c r="P10" s="20"/>
    </row>
    <row r="11" spans="5:16" ht="18" x14ac:dyDescent="0.2">
      <c r="H11" s="1"/>
      <c r="I11" s="5">
        <v>9</v>
      </c>
      <c r="J11" s="6">
        <v>2019</v>
      </c>
      <c r="K11" s="7">
        <v>312329</v>
      </c>
      <c r="L11" s="32"/>
      <c r="M11" s="2"/>
      <c r="P11" s="20"/>
    </row>
    <row r="12" spans="5:16" ht="18" x14ac:dyDescent="0.2">
      <c r="H12" s="1"/>
      <c r="I12" s="5">
        <v>10</v>
      </c>
      <c r="J12" s="6">
        <v>2020</v>
      </c>
      <c r="K12" s="7">
        <v>307638</v>
      </c>
      <c r="L12" s="32"/>
      <c r="M12" s="2"/>
      <c r="P12" s="20"/>
    </row>
    <row r="13" spans="5:16" ht="18" x14ac:dyDescent="0.2">
      <c r="H13" s="1"/>
      <c r="I13" s="5">
        <v>11</v>
      </c>
      <c r="J13" s="6">
        <v>2021</v>
      </c>
      <c r="K13" s="7">
        <v>410842</v>
      </c>
      <c r="L13" s="32"/>
      <c r="M13" s="2"/>
      <c r="P13" s="20"/>
    </row>
    <row r="14" spans="5:16" x14ac:dyDescent="0.2">
      <c r="P14" s="3"/>
    </row>
    <row r="15" spans="5:16" x14ac:dyDescent="0.2">
      <c r="J15" t="s">
        <v>4</v>
      </c>
      <c r="K15" s="2">
        <f>NPV(L3, K3:K13)</f>
        <v>1392539.875700972</v>
      </c>
    </row>
    <row r="16" spans="5:16" x14ac:dyDescent="0.2">
      <c r="E16" s="2"/>
      <c r="K16" s="3"/>
    </row>
    <row r="19" spans="5:12" ht="18" x14ac:dyDescent="0.2">
      <c r="E19" s="4"/>
      <c r="G19" s="8"/>
      <c r="H19" s="8"/>
    </row>
    <row r="20" spans="5:12" ht="18" x14ac:dyDescent="0.2">
      <c r="G20" s="8"/>
      <c r="H20" s="8"/>
      <c r="I20" s="5" t="s">
        <v>0</v>
      </c>
      <c r="J20" s="5" t="s">
        <v>1</v>
      </c>
      <c r="K20" s="5" t="s">
        <v>2</v>
      </c>
      <c r="L20" s="5" t="s">
        <v>3</v>
      </c>
    </row>
    <row r="21" spans="5:12" ht="18" x14ac:dyDescent="0.2">
      <c r="G21" s="8"/>
      <c r="H21" s="8"/>
      <c r="I21" s="5">
        <v>1</v>
      </c>
      <c r="J21" s="6">
        <v>2011</v>
      </c>
      <c r="K21" s="9">
        <v>79.7</v>
      </c>
      <c r="L21" s="31">
        <v>0.1</v>
      </c>
    </row>
    <row r="22" spans="5:12" ht="18" x14ac:dyDescent="0.2">
      <c r="G22" s="8"/>
      <c r="H22" s="8"/>
      <c r="I22" s="5">
        <v>2</v>
      </c>
      <c r="J22" s="6">
        <v>2012</v>
      </c>
      <c r="K22" s="9">
        <v>86.5</v>
      </c>
      <c r="L22" s="32"/>
    </row>
    <row r="23" spans="5:12" ht="18" x14ac:dyDescent="0.2">
      <c r="G23" s="8"/>
      <c r="H23" s="8"/>
      <c r="I23" s="5">
        <v>3</v>
      </c>
      <c r="J23" s="6">
        <v>2013</v>
      </c>
      <c r="K23" s="9">
        <v>90.5</v>
      </c>
      <c r="L23" s="32"/>
    </row>
    <row r="24" spans="5:12" ht="18" x14ac:dyDescent="0.2">
      <c r="G24" s="8"/>
      <c r="H24" s="8"/>
      <c r="I24" s="5">
        <v>4</v>
      </c>
      <c r="J24" s="6">
        <v>2014</v>
      </c>
      <c r="K24" s="9">
        <v>97.3</v>
      </c>
      <c r="L24" s="32"/>
    </row>
    <row r="25" spans="5:12" ht="18" x14ac:dyDescent="0.2">
      <c r="G25" s="8"/>
      <c r="H25" s="8"/>
      <c r="I25" s="5">
        <v>5</v>
      </c>
      <c r="J25" s="6">
        <v>2015</v>
      </c>
      <c r="K25" s="9">
        <v>82.8</v>
      </c>
      <c r="L25" s="32"/>
    </row>
    <row r="26" spans="5:12" ht="18" x14ac:dyDescent="0.2">
      <c r="G26" s="8"/>
      <c r="H26" s="8"/>
      <c r="I26" s="5">
        <v>6</v>
      </c>
      <c r="J26" s="6">
        <v>2016</v>
      </c>
      <c r="K26" s="9">
        <v>86.2</v>
      </c>
      <c r="L26" s="32"/>
    </row>
    <row r="27" spans="5:12" ht="18" x14ac:dyDescent="0.2">
      <c r="G27" s="8"/>
      <c r="H27" s="8"/>
      <c r="I27" s="5">
        <v>7</v>
      </c>
      <c r="J27" s="6">
        <v>2017</v>
      </c>
      <c r="K27" s="9">
        <v>81.900000000000006</v>
      </c>
      <c r="L27" s="32"/>
    </row>
    <row r="28" spans="5:12" ht="18" x14ac:dyDescent="0.2">
      <c r="G28" s="8"/>
      <c r="H28" s="8"/>
      <c r="I28" s="5">
        <v>8</v>
      </c>
      <c r="J28" s="6">
        <v>2018</v>
      </c>
      <c r="K28" s="9">
        <v>80</v>
      </c>
      <c r="L28" s="32"/>
    </row>
    <row r="29" spans="5:12" ht="18" x14ac:dyDescent="0.2">
      <c r="G29" s="8"/>
      <c r="H29" s="8"/>
      <c r="I29" s="5">
        <v>9</v>
      </c>
      <c r="J29" s="6">
        <v>2019</v>
      </c>
      <c r="K29" s="9">
        <v>73.7</v>
      </c>
      <c r="L29" s="32"/>
    </row>
    <row r="30" spans="5:12" ht="18" x14ac:dyDescent="0.2">
      <c r="I30" s="5">
        <v>10</v>
      </c>
      <c r="J30" s="6">
        <v>2020</v>
      </c>
      <c r="K30" s="9">
        <v>44.5</v>
      </c>
      <c r="L30" s="32"/>
    </row>
    <row r="31" spans="5:12" ht="18" x14ac:dyDescent="0.2">
      <c r="I31" s="5">
        <v>11</v>
      </c>
      <c r="J31" s="6">
        <v>2021</v>
      </c>
      <c r="K31" s="9">
        <v>58</v>
      </c>
      <c r="L31" s="32"/>
    </row>
    <row r="33" spans="10:11" x14ac:dyDescent="0.2">
      <c r="J33" t="s">
        <v>4</v>
      </c>
      <c r="K33" s="2">
        <f>NPV(L21, K21:K31)</f>
        <v>526.55284309233878</v>
      </c>
    </row>
    <row r="34" spans="10:11" x14ac:dyDescent="0.2">
      <c r="K34" s="3"/>
    </row>
  </sheetData>
  <mergeCells count="2">
    <mergeCell ref="L3:L13"/>
    <mergeCell ref="L21:L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E434-A0A7-6445-8F71-F54E43F5C4E2}">
  <dimension ref="A1:C3"/>
  <sheetViews>
    <sheetView zoomScale="200" workbookViewId="0">
      <selection sqref="A1:C3"/>
    </sheetView>
  </sheetViews>
  <sheetFormatPr baseColWidth="10" defaultRowHeight="16" x14ac:dyDescent="0.2"/>
  <sheetData>
    <row r="1" spans="1:3" x14ac:dyDescent="0.2">
      <c r="A1" s="15"/>
      <c r="B1" s="18" t="s">
        <v>21</v>
      </c>
      <c r="C1" s="18" t="s">
        <v>22</v>
      </c>
    </row>
    <row r="2" spans="1:3" x14ac:dyDescent="0.2">
      <c r="A2" s="16" t="s">
        <v>21</v>
      </c>
      <c r="B2" s="16">
        <v>1</v>
      </c>
      <c r="C2" s="16"/>
    </row>
    <row r="3" spans="1:3" x14ac:dyDescent="0.2">
      <c r="A3" s="17" t="s">
        <v>22</v>
      </c>
      <c r="B3" s="16">
        <v>-0.67114740741626322</v>
      </c>
      <c r="C3" s="1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6B0B-FB67-394C-9DFC-25F66B4A0598}">
  <dimension ref="A2:L48"/>
  <sheetViews>
    <sheetView zoomScale="116" workbookViewId="0">
      <selection activeCell="B10" sqref="B10:D13"/>
    </sheetView>
  </sheetViews>
  <sheetFormatPr baseColWidth="10" defaultRowHeight="16" x14ac:dyDescent="0.2"/>
  <cols>
    <col min="3" max="3" width="15" customWidth="1"/>
    <col min="4" max="5" width="12.83203125" customWidth="1"/>
    <col min="6" max="6" width="17.83203125" customWidth="1"/>
    <col min="7" max="7" width="16.5" customWidth="1"/>
    <col min="8" max="8" width="14.33203125" customWidth="1"/>
    <col min="9" max="9" width="8.83203125" customWidth="1"/>
    <col min="12" max="12" width="17.5" customWidth="1"/>
  </cols>
  <sheetData>
    <row r="2" spans="1:12" x14ac:dyDescent="0.2">
      <c r="E2" s="35" t="s">
        <v>30</v>
      </c>
      <c r="F2" s="35" t="s">
        <v>51</v>
      </c>
      <c r="G2" s="36" t="s">
        <v>31</v>
      </c>
      <c r="H2" s="36" t="s">
        <v>32</v>
      </c>
      <c r="I2" s="25" t="s">
        <v>33</v>
      </c>
      <c r="J2" s="25"/>
    </row>
    <row r="3" spans="1:12" ht="17" x14ac:dyDescent="0.2">
      <c r="A3" s="13"/>
      <c r="B3" s="13"/>
      <c r="C3" s="13"/>
      <c r="E3" s="35" t="s">
        <v>29</v>
      </c>
      <c r="F3" s="43">
        <v>344100</v>
      </c>
      <c r="G3" s="45" t="s">
        <v>54</v>
      </c>
      <c r="H3" s="44"/>
      <c r="I3" s="26">
        <v>0.125</v>
      </c>
      <c r="J3" s="26"/>
    </row>
    <row r="4" spans="1:12" ht="17" x14ac:dyDescent="0.2">
      <c r="A4" s="13"/>
      <c r="B4" s="13"/>
      <c r="C4" s="13"/>
      <c r="E4" s="35" t="s">
        <v>28</v>
      </c>
      <c r="F4" s="43">
        <v>364580</v>
      </c>
      <c r="G4" s="45" t="s">
        <v>54</v>
      </c>
      <c r="H4" s="44"/>
      <c r="I4" s="21"/>
    </row>
    <row r="5" spans="1:12" ht="17" x14ac:dyDescent="0.2">
      <c r="A5" s="13"/>
      <c r="B5" s="13"/>
      <c r="C5" s="13"/>
      <c r="E5" s="35" t="s">
        <v>27</v>
      </c>
      <c r="F5" s="43">
        <v>385702</v>
      </c>
      <c r="G5" s="45" t="s">
        <v>54</v>
      </c>
      <c r="H5" s="44"/>
      <c r="I5" s="21"/>
    </row>
    <row r="6" spans="1:12" ht="17" x14ac:dyDescent="0.2">
      <c r="A6" s="13"/>
      <c r="B6" s="13"/>
      <c r="C6" s="13"/>
      <c r="E6" s="35" t="s">
        <v>50</v>
      </c>
      <c r="F6" s="43">
        <v>412500</v>
      </c>
      <c r="G6" s="42">
        <f t="shared" ref="G6:G20" si="0">AVERAGE(F3:F6)</f>
        <v>376720.5</v>
      </c>
      <c r="H6" s="44">
        <f>G6</f>
        <v>376720.5</v>
      </c>
      <c r="I6" s="21"/>
      <c r="L6" s="22"/>
    </row>
    <row r="7" spans="1:12" ht="17" x14ac:dyDescent="0.2">
      <c r="A7" s="13"/>
      <c r="B7" s="13"/>
      <c r="C7" s="13"/>
      <c r="E7" s="35" t="s">
        <v>49</v>
      </c>
      <c r="F7" s="43">
        <v>436000</v>
      </c>
      <c r="G7" s="42">
        <f t="shared" si="0"/>
        <v>399695.5</v>
      </c>
      <c r="H7" s="44">
        <f>F7*$I$3+H6*(1-$I$3)</f>
        <v>384130.4375</v>
      </c>
      <c r="I7" s="21"/>
    </row>
    <row r="8" spans="1:12" ht="17" x14ac:dyDescent="0.2">
      <c r="A8" s="13"/>
      <c r="B8" s="13"/>
      <c r="C8" s="13"/>
      <c r="E8" s="35" t="s">
        <v>48</v>
      </c>
      <c r="F8" s="43">
        <v>418601</v>
      </c>
      <c r="G8" s="42">
        <f t="shared" si="0"/>
        <v>413200.75</v>
      </c>
      <c r="H8" s="44">
        <f t="shared" ref="H8:H17" si="1">F8*$I$3+H7*(1-$I$3)</f>
        <v>388439.2578125</v>
      </c>
      <c r="I8" s="21"/>
    </row>
    <row r="9" spans="1:12" ht="17" x14ac:dyDescent="0.2">
      <c r="A9" s="13"/>
      <c r="B9" s="13"/>
      <c r="C9" s="13"/>
      <c r="E9" s="35" t="s">
        <v>47</v>
      </c>
      <c r="F9" s="43">
        <v>418900</v>
      </c>
      <c r="G9" s="42">
        <f t="shared" si="0"/>
        <v>421500.25</v>
      </c>
      <c r="H9" s="44">
        <f t="shared" si="1"/>
        <v>392246.8505859375</v>
      </c>
      <c r="I9" s="21"/>
    </row>
    <row r="10" spans="1:12" ht="17" x14ac:dyDescent="0.2">
      <c r="A10" s="13"/>
      <c r="B10" s="33" t="s">
        <v>39</v>
      </c>
      <c r="E10" s="35" t="s">
        <v>46</v>
      </c>
      <c r="F10" s="43">
        <v>429900</v>
      </c>
      <c r="G10" s="42">
        <f t="shared" si="0"/>
        <v>425850.25</v>
      </c>
      <c r="H10" s="44">
        <f t="shared" si="1"/>
        <v>396953.49426269531</v>
      </c>
      <c r="I10" s="21"/>
    </row>
    <row r="11" spans="1:12" ht="17" x14ac:dyDescent="0.2">
      <c r="A11" s="13"/>
      <c r="B11" s="34" t="s">
        <v>40</v>
      </c>
      <c r="E11" s="35" t="s">
        <v>45</v>
      </c>
      <c r="F11" s="43">
        <v>411379</v>
      </c>
      <c r="G11" s="42">
        <f t="shared" si="0"/>
        <v>419695</v>
      </c>
      <c r="H11" s="44">
        <f t="shared" si="1"/>
        <v>398756.6824798584</v>
      </c>
      <c r="I11" s="21"/>
    </row>
    <row r="12" spans="1:12" ht="17" x14ac:dyDescent="0.2">
      <c r="A12" s="13"/>
      <c r="B12" s="34" t="s">
        <v>41</v>
      </c>
      <c r="E12" s="35" t="s">
        <v>44</v>
      </c>
      <c r="F12" s="43">
        <v>432902</v>
      </c>
      <c r="G12" s="42">
        <f t="shared" si="0"/>
        <v>423270.25</v>
      </c>
      <c r="H12" s="44">
        <f t="shared" si="1"/>
        <v>403024.8471698761</v>
      </c>
      <c r="I12" s="21"/>
    </row>
    <row r="13" spans="1:12" ht="17" x14ac:dyDescent="0.2">
      <c r="A13" s="13"/>
      <c r="B13" s="34" t="s">
        <v>42</v>
      </c>
      <c r="E13" s="35" t="s">
        <v>43</v>
      </c>
      <c r="F13" s="43">
        <v>416876</v>
      </c>
      <c r="G13" s="42">
        <f t="shared" si="0"/>
        <v>422764.25</v>
      </c>
      <c r="H13" s="44">
        <f t="shared" si="1"/>
        <v>404756.24127364159</v>
      </c>
      <c r="I13" s="21"/>
    </row>
    <row r="14" spans="1:12" ht="17" x14ac:dyDescent="0.2">
      <c r="A14" s="13"/>
      <c r="B14" s="13"/>
      <c r="C14" s="13"/>
      <c r="E14" s="35" t="s">
        <v>53</v>
      </c>
      <c r="F14" s="43">
        <v>450662</v>
      </c>
      <c r="G14" s="42">
        <f t="shared" si="0"/>
        <v>427954.75</v>
      </c>
      <c r="H14" s="44">
        <f t="shared" si="1"/>
        <v>410494.46111443639</v>
      </c>
      <c r="I14" s="21"/>
    </row>
    <row r="15" spans="1:12" ht="17" x14ac:dyDescent="0.2">
      <c r="A15" s="13"/>
      <c r="B15" s="13"/>
      <c r="C15" s="13"/>
      <c r="E15" s="35" t="s">
        <v>25</v>
      </c>
      <c r="F15" s="43">
        <v>469805</v>
      </c>
      <c r="G15" s="42">
        <f t="shared" si="0"/>
        <v>442561.25</v>
      </c>
      <c r="H15" s="44">
        <f t="shared" si="1"/>
        <v>417908.27847513184</v>
      </c>
      <c r="I15" s="21"/>
    </row>
    <row r="16" spans="1:12" ht="17" x14ac:dyDescent="0.2">
      <c r="A16" s="13"/>
      <c r="B16" s="13"/>
      <c r="C16" s="13"/>
      <c r="E16" s="35" t="s">
        <v>24</v>
      </c>
      <c r="F16" s="43">
        <v>476205</v>
      </c>
      <c r="G16" s="42">
        <f t="shared" si="0"/>
        <v>453387</v>
      </c>
      <c r="H16" s="44">
        <f t="shared" si="1"/>
        <v>425195.36866574036</v>
      </c>
      <c r="I16" s="21"/>
    </row>
    <row r="17" spans="1:9" ht="17" x14ac:dyDescent="0.2">
      <c r="A17" s="13"/>
      <c r="B17" s="13"/>
      <c r="C17" s="13"/>
      <c r="E17" s="35" t="s">
        <v>23</v>
      </c>
      <c r="F17" s="43">
        <v>493785</v>
      </c>
      <c r="G17" s="42">
        <f t="shared" si="0"/>
        <v>472614.25</v>
      </c>
      <c r="H17" s="44">
        <f t="shared" si="1"/>
        <v>433769.07258252281</v>
      </c>
      <c r="I17" s="21"/>
    </row>
    <row r="18" spans="1:9" ht="17" x14ac:dyDescent="0.2">
      <c r="E18" s="35" t="s">
        <v>36</v>
      </c>
      <c r="F18" s="34"/>
      <c r="G18" s="42">
        <f t="shared" si="0"/>
        <v>479931.66666666669</v>
      </c>
      <c r="H18" s="44"/>
      <c r="I18" s="21"/>
    </row>
    <row r="19" spans="1:9" ht="17" x14ac:dyDescent="0.2">
      <c r="E19" s="35" t="s">
        <v>35</v>
      </c>
      <c r="F19" s="34"/>
      <c r="G19" s="42">
        <f t="shared" si="0"/>
        <v>484995</v>
      </c>
      <c r="H19" s="44"/>
      <c r="I19" s="21"/>
    </row>
    <row r="20" spans="1:9" ht="17" x14ac:dyDescent="0.2">
      <c r="E20" s="35" t="s">
        <v>34</v>
      </c>
      <c r="F20" s="34"/>
      <c r="G20" s="42">
        <f t="shared" si="0"/>
        <v>493785</v>
      </c>
      <c r="H20" s="44"/>
      <c r="I20" s="21"/>
    </row>
    <row r="23" spans="1:9" x14ac:dyDescent="0.2">
      <c r="F23" s="33"/>
    </row>
    <row r="24" spans="1:9" x14ac:dyDescent="0.2">
      <c r="F24" s="34"/>
    </row>
    <row r="25" spans="1:9" x14ac:dyDescent="0.2">
      <c r="F25" s="34"/>
    </row>
    <row r="26" spans="1:9" x14ac:dyDescent="0.2">
      <c r="F26" s="34"/>
    </row>
    <row r="34" spans="1:7" ht="17" x14ac:dyDescent="0.2">
      <c r="A34" s="13" t="s">
        <v>23</v>
      </c>
      <c r="B34" s="13"/>
      <c r="C34" s="13" t="s">
        <v>55</v>
      </c>
      <c r="D34" s="13"/>
      <c r="E34" s="13"/>
      <c r="F34" s="13"/>
      <c r="G34" s="13"/>
    </row>
    <row r="35" spans="1:7" ht="17" x14ac:dyDescent="0.2">
      <c r="A35" s="13" t="s">
        <v>24</v>
      </c>
      <c r="B35" s="13"/>
      <c r="C35" s="13" t="s">
        <v>56</v>
      </c>
      <c r="D35" s="13"/>
      <c r="E35" s="13"/>
      <c r="F35" s="13"/>
      <c r="G35" s="13"/>
    </row>
    <row r="36" spans="1:7" ht="17" x14ac:dyDescent="0.2">
      <c r="A36" s="13" t="s">
        <v>25</v>
      </c>
      <c r="B36" s="13"/>
      <c r="C36" s="13" t="s">
        <v>57</v>
      </c>
      <c r="D36" s="13"/>
      <c r="E36" s="13"/>
      <c r="F36" s="13"/>
      <c r="G36" s="13"/>
    </row>
    <row r="37" spans="1:7" ht="17" x14ac:dyDescent="0.2">
      <c r="A37" s="13" t="s">
        <v>26</v>
      </c>
      <c r="B37" s="13"/>
      <c r="C37" s="13" t="s">
        <v>58</v>
      </c>
      <c r="D37" s="13"/>
      <c r="E37" s="13"/>
      <c r="F37" s="13"/>
      <c r="G37" s="13"/>
    </row>
    <row r="38" spans="1:7" ht="17" x14ac:dyDescent="0.2">
      <c r="A38" s="13" t="s">
        <v>43</v>
      </c>
      <c r="B38" s="13"/>
      <c r="C38" s="13" t="s">
        <v>59</v>
      </c>
      <c r="D38" s="13"/>
      <c r="E38" s="13"/>
      <c r="F38" s="13"/>
      <c r="G38" s="13"/>
    </row>
    <row r="39" spans="1:7" ht="17" x14ac:dyDescent="0.2">
      <c r="A39" s="13" t="s">
        <v>44</v>
      </c>
      <c r="B39" s="13"/>
      <c r="C39" s="13" t="s">
        <v>60</v>
      </c>
      <c r="D39" s="13"/>
      <c r="E39" s="13"/>
      <c r="F39" s="13"/>
      <c r="G39" s="13"/>
    </row>
    <row r="40" spans="1:7" ht="17" x14ac:dyDescent="0.2">
      <c r="A40" s="13" t="s">
        <v>45</v>
      </c>
      <c r="B40" s="13"/>
      <c r="C40" s="13" t="s">
        <v>61</v>
      </c>
      <c r="D40" s="13"/>
      <c r="E40" s="13"/>
      <c r="F40" s="13"/>
      <c r="G40" s="13"/>
    </row>
    <row r="41" spans="1:7" ht="17" x14ac:dyDescent="0.2">
      <c r="A41" s="13" t="s">
        <v>46</v>
      </c>
      <c r="B41" s="13"/>
      <c r="C41" s="13" t="s">
        <v>62</v>
      </c>
      <c r="D41" s="13"/>
      <c r="E41" s="13"/>
      <c r="F41" s="13"/>
      <c r="G41" s="13"/>
    </row>
    <row r="42" spans="1:7" ht="17" x14ac:dyDescent="0.2">
      <c r="A42" s="13" t="s">
        <v>47</v>
      </c>
      <c r="B42" s="13"/>
      <c r="C42" s="13" t="s">
        <v>63</v>
      </c>
      <c r="D42" s="13"/>
      <c r="E42" s="13"/>
      <c r="F42" s="13"/>
      <c r="G42" s="13"/>
    </row>
    <row r="43" spans="1:7" ht="17" x14ac:dyDescent="0.2">
      <c r="A43" s="13" t="s">
        <v>48</v>
      </c>
      <c r="B43" s="13"/>
      <c r="C43" s="13" t="s">
        <v>64</v>
      </c>
      <c r="D43" s="13"/>
      <c r="E43" s="13"/>
      <c r="F43" s="13"/>
      <c r="G43" s="13"/>
    </row>
    <row r="44" spans="1:7" ht="17" x14ac:dyDescent="0.2">
      <c r="A44" s="13" t="s">
        <v>49</v>
      </c>
      <c r="B44" s="13"/>
      <c r="C44" s="13" t="s">
        <v>65</v>
      </c>
      <c r="D44" s="13"/>
      <c r="E44" s="13"/>
      <c r="F44" s="13"/>
      <c r="G44" s="13"/>
    </row>
    <row r="45" spans="1:7" ht="17" x14ac:dyDescent="0.2">
      <c r="A45" s="13" t="s">
        <v>50</v>
      </c>
      <c r="B45" s="13"/>
      <c r="C45" s="13" t="s">
        <v>67</v>
      </c>
      <c r="D45" s="13"/>
      <c r="E45" s="13"/>
      <c r="F45" s="13"/>
      <c r="G45" s="13"/>
    </row>
    <row r="46" spans="1:7" ht="17" x14ac:dyDescent="0.2">
      <c r="A46" s="13" t="s">
        <v>27</v>
      </c>
      <c r="B46" s="13"/>
      <c r="C46" s="13" t="s">
        <v>66</v>
      </c>
      <c r="D46" s="13"/>
      <c r="E46" s="13"/>
      <c r="F46" s="13"/>
      <c r="G46" s="13"/>
    </row>
    <row r="47" spans="1:7" ht="17" x14ac:dyDescent="0.2">
      <c r="A47" s="13" t="s">
        <v>28</v>
      </c>
      <c r="B47" s="13"/>
      <c r="C47" s="13" t="s">
        <v>68</v>
      </c>
      <c r="D47" s="13"/>
      <c r="E47" s="13"/>
      <c r="F47" s="13"/>
      <c r="G47" s="13"/>
    </row>
    <row r="48" spans="1:7" ht="17" x14ac:dyDescent="0.2">
      <c r="A48" s="13" t="s">
        <v>29</v>
      </c>
      <c r="B48" s="13"/>
      <c r="C48" s="13" t="s">
        <v>69</v>
      </c>
      <c r="D48" s="13"/>
      <c r="E48" s="13"/>
      <c r="F48" s="13"/>
      <c r="G48" s="13"/>
    </row>
  </sheetData>
  <phoneticPr fontId="10" type="noConversion"/>
  <pageMargins left="0.7" right="0.7" top="0.75" bottom="0.75" header="0.3" footer="0.3"/>
  <ignoredErrors>
    <ignoredError sqref="G6:G2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C5D2-5522-4C43-B240-CBB8177B9BDE}">
  <dimension ref="A4:Q27"/>
  <sheetViews>
    <sheetView topLeftCell="F1" zoomScale="125" workbookViewId="0">
      <selection activeCell="M28" sqref="M28"/>
    </sheetView>
  </sheetViews>
  <sheetFormatPr baseColWidth="10" defaultRowHeight="16" x14ac:dyDescent="0.2"/>
  <cols>
    <col min="1" max="1" width="22" customWidth="1"/>
    <col min="3" max="3" width="19.6640625" customWidth="1"/>
    <col min="11" max="11" width="17" customWidth="1"/>
    <col min="12" max="12" width="15.1640625" customWidth="1"/>
    <col min="13" max="13" width="14.1640625" customWidth="1"/>
    <col min="14" max="14" width="17.6640625" customWidth="1"/>
    <col min="15" max="15" width="14.5" customWidth="1"/>
    <col min="16" max="16" width="13" customWidth="1"/>
  </cols>
  <sheetData>
    <row r="4" spans="1:17" x14ac:dyDescent="0.2">
      <c r="M4" s="35" t="s">
        <v>30</v>
      </c>
      <c r="N4" s="35" t="s">
        <v>51</v>
      </c>
      <c r="O4" s="36" t="s">
        <v>31</v>
      </c>
      <c r="P4" s="36" t="s">
        <v>32</v>
      </c>
      <c r="Q4" s="36" t="s">
        <v>33</v>
      </c>
    </row>
    <row r="5" spans="1:17" ht="17" x14ac:dyDescent="0.2">
      <c r="A5" s="13"/>
      <c r="B5" s="13"/>
      <c r="C5" s="13"/>
      <c r="D5" s="13"/>
      <c r="E5" s="13"/>
      <c r="F5" s="13"/>
      <c r="G5" s="13"/>
      <c r="H5" s="13"/>
      <c r="I5" s="13"/>
      <c r="M5" s="35" t="s">
        <v>29</v>
      </c>
      <c r="N5" s="39">
        <v>44.84</v>
      </c>
      <c r="O5" s="24" t="s">
        <v>54</v>
      </c>
      <c r="P5" s="37"/>
      <c r="Q5" s="41">
        <f>2/(1+15)</f>
        <v>0.125</v>
      </c>
    </row>
    <row r="6" spans="1:17" ht="17" x14ac:dyDescent="0.2">
      <c r="A6" s="13"/>
      <c r="B6" s="23"/>
      <c r="M6" s="35" t="s">
        <v>28</v>
      </c>
      <c r="N6" s="39">
        <v>54.37</v>
      </c>
      <c r="O6" s="24" t="s">
        <v>54</v>
      </c>
      <c r="P6" s="37"/>
      <c r="Q6" s="40"/>
    </row>
    <row r="7" spans="1:17" ht="17" x14ac:dyDescent="0.2">
      <c r="A7" s="13"/>
      <c r="B7" s="13"/>
      <c r="C7" s="13"/>
      <c r="D7" s="13"/>
      <c r="E7" s="13"/>
      <c r="F7" s="13"/>
      <c r="G7" s="13"/>
      <c r="H7" s="13"/>
      <c r="I7" s="13"/>
      <c r="M7" s="35" t="s">
        <v>27</v>
      </c>
      <c r="N7" s="39">
        <v>55.83</v>
      </c>
      <c r="O7" s="24" t="s">
        <v>54</v>
      </c>
      <c r="P7" s="37"/>
      <c r="Q7" s="40"/>
    </row>
    <row r="8" spans="1:17" ht="17" x14ac:dyDescent="0.2">
      <c r="A8" s="13"/>
      <c r="B8" s="13"/>
      <c r="C8" s="13"/>
      <c r="D8" s="13"/>
      <c r="E8" s="13"/>
      <c r="F8" s="13"/>
      <c r="G8" s="13"/>
      <c r="H8" s="13"/>
      <c r="I8" s="13"/>
      <c r="M8" s="35" t="s">
        <v>52</v>
      </c>
      <c r="N8" s="39">
        <v>57.24</v>
      </c>
      <c r="O8" s="11">
        <f t="shared" ref="O8:O22" si="0">AVERAGE(N5:N8)</f>
        <v>53.070000000000007</v>
      </c>
      <c r="P8" s="38">
        <f>O8</f>
        <v>53.070000000000007</v>
      </c>
      <c r="Q8" s="40"/>
    </row>
    <row r="9" spans="1:17" ht="17" x14ac:dyDescent="0.2">
      <c r="A9" s="13"/>
      <c r="B9" s="13"/>
      <c r="C9" s="13"/>
      <c r="D9" s="13"/>
      <c r="E9" s="13"/>
      <c r="F9" s="13"/>
      <c r="G9" s="13"/>
      <c r="H9" s="13"/>
      <c r="I9" s="13"/>
      <c r="M9" s="35" t="s">
        <v>49</v>
      </c>
      <c r="N9" s="39">
        <v>58.37</v>
      </c>
      <c r="O9" s="11">
        <f t="shared" si="0"/>
        <v>56.452500000000001</v>
      </c>
      <c r="P9" s="38">
        <f>N9*$Q$5+P8*(1-$Q$5)</f>
        <v>53.732500000000009</v>
      </c>
      <c r="Q9" s="40"/>
    </row>
    <row r="10" spans="1:17" ht="17" x14ac:dyDescent="0.2">
      <c r="A10" s="13"/>
      <c r="B10" s="23"/>
      <c r="M10" s="35" t="s">
        <v>48</v>
      </c>
      <c r="N10" s="39">
        <v>63.08</v>
      </c>
      <c r="O10" s="11">
        <f t="shared" si="0"/>
        <v>58.629999999999995</v>
      </c>
      <c r="P10" s="38">
        <f t="shared" ref="P10:P19" si="1">N10*$Q$5+P9*(1-$Q$5)</f>
        <v>54.900937500000005</v>
      </c>
      <c r="Q10" s="40"/>
    </row>
    <row r="11" spans="1:17" ht="17" x14ac:dyDescent="0.2">
      <c r="A11" s="13"/>
      <c r="B11" s="13"/>
      <c r="C11" s="13"/>
      <c r="D11" s="13"/>
      <c r="E11" s="13"/>
      <c r="F11" s="13"/>
      <c r="G11" s="13"/>
      <c r="H11" s="13"/>
      <c r="I11" s="13"/>
      <c r="M11" s="35" t="s">
        <v>47</v>
      </c>
      <c r="N11" s="39">
        <v>57.57</v>
      </c>
      <c r="O11" s="11">
        <f t="shared" si="0"/>
        <v>59.064999999999998</v>
      </c>
      <c r="P11" s="38">
        <f t="shared" si="1"/>
        <v>55.234570312500004</v>
      </c>
      <c r="Q11" s="40"/>
    </row>
    <row r="12" spans="1:17" ht="17" x14ac:dyDescent="0.2">
      <c r="A12" s="13"/>
      <c r="B12" s="13"/>
      <c r="C12" s="13"/>
      <c r="D12" s="13"/>
      <c r="E12" s="13"/>
      <c r="F12" s="13"/>
      <c r="G12" s="13"/>
      <c r="H12" s="13"/>
      <c r="I12" s="13"/>
      <c r="M12" s="35" t="s">
        <v>46</v>
      </c>
      <c r="N12" s="39">
        <v>54.52</v>
      </c>
      <c r="O12" s="11">
        <f t="shared" si="0"/>
        <v>58.384999999999998</v>
      </c>
      <c r="P12" s="38">
        <f t="shared" si="1"/>
        <v>55.145249023437501</v>
      </c>
      <c r="Q12" s="40"/>
    </row>
    <row r="13" spans="1:17" ht="17" x14ac:dyDescent="0.2">
      <c r="A13" s="13"/>
      <c r="B13" s="13"/>
      <c r="C13" s="13"/>
      <c r="D13" s="13"/>
      <c r="E13" s="13"/>
      <c r="F13" s="13"/>
      <c r="G13" s="13"/>
      <c r="H13" s="13"/>
      <c r="I13" s="13"/>
      <c r="M13" s="35" t="s">
        <v>45</v>
      </c>
      <c r="N13" s="39">
        <v>58.82</v>
      </c>
      <c r="O13" s="11">
        <f t="shared" si="0"/>
        <v>58.497500000000002</v>
      </c>
      <c r="P13" s="38">
        <f t="shared" si="1"/>
        <v>55.604592895507814</v>
      </c>
      <c r="Q13" s="40"/>
    </row>
    <row r="14" spans="1:17" ht="17" x14ac:dyDescent="0.2">
      <c r="A14" s="13"/>
      <c r="B14" s="23"/>
      <c r="M14" s="35" t="s">
        <v>44</v>
      </c>
      <c r="N14" s="39">
        <v>64.47</v>
      </c>
      <c r="O14" s="11">
        <f t="shared" si="0"/>
        <v>58.844999999999999</v>
      </c>
      <c r="P14" s="38">
        <f t="shared" si="1"/>
        <v>56.712768783569331</v>
      </c>
      <c r="Q14" s="40"/>
    </row>
    <row r="15" spans="1:17" ht="17" x14ac:dyDescent="0.2">
      <c r="A15" s="13"/>
      <c r="B15" s="13"/>
      <c r="C15" s="13"/>
      <c r="D15" s="13"/>
      <c r="E15" s="13"/>
      <c r="F15" s="13"/>
      <c r="G15" s="13"/>
      <c r="I15" s="13"/>
      <c r="M15" s="35" t="s">
        <v>43</v>
      </c>
      <c r="N15" s="39">
        <v>59.84</v>
      </c>
      <c r="O15" s="11">
        <f t="shared" si="0"/>
        <v>59.412500000000001</v>
      </c>
      <c r="P15" s="38">
        <f t="shared" si="1"/>
        <v>57.103672685623167</v>
      </c>
      <c r="Q15" s="40"/>
    </row>
    <row r="16" spans="1:17" ht="17" x14ac:dyDescent="0.2">
      <c r="A16" s="13"/>
      <c r="B16" s="13"/>
      <c r="C16" s="13"/>
      <c r="D16" s="13"/>
      <c r="E16" s="13"/>
      <c r="F16" s="13"/>
      <c r="G16" s="13"/>
      <c r="I16" s="13"/>
      <c r="M16" s="35" t="s">
        <v>53</v>
      </c>
      <c r="N16" s="39">
        <v>61.19</v>
      </c>
      <c r="O16" s="11">
        <f t="shared" si="0"/>
        <v>61.08</v>
      </c>
      <c r="P16" s="38">
        <f t="shared" si="1"/>
        <v>57.614463599920271</v>
      </c>
      <c r="Q16" s="40"/>
    </row>
    <row r="17" spans="1:17" ht="17" x14ac:dyDescent="0.2">
      <c r="A17" s="13"/>
      <c r="B17" s="13"/>
      <c r="C17" s="13"/>
      <c r="D17" s="13"/>
      <c r="E17" s="13"/>
      <c r="F17" s="13"/>
      <c r="G17" s="13"/>
      <c r="I17" s="13"/>
      <c r="M17" s="35" t="s">
        <v>25</v>
      </c>
      <c r="N17" s="39">
        <v>75.959999999999994</v>
      </c>
      <c r="O17" s="11">
        <f t="shared" si="0"/>
        <v>65.364999999999995</v>
      </c>
      <c r="P17" s="38">
        <f t="shared" si="1"/>
        <v>59.907655649930234</v>
      </c>
      <c r="Q17" s="40"/>
    </row>
    <row r="18" spans="1:17" ht="17" x14ac:dyDescent="0.2">
      <c r="A18" s="13"/>
      <c r="B18" s="23"/>
      <c r="M18" s="35" t="s">
        <v>24</v>
      </c>
      <c r="N18" s="39">
        <v>78.42</v>
      </c>
      <c r="O18" s="11">
        <f t="shared" si="0"/>
        <v>68.852500000000006</v>
      </c>
      <c r="P18" s="38">
        <f t="shared" si="1"/>
        <v>62.221698693688957</v>
      </c>
      <c r="Q18" s="40"/>
    </row>
    <row r="19" spans="1:17" ht="17" x14ac:dyDescent="0.2">
      <c r="A19" s="13"/>
      <c r="B19" s="13"/>
      <c r="C19" s="13"/>
      <c r="D19" s="13"/>
      <c r="E19" s="13"/>
      <c r="F19" s="13"/>
      <c r="G19" s="13"/>
      <c r="H19" s="13"/>
      <c r="I19" s="13"/>
      <c r="M19" s="35" t="s">
        <v>23</v>
      </c>
      <c r="N19" s="39">
        <v>81.88</v>
      </c>
      <c r="O19" s="11">
        <f t="shared" si="0"/>
        <v>74.362499999999997</v>
      </c>
      <c r="P19" s="38">
        <f t="shared" si="1"/>
        <v>64.678986356977845</v>
      </c>
      <c r="Q19" s="40"/>
    </row>
    <row r="20" spans="1:17" ht="17" x14ac:dyDescent="0.2">
      <c r="A20" s="13"/>
      <c r="B20" s="13"/>
      <c r="C20" s="13"/>
      <c r="D20" s="13"/>
      <c r="E20" s="13"/>
      <c r="F20" s="13"/>
      <c r="G20" s="13"/>
      <c r="H20" s="13"/>
      <c r="I20" s="13"/>
      <c r="M20" s="35" t="s">
        <v>36</v>
      </c>
      <c r="N20" s="34"/>
      <c r="O20" s="11">
        <f t="shared" si="0"/>
        <v>78.75333333333333</v>
      </c>
      <c r="P20" s="37"/>
      <c r="Q20" s="40"/>
    </row>
    <row r="21" spans="1:17" ht="17" x14ac:dyDescent="0.2">
      <c r="A21" s="13"/>
      <c r="B21" s="13"/>
      <c r="C21" s="13"/>
      <c r="D21" s="13"/>
      <c r="E21" s="13"/>
      <c r="F21" s="13"/>
      <c r="G21" s="13"/>
      <c r="H21" s="13"/>
      <c r="I21" s="13"/>
      <c r="M21" s="35" t="s">
        <v>35</v>
      </c>
      <c r="N21" s="34"/>
      <c r="O21" s="11">
        <f t="shared" si="0"/>
        <v>80.150000000000006</v>
      </c>
      <c r="P21" s="37"/>
      <c r="Q21" s="40"/>
    </row>
    <row r="22" spans="1:17" ht="17" x14ac:dyDescent="0.2">
      <c r="A22" s="13"/>
      <c r="B22" s="23"/>
      <c r="M22" s="35" t="s">
        <v>34</v>
      </c>
      <c r="N22" s="34"/>
      <c r="O22" s="11">
        <f t="shared" si="0"/>
        <v>81.88</v>
      </c>
      <c r="P22" s="37"/>
      <c r="Q22" s="40"/>
    </row>
    <row r="23" spans="1:17" ht="17" x14ac:dyDescent="0.2">
      <c r="A23" s="13"/>
      <c r="B23" s="13"/>
      <c r="C23" s="13"/>
      <c r="D23" s="13"/>
      <c r="E23" s="13"/>
      <c r="F23" s="13"/>
      <c r="G23" s="13"/>
      <c r="H23" s="13"/>
      <c r="I23" s="13"/>
    </row>
    <row r="24" spans="1:17" ht="17" x14ac:dyDescent="0.2">
      <c r="A24" s="13"/>
      <c r="B24" s="13"/>
      <c r="C24" s="13"/>
      <c r="D24" s="13"/>
      <c r="E24" s="13"/>
      <c r="F24" s="13"/>
      <c r="G24" s="13"/>
      <c r="H24" s="13"/>
      <c r="N24" s="33" t="s">
        <v>39</v>
      </c>
    </row>
    <row r="25" spans="1:17" x14ac:dyDescent="0.2">
      <c r="N25" s="34" t="s">
        <v>40</v>
      </c>
    </row>
    <row r="26" spans="1:17" x14ac:dyDescent="0.2">
      <c r="N26" s="34" t="s">
        <v>41</v>
      </c>
    </row>
    <row r="27" spans="1:17" x14ac:dyDescent="0.2">
      <c r="N27" s="34" t="s">
        <v>42</v>
      </c>
    </row>
  </sheetData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6D44-D85A-4B41-BC2E-DEAD2838BFA6}">
  <dimension ref="C2:D14"/>
  <sheetViews>
    <sheetView workbookViewId="0">
      <selection activeCell="N15" sqref="N15"/>
    </sheetView>
  </sheetViews>
  <sheetFormatPr baseColWidth="10" defaultRowHeight="16" x14ac:dyDescent="0.2"/>
  <cols>
    <col min="3" max="3" width="26.6640625" customWidth="1"/>
    <col min="4" max="4" width="29.6640625" customWidth="1"/>
    <col min="5" max="5" width="13.83203125" customWidth="1"/>
  </cols>
  <sheetData>
    <row r="2" spans="3:4" x14ac:dyDescent="0.2">
      <c r="C2" s="5" t="s">
        <v>19</v>
      </c>
      <c r="D2" s="5" t="s">
        <v>20</v>
      </c>
    </row>
    <row r="3" spans="3:4" ht="18" x14ac:dyDescent="0.2">
      <c r="C3" s="7">
        <v>116462</v>
      </c>
      <c r="D3" s="9">
        <v>79.7</v>
      </c>
    </row>
    <row r="4" spans="3:4" ht="18" x14ac:dyDescent="0.2">
      <c r="C4" s="7">
        <v>125162</v>
      </c>
      <c r="D4" s="9">
        <v>86.5</v>
      </c>
    </row>
    <row r="5" spans="3:4" ht="18" x14ac:dyDescent="0.2">
      <c r="C5" s="7">
        <v>165328</v>
      </c>
      <c r="D5" s="9">
        <v>90.5</v>
      </c>
    </row>
    <row r="6" spans="3:4" ht="18" x14ac:dyDescent="0.2">
      <c r="C6" s="7">
        <v>195670</v>
      </c>
      <c r="D6" s="9">
        <v>97.3</v>
      </c>
    </row>
    <row r="7" spans="3:4" ht="18" x14ac:dyDescent="0.2">
      <c r="C7" s="7">
        <v>210581</v>
      </c>
      <c r="D7" s="9">
        <v>82.8</v>
      </c>
    </row>
    <row r="8" spans="3:4" ht="18" x14ac:dyDescent="0.2">
      <c r="C8" s="7">
        <v>216172</v>
      </c>
      <c r="D8" s="9">
        <v>86.2</v>
      </c>
    </row>
    <row r="9" spans="3:4" ht="18" x14ac:dyDescent="0.2">
      <c r="C9" s="7">
        <v>262726</v>
      </c>
      <c r="D9" s="9">
        <v>81.900000000000006</v>
      </c>
    </row>
    <row r="10" spans="3:4" ht="18" x14ac:dyDescent="0.2">
      <c r="C10" s="7">
        <v>305903</v>
      </c>
      <c r="D10" s="9">
        <v>80</v>
      </c>
    </row>
    <row r="11" spans="3:4" ht="18" x14ac:dyDescent="0.2">
      <c r="C11" s="7">
        <v>312329</v>
      </c>
      <c r="D11" s="9">
        <v>73.7</v>
      </c>
    </row>
    <row r="12" spans="3:4" ht="18" x14ac:dyDescent="0.2">
      <c r="C12" s="7">
        <v>307638</v>
      </c>
      <c r="D12" s="9">
        <v>44.5</v>
      </c>
    </row>
    <row r="13" spans="3:4" ht="18" x14ac:dyDescent="0.2">
      <c r="C13" s="7">
        <v>410842</v>
      </c>
      <c r="D13" s="9">
        <v>58</v>
      </c>
    </row>
    <row r="14" spans="3:4" x14ac:dyDescent="0.2">
      <c r="D14">
        <f>CORREL(C3:C13, D3:D13)</f>
        <v>-0.67114740741626322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56DCA-201B-1845-9EBC-5CC882C46655}">
  <dimension ref="D3:J15"/>
  <sheetViews>
    <sheetView tabSelected="1" workbookViewId="0">
      <selection activeCell="K20" sqref="K20"/>
    </sheetView>
  </sheetViews>
  <sheetFormatPr baseColWidth="10" defaultRowHeight="16" x14ac:dyDescent="0.2"/>
  <cols>
    <col min="4" max="4" width="11" customWidth="1"/>
    <col min="5" max="5" width="21.33203125" customWidth="1"/>
    <col min="10" max="10" width="18.83203125" customWidth="1"/>
  </cols>
  <sheetData>
    <row r="3" spans="4:10" x14ac:dyDescent="0.2">
      <c r="E3" t="s">
        <v>18</v>
      </c>
      <c r="J3" t="s">
        <v>20</v>
      </c>
    </row>
    <row r="4" spans="4:10" ht="19" x14ac:dyDescent="0.25">
      <c r="D4" s="46" t="s">
        <v>70</v>
      </c>
      <c r="E4" s="46" t="s">
        <v>71</v>
      </c>
      <c r="I4" s="46" t="s">
        <v>70</v>
      </c>
      <c r="J4" s="46" t="s">
        <v>71</v>
      </c>
    </row>
    <row r="5" spans="4:10" ht="19" x14ac:dyDescent="0.25">
      <c r="D5" s="47">
        <v>2011</v>
      </c>
      <c r="E5" s="48" t="s">
        <v>72</v>
      </c>
      <c r="I5" s="49">
        <v>2011</v>
      </c>
      <c r="J5" s="50" t="s">
        <v>5</v>
      </c>
    </row>
    <row r="6" spans="4:10" ht="19" x14ac:dyDescent="0.25">
      <c r="D6" s="47">
        <v>2012</v>
      </c>
      <c r="E6" s="48" t="s">
        <v>73</v>
      </c>
      <c r="I6" s="49">
        <v>2012</v>
      </c>
      <c r="J6" s="50" t="s">
        <v>6</v>
      </c>
    </row>
    <row r="7" spans="4:10" ht="19" x14ac:dyDescent="0.25">
      <c r="D7" s="47">
        <v>2013</v>
      </c>
      <c r="E7" s="48" t="s">
        <v>74</v>
      </c>
      <c r="I7" s="49">
        <v>2013</v>
      </c>
      <c r="J7" s="50" t="s">
        <v>7</v>
      </c>
    </row>
    <row r="8" spans="4:10" ht="19" x14ac:dyDescent="0.25">
      <c r="D8" s="47">
        <v>2014</v>
      </c>
      <c r="E8" s="48" t="s">
        <v>75</v>
      </c>
      <c r="I8" s="49">
        <v>2014</v>
      </c>
      <c r="J8" s="50" t="s">
        <v>8</v>
      </c>
    </row>
    <row r="9" spans="4:10" ht="19" x14ac:dyDescent="0.25">
      <c r="D9" s="47">
        <v>2015</v>
      </c>
      <c r="E9" s="48" t="s">
        <v>76</v>
      </c>
      <c r="I9" s="49">
        <v>2015</v>
      </c>
      <c r="J9" s="50" t="s">
        <v>9</v>
      </c>
    </row>
    <row r="10" spans="4:10" ht="19" x14ac:dyDescent="0.25">
      <c r="D10" s="47">
        <v>2016</v>
      </c>
      <c r="E10" s="48" t="s">
        <v>77</v>
      </c>
      <c r="I10" s="49">
        <v>2016</v>
      </c>
      <c r="J10" s="50" t="s">
        <v>10</v>
      </c>
    </row>
    <row r="11" spans="4:10" ht="19" x14ac:dyDescent="0.25">
      <c r="D11" s="47">
        <v>2017</v>
      </c>
      <c r="E11" s="48" t="s">
        <v>78</v>
      </c>
      <c r="I11" s="49">
        <v>2017</v>
      </c>
      <c r="J11" s="50" t="s">
        <v>11</v>
      </c>
    </row>
    <row r="12" spans="4:10" ht="19" x14ac:dyDescent="0.25">
      <c r="D12" s="47">
        <v>2018</v>
      </c>
      <c r="E12" s="48" t="s">
        <v>79</v>
      </c>
      <c r="I12" s="49">
        <v>2018</v>
      </c>
      <c r="J12" s="50" t="s">
        <v>12</v>
      </c>
    </row>
    <row r="13" spans="4:10" ht="19" x14ac:dyDescent="0.25">
      <c r="D13" s="47">
        <v>2019</v>
      </c>
      <c r="E13" s="48" t="s">
        <v>80</v>
      </c>
      <c r="I13" s="49">
        <v>2019</v>
      </c>
      <c r="J13" s="50" t="s">
        <v>13</v>
      </c>
    </row>
    <row r="14" spans="4:10" ht="19" x14ac:dyDescent="0.25">
      <c r="D14" s="47">
        <v>2020</v>
      </c>
      <c r="E14" s="48" t="s">
        <v>81</v>
      </c>
      <c r="I14" s="49">
        <v>2020</v>
      </c>
      <c r="J14" s="50" t="s">
        <v>14</v>
      </c>
    </row>
    <row r="15" spans="4:10" ht="19" x14ac:dyDescent="0.25">
      <c r="D15" s="47">
        <v>2021</v>
      </c>
      <c r="E15" s="48" t="s">
        <v>82</v>
      </c>
      <c r="I15" s="49">
        <v>2021</v>
      </c>
      <c r="J15" s="50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C4462-055C-E745-AAB1-0CA577C765C9}">
  <dimension ref="D3:O31"/>
  <sheetViews>
    <sheetView zoomScale="84" workbookViewId="0">
      <selection activeCell="I26" sqref="I26"/>
    </sheetView>
  </sheetViews>
  <sheetFormatPr baseColWidth="10" defaultRowHeight="16" x14ac:dyDescent="0.2"/>
  <cols>
    <col min="4" max="4" width="13.1640625" customWidth="1"/>
    <col min="5" max="5" width="21" customWidth="1"/>
    <col min="6" max="6" width="21.33203125" customWidth="1"/>
    <col min="9" max="9" width="11.6640625" bestFit="1" customWidth="1"/>
    <col min="10" max="10" width="18.1640625" customWidth="1"/>
    <col min="11" max="11" width="21.83203125" customWidth="1"/>
    <col min="15" max="15" width="19.6640625" customWidth="1"/>
  </cols>
  <sheetData>
    <row r="3" spans="4:15" x14ac:dyDescent="0.2">
      <c r="E3" t="s">
        <v>37</v>
      </c>
      <c r="J3" t="s">
        <v>38</v>
      </c>
    </row>
    <row r="5" spans="4:15" ht="18" x14ac:dyDescent="0.2">
      <c r="D5" s="5" t="s">
        <v>1</v>
      </c>
      <c r="E5" s="5" t="s">
        <v>16</v>
      </c>
      <c r="F5" s="5" t="s">
        <v>17</v>
      </c>
      <c r="I5" s="27" t="s">
        <v>1</v>
      </c>
      <c r="J5" s="27" t="s">
        <v>16</v>
      </c>
      <c r="K5" s="27" t="s">
        <v>17</v>
      </c>
      <c r="N5" s="1"/>
      <c r="O5" s="1"/>
    </row>
    <row r="6" spans="4:15" ht="18" x14ac:dyDescent="0.2">
      <c r="D6" s="5">
        <v>2011</v>
      </c>
      <c r="E6" s="11">
        <v>143.68799999999999</v>
      </c>
      <c r="F6" s="10">
        <f>E6-10.254</f>
        <v>133.434</v>
      </c>
      <c r="H6" s="1"/>
      <c r="I6" s="29">
        <v>2011</v>
      </c>
      <c r="J6" s="12">
        <v>486.42899999999997</v>
      </c>
      <c r="K6" s="12">
        <f>J6-41.06</f>
        <v>445.36899999999997</v>
      </c>
      <c r="N6" s="1"/>
      <c r="O6" s="1"/>
    </row>
    <row r="7" spans="4:15" ht="18" x14ac:dyDescent="0.2">
      <c r="D7" s="5">
        <v>2012</v>
      </c>
      <c r="E7" s="11">
        <v>162.46299999999999</v>
      </c>
      <c r="F7" s="10">
        <f>E7-14.824</f>
        <v>147.63899999999998</v>
      </c>
      <c r="H7" s="1"/>
      <c r="I7" s="29">
        <v>2012</v>
      </c>
      <c r="J7" s="12">
        <v>480.68099999999998</v>
      </c>
      <c r="K7" s="12">
        <f>J7-44.88</f>
        <v>435.80099999999999</v>
      </c>
      <c r="N7" s="1"/>
      <c r="O7" s="1"/>
    </row>
    <row r="8" spans="4:15" ht="18" x14ac:dyDescent="0.2">
      <c r="D8" s="5">
        <v>2013</v>
      </c>
      <c r="E8" s="11">
        <v>182.15</v>
      </c>
      <c r="F8" s="10">
        <f>E8-19.476</f>
        <v>162.67400000000001</v>
      </c>
      <c r="H8" s="1"/>
      <c r="I8" s="29">
        <v>2013</v>
      </c>
      <c r="J8" s="12">
        <v>438.255</v>
      </c>
      <c r="K8" s="12">
        <f>J8-32.58</f>
        <v>405.67500000000001</v>
      </c>
      <c r="N8" s="1"/>
      <c r="O8" s="1"/>
    </row>
    <row r="9" spans="4:15" ht="18" x14ac:dyDescent="0.2">
      <c r="D9" s="5">
        <v>2014</v>
      </c>
      <c r="E9" s="11">
        <v>194.69900000000001</v>
      </c>
      <c r="F9" s="10">
        <f>E9-19.872</f>
        <v>174.827</v>
      </c>
      <c r="H9" s="1"/>
      <c r="I9" s="29">
        <v>2014</v>
      </c>
      <c r="J9" s="12">
        <v>411.93900000000002</v>
      </c>
      <c r="K9" s="12">
        <f>J9-32.52</f>
        <v>379.41900000000004</v>
      </c>
      <c r="N9" s="1"/>
      <c r="O9" s="1"/>
    </row>
    <row r="10" spans="4:15" ht="18" x14ac:dyDescent="0.2">
      <c r="D10" s="5">
        <v>2015</v>
      </c>
      <c r="E10" s="11">
        <v>210.94300000000001</v>
      </c>
      <c r="F10" s="10">
        <f>E10-24.083</f>
        <v>186.86</v>
      </c>
      <c r="H10" s="1"/>
      <c r="I10" s="29">
        <v>2015</v>
      </c>
      <c r="J10" s="12">
        <v>249.24799999999999</v>
      </c>
      <c r="K10" s="12">
        <f>J10-16.15</f>
        <v>233.09799999999998</v>
      </c>
      <c r="N10" s="1"/>
      <c r="O10" s="1"/>
    </row>
    <row r="11" spans="4:15" ht="18" x14ac:dyDescent="0.2">
      <c r="D11" s="5">
        <v>2016</v>
      </c>
      <c r="E11" s="11">
        <v>215.114</v>
      </c>
      <c r="F11" s="10">
        <f>E11-24.074</f>
        <v>191.04</v>
      </c>
      <c r="H11" s="1"/>
      <c r="I11" s="29">
        <v>2016</v>
      </c>
      <c r="J11" s="12">
        <v>208.114</v>
      </c>
      <c r="K11" s="12">
        <f>J11-7.84</f>
        <v>200.274</v>
      </c>
      <c r="N11" s="1"/>
      <c r="O11" s="1"/>
    </row>
    <row r="12" spans="4:15" ht="18" x14ac:dyDescent="0.2">
      <c r="D12" s="5">
        <v>2017</v>
      </c>
      <c r="E12" s="11">
        <v>239.93299999999999</v>
      </c>
      <c r="F12" s="10">
        <f>E12-44.94</f>
        <v>194.99299999999999</v>
      </c>
      <c r="H12" s="1"/>
      <c r="I12" s="29">
        <v>2017</v>
      </c>
      <c r="J12" s="12">
        <v>244.363</v>
      </c>
      <c r="K12" s="12">
        <f>J12-19.71</f>
        <v>224.65299999999999</v>
      </c>
      <c r="N12" s="1"/>
      <c r="O12" s="1"/>
    </row>
    <row r="13" spans="4:15" ht="18" x14ac:dyDescent="0.2">
      <c r="D13" s="5">
        <v>2018</v>
      </c>
      <c r="E13" s="11">
        <v>247.87299999999999</v>
      </c>
      <c r="F13" s="10">
        <f>E13-4.021</f>
        <v>243.852</v>
      </c>
      <c r="H13" s="1"/>
      <c r="I13" s="29">
        <v>2018</v>
      </c>
      <c r="J13" s="12">
        <v>290.21199999999999</v>
      </c>
      <c r="K13" s="12">
        <f>J13-20.84</f>
        <v>269.37200000000001</v>
      </c>
      <c r="N13" s="1"/>
      <c r="O13" s="1"/>
    </row>
    <row r="14" spans="4:15" ht="18" x14ac:dyDescent="0.2">
      <c r="D14" s="5">
        <v>2019</v>
      </c>
      <c r="E14" s="11">
        <v>254.61600000000001</v>
      </c>
      <c r="F14" s="10">
        <f>E14-81.417</f>
        <v>173.19900000000001</v>
      </c>
      <c r="H14" s="1"/>
      <c r="I14" s="29">
        <v>2019</v>
      </c>
      <c r="J14" s="12">
        <v>264.93799999999999</v>
      </c>
      <c r="K14" s="12">
        <f>J14-14.34</f>
        <v>250.59799999999998</v>
      </c>
      <c r="N14" s="1"/>
      <c r="O14" s="1"/>
    </row>
    <row r="15" spans="4:15" ht="18" x14ac:dyDescent="0.2">
      <c r="D15" s="5">
        <v>2020</v>
      </c>
      <c r="E15" s="11">
        <v>245.51</v>
      </c>
      <c r="F15" s="10">
        <f>E15-42.521</f>
        <v>202.98899999999998</v>
      </c>
      <c r="H15" s="1"/>
      <c r="I15" s="29">
        <v>2020</v>
      </c>
      <c r="J15" s="12">
        <v>181.50200000000001</v>
      </c>
      <c r="K15" s="12">
        <f>J15+22.44</f>
        <v>203.94200000000001</v>
      </c>
      <c r="N15" s="1"/>
      <c r="O15" s="1"/>
    </row>
    <row r="16" spans="4:15" ht="18" x14ac:dyDescent="0.2">
      <c r="D16" s="5">
        <v>2021</v>
      </c>
      <c r="E16" s="11">
        <v>354.63600000000002</v>
      </c>
      <c r="F16" s="10">
        <v>242.95</v>
      </c>
      <c r="I16" s="30">
        <v>2021</v>
      </c>
      <c r="J16" s="28">
        <v>286.64</v>
      </c>
      <c r="K16" s="14">
        <f>J16-23.04</f>
        <v>263.59999999999997</v>
      </c>
      <c r="N16" s="1"/>
      <c r="O16" s="1"/>
    </row>
    <row r="17" spans="5:12" ht="17" x14ac:dyDescent="0.2">
      <c r="E17" s="13"/>
    </row>
    <row r="20" spans="5:12" ht="18" x14ac:dyDescent="0.2">
      <c r="K20" s="1"/>
      <c r="L20" s="1"/>
    </row>
    <row r="21" spans="5:12" ht="18" x14ac:dyDescent="0.2">
      <c r="K21" s="1"/>
      <c r="L21" s="1"/>
    </row>
    <row r="22" spans="5:12" ht="18" x14ac:dyDescent="0.2">
      <c r="F22" s="1"/>
      <c r="K22" s="1"/>
      <c r="L22" s="1"/>
    </row>
    <row r="23" spans="5:12" ht="18" x14ac:dyDescent="0.2">
      <c r="F23" s="1"/>
      <c r="G23" s="1"/>
      <c r="K23" s="1"/>
      <c r="L23" s="1"/>
    </row>
    <row r="24" spans="5:12" ht="18" x14ac:dyDescent="0.2">
      <c r="F24" s="1"/>
      <c r="G24" s="1"/>
      <c r="K24" s="1"/>
      <c r="L24" s="1"/>
    </row>
    <row r="25" spans="5:12" ht="18" x14ac:dyDescent="0.2">
      <c r="F25" s="1"/>
      <c r="G25" s="1"/>
      <c r="K25" s="1"/>
      <c r="L25" s="1"/>
    </row>
    <row r="26" spans="5:12" ht="18" x14ac:dyDescent="0.2">
      <c r="F26" s="1"/>
      <c r="G26" s="1"/>
      <c r="K26" s="1"/>
      <c r="L26" s="1"/>
    </row>
    <row r="27" spans="5:12" ht="18" x14ac:dyDescent="0.2">
      <c r="F27" s="1"/>
      <c r="G27" s="1"/>
      <c r="K27" s="1"/>
      <c r="L27" s="1"/>
    </row>
    <row r="28" spans="5:12" ht="18" x14ac:dyDescent="0.2">
      <c r="F28" s="1"/>
      <c r="G28" s="1"/>
      <c r="K28" s="1"/>
      <c r="L28" s="1"/>
    </row>
    <row r="29" spans="5:12" ht="18" x14ac:dyDescent="0.2">
      <c r="F29" s="1"/>
      <c r="G29" s="1"/>
      <c r="K29" s="1"/>
      <c r="L29" s="1"/>
    </row>
    <row r="30" spans="5:12" ht="18" x14ac:dyDescent="0.2">
      <c r="F30" s="1"/>
      <c r="G30" s="1"/>
      <c r="K30" s="1"/>
      <c r="L30" s="1"/>
    </row>
    <row r="31" spans="5:12" ht="18" x14ac:dyDescent="0.2">
      <c r="F31" s="1"/>
      <c r="G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NPV</vt:lpstr>
      <vt:lpstr>Correlation result</vt:lpstr>
      <vt:lpstr>B.H MA</vt:lpstr>
      <vt:lpstr>ExxM MA</vt:lpstr>
      <vt:lpstr>B.H ExxM Correlation</vt:lpstr>
      <vt:lpstr>stock prices</vt:lpstr>
      <vt:lpstr>revenues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2022-03-05T20:24:35Z</dcterms:created>
  <dcterms:modified xsi:type="dcterms:W3CDTF">2022-03-15T18:52:45Z</dcterms:modified>
</cp:coreProperties>
</file>