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sa\Desktop\"/>
    </mc:Choice>
  </mc:AlternateContent>
  <xr:revisionPtr revIDLastSave="0" documentId="8_{16C71C7B-86B8-4D56-8DB5-C44F3BFCB417}" xr6:coauthVersionLast="47" xr6:coauthVersionMax="47" xr10:uidLastSave="{00000000-0000-0000-0000-000000000000}"/>
  <bookViews>
    <workbookView xWindow="-108" yWindow="-108" windowWidth="23256" windowHeight="12456" xr2:uid="{11E1D2AE-D1C0-4AD8-94D9-FDBE90D1F29B}"/>
  </bookViews>
  <sheets>
    <sheet name="Cash Flow Statement" sheetId="16" r:id="rId1"/>
    <sheet name="Balance Sheet" sheetId="7" r:id="rId2"/>
    <sheet name="Income Statement" sheetId="5" r:id="rId3"/>
    <sheet name="Profitability Ratio" sheetId="13" r:id="rId4"/>
    <sheet name="RELATIVE VALUATION" sheetId="15" r:id="rId5"/>
  </sheets>
  <definedNames>
    <definedName name="_xlnm._FilterDatabase" localSheetId="2" hidden="1">'Income Statement'!$A$2:$I$43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5" l="1"/>
  <c r="G68" i="5"/>
  <c r="F68" i="5"/>
  <c r="I68" i="5"/>
  <c r="E68" i="5"/>
  <c r="F58" i="5"/>
  <c r="G58" i="5"/>
  <c r="H58" i="5"/>
  <c r="I58" i="5"/>
  <c r="E58" i="5"/>
  <c r="F62" i="5"/>
  <c r="G62" i="5"/>
  <c r="H62" i="5"/>
  <c r="I62" i="5"/>
  <c r="E62" i="5"/>
  <c r="E67" i="5"/>
  <c r="F66" i="5"/>
  <c r="G66" i="5"/>
  <c r="H66" i="5"/>
  <c r="I66" i="5"/>
  <c r="E66" i="5"/>
  <c r="F57" i="5" l="1"/>
  <c r="H57" i="5" s="1"/>
  <c r="G57" i="5"/>
  <c r="I57" i="5" s="1"/>
  <c r="F64" i="5"/>
  <c r="F61" i="5"/>
  <c r="G61" i="5" s="1"/>
  <c r="O15" i="5"/>
  <c r="G4" i="5"/>
  <c r="H61" i="5" l="1"/>
  <c r="I61" i="5" s="1"/>
  <c r="D51" i="5" l="1"/>
  <c r="D48" i="5"/>
  <c r="B57" i="5" l="1"/>
  <c r="B33" i="13"/>
  <c r="F33" i="13"/>
  <c r="I33" i="13"/>
  <c r="H33" i="13"/>
  <c r="G33" i="13"/>
  <c r="E33" i="13"/>
  <c r="D33" i="13"/>
  <c r="C33" i="13"/>
  <c r="I28" i="13"/>
  <c r="H28" i="13"/>
  <c r="G28" i="13"/>
  <c r="F28" i="13"/>
  <c r="E28" i="13"/>
  <c r="D28" i="13"/>
  <c r="C28" i="13"/>
  <c r="B28" i="13"/>
  <c r="I23" i="13"/>
  <c r="H23" i="13"/>
  <c r="G23" i="13"/>
  <c r="F23" i="13"/>
  <c r="E23" i="13"/>
  <c r="D23" i="13"/>
  <c r="C23" i="13"/>
  <c r="B23" i="13"/>
  <c r="B62" i="5"/>
  <c r="D61" i="5"/>
  <c r="C61" i="5"/>
  <c r="B61" i="5"/>
  <c r="A61" i="5"/>
  <c r="B59" i="5"/>
  <c r="D64" i="5"/>
  <c r="B64" i="5"/>
  <c r="O6" i="5"/>
  <c r="C56" i="5"/>
  <c r="E3" i="5"/>
  <c r="B10" i="7"/>
  <c r="B6" i="7"/>
  <c r="B5" i="7" s="1"/>
  <c r="B4" i="7" s="1"/>
  <c r="B65" i="5"/>
  <c r="E5" i="5" l="1"/>
  <c r="E7" i="5" s="1"/>
  <c r="E42" i="5"/>
  <c r="E61" i="5"/>
  <c r="E43" i="5" s="1"/>
  <c r="D4" i="5"/>
  <c r="H4" i="5" s="1"/>
  <c r="I4" i="5" s="1"/>
  <c r="C4" i="5"/>
  <c r="D62" i="5"/>
  <c r="C62" i="5"/>
  <c r="F3" i="5"/>
  <c r="D67" i="5"/>
  <c r="C67" i="5"/>
  <c r="B67" i="5"/>
  <c r="J8" i="7"/>
  <c r="C66" i="5"/>
  <c r="M25" i="7"/>
  <c r="H23" i="7"/>
  <c r="O8" i="7"/>
  <c r="O10" i="7" s="1"/>
  <c r="D65" i="5"/>
  <c r="C65" i="5"/>
  <c r="C64" i="5"/>
  <c r="E64" i="5" s="1"/>
  <c r="D60" i="5"/>
  <c r="C60" i="5"/>
  <c r="B60" i="5"/>
  <c r="D59" i="5"/>
  <c r="C59" i="5"/>
  <c r="D58" i="5"/>
  <c r="C58" i="5"/>
  <c r="B58" i="5"/>
  <c r="D57" i="5"/>
  <c r="C57" i="5"/>
  <c r="D56" i="5"/>
  <c r="J31" i="7"/>
  <c r="H31" i="7"/>
  <c r="J25" i="7"/>
  <c r="H25" i="7"/>
  <c r="J24" i="7"/>
  <c r="H24" i="7"/>
  <c r="J17" i="7"/>
  <c r="J16" i="7"/>
  <c r="J18" i="7" s="1"/>
  <c r="J9" i="7"/>
  <c r="J10" i="7" s="1"/>
  <c r="C6" i="7"/>
  <c r="C5" i="7" s="1"/>
  <c r="C4" i="7" s="1"/>
  <c r="H9" i="7" s="1"/>
  <c r="D6" i="7"/>
  <c r="D5" i="7" s="1"/>
  <c r="C10" i="7"/>
  <c r="D10" i="7"/>
  <c r="C9" i="5"/>
  <c r="D9" i="5"/>
  <c r="B9" i="5"/>
  <c r="C7" i="5"/>
  <c r="C8" i="5" s="1"/>
  <c r="D7" i="5"/>
  <c r="D8" i="5" s="1"/>
  <c r="B7" i="5"/>
  <c r="B8" i="5" s="1"/>
  <c r="E6" i="5" l="1"/>
  <c r="F5" i="5"/>
  <c r="F7" i="5" s="1"/>
  <c r="F15" i="5"/>
  <c r="F42" i="5"/>
  <c r="D4" i="7"/>
  <c r="H17" i="7" s="1"/>
  <c r="J30" i="7"/>
  <c r="J33" i="7" s="1"/>
  <c r="M23" i="7"/>
  <c r="M26" i="7" s="1"/>
  <c r="J23" i="7"/>
  <c r="J26" i="7" s="1"/>
  <c r="H30" i="7"/>
  <c r="H33" i="7" s="1"/>
  <c r="O26" i="7" s="1"/>
  <c r="H26" i="7"/>
  <c r="H16" i="7"/>
  <c r="E10" i="5"/>
  <c r="H8" i="7"/>
  <c r="H10" i="7" s="1"/>
  <c r="H11" i="7" s="1"/>
  <c r="F47" i="5"/>
  <c r="F49" i="5"/>
  <c r="F51" i="5"/>
  <c r="F46" i="5"/>
  <c r="F17" i="5"/>
  <c r="E57" i="5"/>
  <c r="E59" i="5"/>
  <c r="E15" i="5" s="1"/>
  <c r="E65" i="5"/>
  <c r="E46" i="5" s="1"/>
  <c r="E49" i="5"/>
  <c r="B5" i="5"/>
  <c r="D5" i="5"/>
  <c r="G3" i="5"/>
  <c r="F10" i="5"/>
  <c r="F16" i="5"/>
  <c r="E60" i="5"/>
  <c r="E16" i="5" s="1"/>
  <c r="C5" i="5"/>
  <c r="D12" i="5"/>
  <c r="C12" i="5"/>
  <c r="B12" i="5"/>
  <c r="B19" i="5" s="1"/>
  <c r="B22" i="5" s="1"/>
  <c r="G5" i="5" l="1"/>
  <c r="G7" i="5" s="1"/>
  <c r="F6" i="5"/>
  <c r="G42" i="5"/>
  <c r="M27" i="7"/>
  <c r="H18" i="7"/>
  <c r="H19" i="7" s="1"/>
  <c r="C47" i="5" s="1"/>
  <c r="C48" i="5" s="1"/>
  <c r="C50" i="5" s="1"/>
  <c r="M8" i="7"/>
  <c r="M10" i="7" s="1"/>
  <c r="M11" i="7" s="1"/>
  <c r="D47" i="5" s="1"/>
  <c r="D50" i="5" s="1"/>
  <c r="H34" i="7"/>
  <c r="C51" i="5" s="1"/>
  <c r="H27" i="7"/>
  <c r="B51" i="5" s="1"/>
  <c r="D68" i="5" s="1"/>
  <c r="B47" i="5"/>
  <c r="B48" i="5" s="1"/>
  <c r="B50" i="5" s="1"/>
  <c r="F43" i="5"/>
  <c r="G43" i="5"/>
  <c r="E17" i="5"/>
  <c r="G49" i="5"/>
  <c r="G46" i="5"/>
  <c r="G16" i="5"/>
  <c r="G10" i="5"/>
  <c r="G15" i="5"/>
  <c r="H3" i="5"/>
  <c r="C13" i="5"/>
  <c r="C19" i="5"/>
  <c r="D13" i="5"/>
  <c r="D19" i="5"/>
  <c r="B13" i="5"/>
  <c r="H5" i="5" l="1"/>
  <c r="H7" i="5" s="1"/>
  <c r="I3" i="5"/>
  <c r="G6" i="5"/>
  <c r="H42" i="5"/>
  <c r="B68" i="5"/>
  <c r="C68" i="5"/>
  <c r="C52" i="5"/>
  <c r="C54" i="5" s="1"/>
  <c r="B66" i="5"/>
  <c r="D66" i="5"/>
  <c r="B52" i="5"/>
  <c r="B54" i="5" s="1"/>
  <c r="D22" i="5"/>
  <c r="B63" i="5"/>
  <c r="H43" i="5"/>
  <c r="E12" i="5"/>
  <c r="E19" i="5" s="1"/>
  <c r="E8" i="5"/>
  <c r="H51" i="5"/>
  <c r="H49" i="5"/>
  <c r="H46" i="5"/>
  <c r="H47" i="5"/>
  <c r="G17" i="5"/>
  <c r="F12" i="5"/>
  <c r="F8" i="5"/>
  <c r="G12" i="5"/>
  <c r="G13" i="5" s="1"/>
  <c r="G8" i="5"/>
  <c r="H16" i="5"/>
  <c r="H10" i="5"/>
  <c r="H15" i="5"/>
  <c r="C63" i="5"/>
  <c r="C22" i="5"/>
  <c r="D63" i="5"/>
  <c r="I5" i="5" l="1"/>
  <c r="I7" i="5" s="1"/>
  <c r="H6" i="5"/>
  <c r="I42" i="5"/>
  <c r="E51" i="5"/>
  <c r="G51" i="5" s="1"/>
  <c r="D52" i="5"/>
  <c r="D54" i="5" s="1"/>
  <c r="C23" i="5"/>
  <c r="E47" i="5"/>
  <c r="E20" i="5"/>
  <c r="I43" i="5"/>
  <c r="B23" i="5"/>
  <c r="E13" i="5"/>
  <c r="I51" i="5"/>
  <c r="I49" i="5"/>
  <c r="I46" i="5"/>
  <c r="H17" i="5"/>
  <c r="I17" i="5"/>
  <c r="G19" i="5"/>
  <c r="H8" i="5"/>
  <c r="H12" i="5"/>
  <c r="I15" i="5"/>
  <c r="I16" i="5"/>
  <c r="I10" i="5"/>
  <c r="F19" i="5"/>
  <c r="F13" i="5"/>
  <c r="E22" i="5" l="1"/>
  <c r="E23" i="5" s="1"/>
  <c r="G47" i="5"/>
  <c r="I6" i="5"/>
  <c r="F20" i="5"/>
  <c r="F22" i="5" s="1"/>
  <c r="G20" i="5"/>
  <c r="G22" i="5" s="1"/>
  <c r="H13" i="5"/>
  <c r="H19" i="5"/>
  <c r="I47" i="5" l="1"/>
  <c r="F48" i="5"/>
  <c r="F50" i="5" s="1"/>
  <c r="F52" i="5" s="1"/>
  <c r="F54" i="5" s="1"/>
  <c r="G48" i="5"/>
  <c r="G50" i="5" s="1"/>
  <c r="G52" i="5" s="1"/>
  <c r="G54" i="5" s="1"/>
  <c r="E48" i="5"/>
  <c r="E50" i="5" s="1"/>
  <c r="E52" i="5" s="1"/>
  <c r="E54" i="5" s="1"/>
  <c r="H20" i="5"/>
  <c r="H22" i="5" s="1"/>
  <c r="I8" i="5"/>
  <c r="I12" i="5"/>
  <c r="G23" i="5" l="1"/>
  <c r="F23" i="5"/>
  <c r="H23" i="5"/>
  <c r="I13" i="5"/>
  <c r="I19" i="5"/>
  <c r="I20" i="5" l="1"/>
  <c r="I22" i="5" s="1"/>
  <c r="H48" i="5"/>
  <c r="H50" i="5" s="1"/>
  <c r="H52" i="5" s="1"/>
  <c r="H54" i="5" s="1"/>
  <c r="I48" i="5" l="1"/>
  <c r="I50" i="5" s="1"/>
  <c r="I52" i="5" s="1"/>
  <c r="I53" i="5" s="1"/>
  <c r="I54" i="5" s="1"/>
  <c r="B70" i="5" s="1"/>
  <c r="B72" i="5" s="1"/>
  <c r="I23" i="5" l="1"/>
  <c r="B75" i="5"/>
  <c r="B74" i="5"/>
</calcChain>
</file>

<file path=xl/sharedStrings.xml><?xml version="1.0" encoding="utf-8"?>
<sst xmlns="http://schemas.openxmlformats.org/spreadsheetml/2006/main" count="300" uniqueCount="221">
  <si>
    <t>Total Revenue</t>
  </si>
  <si>
    <t>Operating Revenue</t>
  </si>
  <si>
    <t>Cost of Revenue</t>
  </si>
  <si>
    <t>Gross Profit</t>
  </si>
  <si>
    <t>Operating Expense</t>
  </si>
  <si>
    <t>Selling General and Administrative</t>
  </si>
  <si>
    <t>Research &amp; Development</t>
  </si>
  <si>
    <t>Operating Income</t>
  </si>
  <si>
    <t>Net Non Operating Interest Income Expense</t>
  </si>
  <si>
    <t>Other Income Expense</t>
  </si>
  <si>
    <t>Other Non Operating Income Expenses</t>
  </si>
  <si>
    <t>Pretax Income</t>
  </si>
  <si>
    <t>Tax Provision</t>
  </si>
  <si>
    <t>Net Income Common Stockholders</t>
  </si>
  <si>
    <t>Net Income</t>
  </si>
  <si>
    <t>Net Income Including Non-Controlling Interests</t>
  </si>
  <si>
    <t>Net Income Continuous Operations</t>
  </si>
  <si>
    <t>Diluted NI Available to Com Stockholders</t>
  </si>
  <si>
    <t>Basic EPS</t>
  </si>
  <si>
    <t>-</t>
  </si>
  <si>
    <t>Diluted EPS</t>
  </si>
  <si>
    <t>Basic Average Shares</t>
  </si>
  <si>
    <t>Diluted Average Shares</t>
  </si>
  <si>
    <t>Total Operating Income as Reported</t>
  </si>
  <si>
    <t>Total Expenses</t>
  </si>
  <si>
    <t>Net Income from Continuing &amp; Discontinued Operation</t>
  </si>
  <si>
    <t>Normalized Income</t>
  </si>
  <si>
    <t>Interest Income</t>
  </si>
  <si>
    <t>Interest Expense</t>
  </si>
  <si>
    <t>Net Interest Income</t>
  </si>
  <si>
    <t>EBIT</t>
  </si>
  <si>
    <t>EBITDA</t>
  </si>
  <si>
    <t>Reconciled Cost of Revenue</t>
  </si>
  <si>
    <t>Reconciled Depreciation</t>
  </si>
  <si>
    <t>Normalized EBITDA</t>
  </si>
  <si>
    <t>Total Assets</t>
  </si>
  <si>
    <t>Cash And Cash Equivalents</t>
  </si>
  <si>
    <t>Cash</t>
  </si>
  <si>
    <t>Cash Equivalents</t>
  </si>
  <si>
    <t>Other Short Term Investments</t>
  </si>
  <si>
    <t>Receivables</t>
  </si>
  <si>
    <t>Accounts receivable</t>
  </si>
  <si>
    <t>Other Receivables</t>
  </si>
  <si>
    <t>Inventory</t>
  </si>
  <si>
    <t>Other Current Assets</t>
  </si>
  <si>
    <t>Total non-current assets</t>
  </si>
  <si>
    <t>Net PPE</t>
  </si>
  <si>
    <t>Gross PPE</t>
  </si>
  <si>
    <t>Properties</t>
  </si>
  <si>
    <t>Land And Improvements</t>
  </si>
  <si>
    <t>Machinery Furniture Equipment</t>
  </si>
  <si>
    <t>Leases</t>
  </si>
  <si>
    <t>Accumulated Depreciation</t>
  </si>
  <si>
    <t>Investments And Advances</t>
  </si>
  <si>
    <t>Investment in Financial Assets</t>
  </si>
  <si>
    <t>Available for Sale Securities</t>
  </si>
  <si>
    <t>Other Non Current Assets</t>
  </si>
  <si>
    <t>Total Liabilities Net Minority Interest</t>
  </si>
  <si>
    <t>Current Liabilities</t>
  </si>
  <si>
    <t>Payables And Accrued Expenses</t>
  </si>
  <si>
    <t>Payables</t>
  </si>
  <si>
    <t>Accounts Payable</t>
  </si>
  <si>
    <t>Current Debt And Capital Lease Obligation</t>
  </si>
  <si>
    <t>Current Debt</t>
  </si>
  <si>
    <t>Commercial Paper</t>
  </si>
  <si>
    <t>Other Current Borrowings</t>
  </si>
  <si>
    <t>Current Deferred Liabilities</t>
  </si>
  <si>
    <t>Current Deferred Revenue</t>
  </si>
  <si>
    <t>Other Current Liabilities</t>
  </si>
  <si>
    <t>Total Non Current Liabilities Net Minority Interest</t>
  </si>
  <si>
    <t>Long Term Debt And Capital Lease Obligation</t>
  </si>
  <si>
    <t>Long Term Debt</t>
  </si>
  <si>
    <t>Tradeand Other Payables Non Current</t>
  </si>
  <si>
    <t>Other Non Current Liabilities</t>
  </si>
  <si>
    <t>Total Equity Gross Minority Interest</t>
  </si>
  <si>
    <t>Stockholders' Equity</t>
  </si>
  <si>
    <t>Capital Stock</t>
  </si>
  <si>
    <t>Common Stock</t>
  </si>
  <si>
    <t>Retained Earnings</t>
  </si>
  <si>
    <t>Gains Losses Not Affecting Retained Earnings</t>
  </si>
  <si>
    <t>Total Capitalization</t>
  </si>
  <si>
    <t>Common Stock Equity</t>
  </si>
  <si>
    <t>Net Tangible Assets</t>
  </si>
  <si>
    <t>Working Capital</t>
  </si>
  <si>
    <t>Invested Capital</t>
  </si>
  <si>
    <t>Tangible Book Value</t>
  </si>
  <si>
    <t>Total Debt</t>
  </si>
  <si>
    <t>Net Debt</t>
  </si>
  <si>
    <t>Share Issued</t>
  </si>
  <si>
    <t>Ordinary Shares Number</t>
  </si>
  <si>
    <t xml:space="preserve"> </t>
  </si>
  <si>
    <t>Cash Cash Equivalents &amp; Short Term Investments</t>
  </si>
  <si>
    <t>Operating Cash Flow</t>
  </si>
  <si>
    <t>Depreciation &amp; amortization</t>
  </si>
  <si>
    <t>Growth Y-o-Y</t>
  </si>
  <si>
    <t>Gross Margin</t>
  </si>
  <si>
    <t>Operating Margin</t>
  </si>
  <si>
    <t xml:space="preserve">Interest Expense </t>
  </si>
  <si>
    <t>Change in NWC</t>
  </si>
  <si>
    <t>Current Assets</t>
  </si>
  <si>
    <t>Current Assets (Prior Year)</t>
  </si>
  <si>
    <t>Current Assets (Current Year)</t>
  </si>
  <si>
    <t>Change in Current Assets</t>
  </si>
  <si>
    <t>Change in Current Liabilities</t>
  </si>
  <si>
    <t>Current Liabilities (Current Year)</t>
  </si>
  <si>
    <t>Current Liabilities (Prior Year)</t>
  </si>
  <si>
    <t>CAPEX</t>
  </si>
  <si>
    <t>FCFF</t>
  </si>
  <si>
    <t>Change in Net Debt</t>
  </si>
  <si>
    <t>Cash (Current)</t>
  </si>
  <si>
    <t>Short Term Debt (Current Year)</t>
  </si>
  <si>
    <t>Long Term Debt (Current Year)</t>
  </si>
  <si>
    <t>Cash (Prior)</t>
  </si>
  <si>
    <t>Short Term Debt (Prior Year)</t>
  </si>
  <si>
    <t>Long Term Debt (Prior Year)</t>
  </si>
  <si>
    <t>Current Year Net Debt</t>
  </si>
  <si>
    <t>Prior Year Net Debt</t>
  </si>
  <si>
    <t>FCFE</t>
  </si>
  <si>
    <t>Forecast</t>
  </si>
  <si>
    <t>Revenue Growth forecast</t>
  </si>
  <si>
    <t>CoGS as a % of Revenue</t>
  </si>
  <si>
    <t>S&amp;GA as a % of Revenue</t>
  </si>
  <si>
    <t>Interest Income as a % of revenue</t>
  </si>
  <si>
    <t>2022 (F)</t>
  </si>
  <si>
    <t>2023 (F)</t>
  </si>
  <si>
    <t>2024 (F)</t>
  </si>
  <si>
    <t>2025 (F)</t>
  </si>
  <si>
    <t>2026 (F)</t>
  </si>
  <si>
    <t>Interest Expense as a % of revenue</t>
  </si>
  <si>
    <t>Net Minority Interest</t>
  </si>
  <si>
    <t>Effective Tax Rate</t>
  </si>
  <si>
    <t>Minority Interest as a % of Revenue</t>
  </si>
  <si>
    <t>D&amp;A as a % of Revenue</t>
  </si>
  <si>
    <t>Change in NWC as a % of Revenue</t>
  </si>
  <si>
    <t>Capex as a % of Revenue</t>
  </si>
  <si>
    <t>Change in net Debt as a % of Revenue</t>
  </si>
  <si>
    <t>Period</t>
  </si>
  <si>
    <t>Other Expense or Income</t>
  </si>
  <si>
    <t>r</t>
  </si>
  <si>
    <t xml:space="preserve">Terminal Value </t>
  </si>
  <si>
    <t>g</t>
  </si>
  <si>
    <t>Company</t>
  </si>
  <si>
    <t>Apple Inc</t>
  </si>
  <si>
    <t>discount rate</t>
  </si>
  <si>
    <t>CAPM</t>
  </si>
  <si>
    <t>Risk - Free Rate</t>
  </si>
  <si>
    <t>Beta</t>
  </si>
  <si>
    <t>Market Return</t>
  </si>
  <si>
    <t>Yaahhoo</t>
  </si>
  <si>
    <t xml:space="preserve">  </t>
  </si>
  <si>
    <t>average, based on S&amp;P 500</t>
  </si>
  <si>
    <t>Comments</t>
  </si>
  <si>
    <t>Total</t>
  </si>
  <si>
    <t>Equity Value</t>
  </si>
  <si>
    <t>Share Outstanding</t>
  </si>
  <si>
    <t>Price Per Share</t>
  </si>
  <si>
    <t>Current Price</t>
  </si>
  <si>
    <t>Buy / Sell</t>
  </si>
  <si>
    <t>Upside</t>
  </si>
  <si>
    <t>ROE</t>
  </si>
  <si>
    <t>ROA</t>
  </si>
  <si>
    <t>Net Profit Margin</t>
  </si>
  <si>
    <t>n/a</t>
  </si>
  <si>
    <t>Industries P/S</t>
  </si>
  <si>
    <t>Companies P/S</t>
  </si>
  <si>
    <t>Amazon</t>
  </si>
  <si>
    <t>Alphabet</t>
  </si>
  <si>
    <t>Apple</t>
  </si>
  <si>
    <t>Microsoft</t>
  </si>
  <si>
    <t>PRICE TO SALES RATIO</t>
  </si>
  <si>
    <t>Industries P/B</t>
  </si>
  <si>
    <t>Companies P/B</t>
  </si>
  <si>
    <t>PRICE TO BOOK RATIO</t>
  </si>
  <si>
    <t>Industries P/E</t>
  </si>
  <si>
    <t>Companies P/E</t>
  </si>
  <si>
    <t>PRICE TO EARNING RATIO</t>
  </si>
  <si>
    <t>Cash and cash equivalents, end of period</t>
  </si>
  <si>
    <t>Cash and cash equivalents, beginning of period</t>
  </si>
  <si>
    <t>Net change in cash and cash equivalents</t>
  </si>
  <si>
    <t>Effect of foreign exchange rates on cash and cash equivalents</t>
  </si>
  <si>
    <t>Net cash used in investing</t>
  </si>
  <si>
    <t>Other, net</t>
  </si>
  <si>
    <t>Sales of investments</t>
  </si>
  <si>
    <t>Maturities of investments</t>
  </si>
  <si>
    <t>Purchases of investments</t>
  </si>
  <si>
    <t>Acquisition of companies, net of cash acquired, and purchases of intangible and other assets</t>
  </si>
  <si>
    <t>Additions to property and equipment</t>
  </si>
  <si>
    <t>Net cash from (used in) financing</t>
  </si>
  <si>
    <t>Common stock cash dividends paid</t>
  </si>
  <si>
    <t>Common stock repurchased</t>
  </si>
  <si>
    <t>Common stock issued</t>
  </si>
  <si>
    <t>Repayments of debt</t>
  </si>
  <si>
    <t>Cash premium on debt exchange</t>
  </si>
  <si>
    <t>Proceeds from issuance of debt</t>
  </si>
  <si>
    <t>Repayments of short-term debt, maturities of 90 days or less, net</t>
  </si>
  <si>
    <t>Net cash from operations</t>
  </si>
  <si>
    <t>Adjustments to reconcile net income to net cash from operations</t>
  </si>
  <si>
    <t>Changes in operating assets and liabilities</t>
  </si>
  <si>
    <t>Other long-term liabilities</t>
  </si>
  <si>
    <t>Other current liabilities</t>
  </si>
  <si>
    <t>Income taxes</t>
  </si>
  <si>
    <t>Unearned revenue</t>
  </si>
  <si>
    <t>Accounts payable</t>
  </si>
  <si>
    <t>Other long-term assets</t>
  </si>
  <si>
    <t>Other current assets</t>
  </si>
  <si>
    <t>Inventories</t>
  </si>
  <si>
    <t>Recognition of unearned revenue</t>
  </si>
  <si>
    <t>Deferral of unearned revenue</t>
  </si>
  <si>
    <t>Deferred income taxes</t>
  </si>
  <si>
    <t>Net recognized gains on investments and derivatives</t>
  </si>
  <si>
    <t>Stock-based compensation expense</t>
  </si>
  <si>
    <t>Depreciation, amortization, and other</t>
  </si>
  <si>
    <t>Net income</t>
  </si>
  <si>
    <t>12 months ended:</t>
  </si>
  <si>
    <t>US$ in millions</t>
  </si>
  <si>
    <t>Consolidated Cash Flow Statement</t>
  </si>
  <si>
    <t>Microsoft Corp.</t>
  </si>
  <si>
    <t>MIcrosoft's risk free rate,internet</t>
  </si>
  <si>
    <t>N/A</t>
  </si>
  <si>
    <t>Δ NWC</t>
  </si>
  <si>
    <t>Δ Net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</si>
</sst>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%"/>
    <numFmt numFmtId="166" formatCode="#,##0.00;\-#,##0.00;&quot;—&quot;"/>
    <numFmt numFmtId="167" formatCode="#,##0_);\(#,##0\);&quot;—&quot;"/>
    <numFmt numFmtId="168" formatCode="[$-409]mmm\ d\,\ yy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252525"/>
      <name val="Calibri"/>
      <family val="2"/>
    </font>
    <font>
      <sz val="9"/>
      <color rgb="FF757575"/>
      <name val="Calibri"/>
      <family val="2"/>
    </font>
    <font>
      <b/>
      <sz val="11"/>
      <color rgb="FF252525"/>
      <name val="Calibri"/>
      <family val="2"/>
    </font>
    <font>
      <sz val="11"/>
      <color theme="1"/>
      <name val="Franklin Gothic Medium Cond"/>
      <family val="2"/>
    </font>
    <font>
      <b/>
      <sz val="11"/>
      <color theme="1"/>
      <name val="Franklin Gothic Medium Cond"/>
      <family val="2"/>
    </font>
    <font>
      <b/>
      <sz val="11"/>
      <color theme="0"/>
      <name val="Franklin Gothic Medium Cond"/>
      <family val="2"/>
    </font>
    <font>
      <sz val="9"/>
      <color theme="1"/>
      <name val="Franklin Gothic Medium Cond"/>
      <family val="2"/>
    </font>
    <font>
      <b/>
      <sz val="11"/>
      <color theme="1"/>
      <name val="Franklin Gothic Demi Cond"/>
      <family val="2"/>
    </font>
    <font>
      <sz val="11"/>
      <color theme="1"/>
      <name val="Franklin Gothic Demi Cond"/>
      <family val="2"/>
    </font>
    <font>
      <b/>
      <i/>
      <sz val="11"/>
      <color theme="1"/>
      <name val="Franklin Gothic Demi Cond"/>
      <family val="2"/>
    </font>
    <font>
      <sz val="11"/>
      <color theme="0"/>
      <name val="Franklin Gothic Demi Cond"/>
      <family val="2"/>
    </font>
    <font>
      <sz val="11"/>
      <color rgb="FF9C0006"/>
      <name val="Franklin Gothic Demi Cond"/>
      <family val="2"/>
    </font>
    <font>
      <b/>
      <sz val="11"/>
      <color theme="0"/>
      <name val="Franklin Gothic Demi Cond"/>
      <family val="2"/>
    </font>
    <font>
      <b/>
      <sz val="11"/>
      <color rgb="FF252525"/>
      <name val="Franklin Gothic Medium Cond"/>
      <family val="2"/>
    </font>
    <font>
      <sz val="11"/>
      <color rgb="FF252525"/>
      <name val="Franklin Gothic Medium Cond"/>
      <family val="2"/>
    </font>
    <font>
      <b/>
      <sz val="12"/>
      <color theme="1"/>
      <name val="Franklin Gothic Medium Cond"/>
      <family val="2"/>
    </font>
    <font>
      <sz val="12"/>
      <color theme="1"/>
      <name val="Franklin Gothic Medium Cond"/>
      <family val="2"/>
    </font>
    <font>
      <b/>
      <sz val="22"/>
      <color rgb="FF7E261B"/>
      <name val="Franklin Gothic Medium Cond"/>
      <family val="2"/>
    </font>
    <font>
      <b/>
      <sz val="17"/>
      <color rgb="FF757575"/>
      <name val="Franklin Gothic Medium Cond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CECEC"/>
        <bgColor rgb="FFECECEC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252525"/>
      </top>
      <bottom/>
      <diagonal/>
    </border>
    <border>
      <left/>
      <right/>
      <top style="thin">
        <color rgb="FFE2E2E2"/>
      </top>
      <bottom/>
      <diagonal/>
    </border>
    <border>
      <left/>
      <right/>
      <top style="thin">
        <color rgb="FF252525"/>
      </top>
      <bottom style="medium">
        <color rgb="FF252525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5" borderId="7" applyNumberFormat="0" applyAlignment="0" applyProtection="0"/>
    <xf numFmtId="0" fontId="1" fillId="0" borderId="0"/>
    <xf numFmtId="0" fontId="7" fillId="0" borderId="0"/>
  </cellStyleXfs>
  <cellXfs count="115">
    <xf numFmtId="0" fontId="0" fillId="0" borderId="0" xfId="0"/>
    <xf numFmtId="10" fontId="0" fillId="0" borderId="0" xfId="1" applyNumberFormat="1" applyFont="1"/>
    <xf numFmtId="0" fontId="0" fillId="0" borderId="1" xfId="0" applyBorder="1"/>
    <xf numFmtId="0" fontId="2" fillId="0" borderId="1" xfId="0" applyFont="1" applyBorder="1"/>
    <xf numFmtId="10" fontId="0" fillId="0" borderId="0" xfId="0" applyNumberFormat="1"/>
    <xf numFmtId="10" fontId="0" fillId="0" borderId="1" xfId="1" applyNumberFormat="1" applyFont="1" applyBorder="1"/>
    <xf numFmtId="4" fontId="0" fillId="0" borderId="0" xfId="0" applyNumberFormat="1"/>
    <xf numFmtId="4" fontId="0" fillId="0" borderId="1" xfId="0" applyNumberFormat="1" applyBorder="1"/>
    <xf numFmtId="4" fontId="0" fillId="0" borderId="6" xfId="0" applyNumberFormat="1" applyBorder="1"/>
    <xf numFmtId="9" fontId="0" fillId="0" borderId="1" xfId="1" applyFont="1" applyBorder="1"/>
    <xf numFmtId="3" fontId="0" fillId="0" borderId="1" xfId="0" applyNumberFormat="1" applyBorder="1"/>
    <xf numFmtId="1" fontId="0" fillId="0" borderId="0" xfId="0" applyNumberFormat="1"/>
    <xf numFmtId="4" fontId="2" fillId="7" borderId="1" xfId="0" applyNumberFormat="1" applyFont="1" applyFill="1" applyBorder="1"/>
    <xf numFmtId="14" fontId="2" fillId="7" borderId="1" xfId="0" applyNumberFormat="1" applyFont="1" applyFill="1" applyBorder="1"/>
    <xf numFmtId="4" fontId="2" fillId="6" borderId="0" xfId="0" applyNumberFormat="1" applyFont="1" applyFill="1"/>
    <xf numFmtId="0" fontId="0" fillId="6" borderId="0" xfId="0" applyFill="1"/>
    <xf numFmtId="9" fontId="0" fillId="6" borderId="0" xfId="1" applyFont="1" applyFill="1" applyBorder="1"/>
    <xf numFmtId="10" fontId="0" fillId="0" borderId="0" xfId="1" applyNumberFormat="1" applyFont="1" applyBorder="1"/>
    <xf numFmtId="0" fontId="1" fillId="0" borderId="0" xfId="5"/>
    <xf numFmtId="0" fontId="7" fillId="0" borderId="0" xfId="6"/>
    <xf numFmtId="0" fontId="8" fillId="0" borderId="9" xfId="6" applyFont="1" applyBorder="1"/>
    <xf numFmtId="167" fontId="7" fillId="0" borderId="0" xfId="6" applyNumberFormat="1" applyAlignment="1">
      <alignment horizontal="right"/>
    </xf>
    <xf numFmtId="0" fontId="8" fillId="0" borderId="0" xfId="6" applyFont="1"/>
    <xf numFmtId="168" fontId="9" fillId="0" borderId="0" xfId="6" applyNumberFormat="1" applyFont="1" applyAlignment="1">
      <alignment horizontal="right" vertical="top"/>
    </xf>
    <xf numFmtId="167" fontId="9" fillId="0" borderId="0" xfId="6" applyNumberFormat="1" applyFont="1" applyAlignment="1">
      <alignment horizontal="right"/>
    </xf>
    <xf numFmtId="4" fontId="4" fillId="2" borderId="0" xfId="0" applyNumberFormat="1" applyFont="1" applyFill="1" applyAlignment="1">
      <alignment horizontal="center"/>
    </xf>
    <xf numFmtId="4" fontId="10" fillId="9" borderId="0" xfId="0" applyNumberFormat="1" applyFont="1" applyFill="1"/>
    <xf numFmtId="4" fontId="10" fillId="9" borderId="1" xfId="0" applyNumberFormat="1" applyFont="1" applyFill="1" applyBorder="1" applyAlignment="1">
      <alignment horizontal="center"/>
    </xf>
    <xf numFmtId="4" fontId="10" fillId="9" borderId="1" xfId="0" applyNumberFormat="1" applyFont="1" applyFill="1" applyBorder="1"/>
    <xf numFmtId="4" fontId="11" fillId="9" borderId="1" xfId="0" applyNumberFormat="1" applyFont="1" applyFill="1" applyBorder="1"/>
    <xf numFmtId="4" fontId="11" fillId="9" borderId="0" xfId="0" applyNumberFormat="1" applyFont="1" applyFill="1"/>
    <xf numFmtId="4" fontId="11" fillId="9" borderId="1" xfId="0" applyNumberFormat="1" applyFont="1" applyFill="1" applyBorder="1" applyAlignment="1">
      <alignment horizontal="center"/>
    </xf>
    <xf numFmtId="14" fontId="11" fillId="9" borderId="1" xfId="0" applyNumberFormat="1" applyFont="1" applyFill="1" applyBorder="1" applyAlignment="1">
      <alignment horizontal="center"/>
    </xf>
    <xf numFmtId="4" fontId="12" fillId="9" borderId="7" xfId="4" applyNumberFormat="1" applyFont="1" applyFill="1"/>
    <xf numFmtId="4" fontId="13" fillId="9" borderId="1" xfId="0" applyNumberFormat="1" applyFont="1" applyFill="1" applyBorder="1"/>
    <xf numFmtId="4" fontId="19" fillId="9" borderId="1" xfId="0" applyNumberFormat="1" applyFont="1" applyFill="1" applyBorder="1"/>
    <xf numFmtId="4" fontId="14" fillId="9" borderId="1" xfId="0" applyNumberFormat="1" applyFont="1" applyFill="1" applyBorder="1"/>
    <xf numFmtId="4" fontId="19" fillId="9" borderId="1" xfId="0" applyNumberFormat="1" applyFont="1" applyFill="1" applyBorder="1" applyAlignment="1">
      <alignment horizontal="right"/>
    </xf>
    <xf numFmtId="9" fontId="14" fillId="9" borderId="1" xfId="1" applyFont="1" applyFill="1" applyBorder="1"/>
    <xf numFmtId="14" fontId="14" fillId="9" borderId="1" xfId="0" applyNumberFormat="1" applyFont="1" applyFill="1" applyBorder="1" applyAlignment="1">
      <alignment horizontal="left"/>
    </xf>
    <xf numFmtId="4" fontId="15" fillId="9" borderId="1" xfId="0" applyNumberFormat="1" applyFont="1" applyFill="1" applyBorder="1"/>
    <xf numFmtId="4" fontId="16" fillId="9" borderId="5" xfId="0" applyNumberFormat="1" applyFont="1" applyFill="1" applyBorder="1"/>
    <xf numFmtId="4" fontId="15" fillId="9" borderId="5" xfId="0" applyNumberFormat="1" applyFont="1" applyFill="1" applyBorder="1"/>
    <xf numFmtId="9" fontId="15" fillId="9" borderId="5" xfId="1" applyFont="1" applyFill="1" applyBorder="1"/>
    <xf numFmtId="4" fontId="15" fillId="9" borderId="6" xfId="0" applyNumberFormat="1" applyFont="1" applyFill="1" applyBorder="1"/>
    <xf numFmtId="4" fontId="16" fillId="9" borderId="1" xfId="0" applyNumberFormat="1" applyFont="1" applyFill="1" applyBorder="1"/>
    <xf numFmtId="4" fontId="15" fillId="9" borderId="5" xfId="1" applyNumberFormat="1" applyFont="1" applyFill="1" applyBorder="1"/>
    <xf numFmtId="4" fontId="16" fillId="9" borderId="8" xfId="0" applyNumberFormat="1" applyFont="1" applyFill="1" applyBorder="1"/>
    <xf numFmtId="4" fontId="15" fillId="9" borderId="8" xfId="0" applyNumberFormat="1" applyFont="1" applyFill="1" applyBorder="1"/>
    <xf numFmtId="10" fontId="15" fillId="9" borderId="1" xfId="1" applyNumberFormat="1" applyFont="1" applyFill="1" applyBorder="1"/>
    <xf numFmtId="10" fontId="15" fillId="9" borderId="1" xfId="1" applyNumberFormat="1" applyFont="1" applyFill="1" applyBorder="1" applyAlignment="1">
      <alignment horizontal="center"/>
    </xf>
    <xf numFmtId="4" fontId="14" fillId="9" borderId="5" xfId="0" applyNumberFormat="1" applyFont="1" applyFill="1" applyBorder="1"/>
    <xf numFmtId="0" fontId="15" fillId="9" borderId="0" xfId="0" applyFont="1" applyFill="1"/>
    <xf numFmtId="0" fontId="16" fillId="9" borderId="1" xfId="0" applyFont="1" applyFill="1" applyBorder="1"/>
    <xf numFmtId="1" fontId="15" fillId="9" borderId="1" xfId="0" applyNumberFormat="1" applyFont="1" applyFill="1" applyBorder="1"/>
    <xf numFmtId="1" fontId="15" fillId="9" borderId="1" xfId="0" applyNumberFormat="1" applyFont="1" applyFill="1" applyBorder="1" applyAlignment="1">
      <alignment horizontal="center" vertical="center"/>
    </xf>
    <xf numFmtId="3" fontId="15" fillId="9" borderId="1" xfId="0" applyNumberFormat="1" applyFont="1" applyFill="1" applyBorder="1"/>
    <xf numFmtId="0" fontId="15" fillId="9" borderId="1" xfId="0" applyFont="1" applyFill="1" applyBorder="1"/>
    <xf numFmtId="4" fontId="14" fillId="9" borderId="8" xfId="0" applyNumberFormat="1" applyFont="1" applyFill="1" applyBorder="1"/>
    <xf numFmtId="1" fontId="15" fillId="9" borderId="8" xfId="0" applyNumberFormat="1" applyFont="1" applyFill="1" applyBorder="1"/>
    <xf numFmtId="0" fontId="14" fillId="9" borderId="1" xfId="0" applyFont="1" applyFill="1" applyBorder="1"/>
    <xf numFmtId="1" fontId="14" fillId="9" borderId="1" xfId="0" applyNumberFormat="1" applyFont="1" applyFill="1" applyBorder="1"/>
    <xf numFmtId="0" fontId="17" fillId="9" borderId="1" xfId="0" applyFont="1" applyFill="1" applyBorder="1"/>
    <xf numFmtId="1" fontId="17" fillId="9" borderId="1" xfId="0" applyNumberFormat="1" applyFont="1" applyFill="1" applyBorder="1"/>
    <xf numFmtId="0" fontId="14" fillId="9" borderId="0" xfId="0" applyFont="1" applyFill="1"/>
    <xf numFmtId="0" fontId="14" fillId="9" borderId="2" xfId="0" applyFont="1" applyFill="1" applyBorder="1"/>
    <xf numFmtId="0" fontId="15" fillId="9" borderId="1" xfId="0" applyFont="1" applyFill="1" applyBorder="1" applyAlignment="1">
      <alignment horizontal="center" vertical="center"/>
    </xf>
    <xf numFmtId="10" fontId="18" fillId="9" borderId="1" xfId="3" applyNumberFormat="1" applyFont="1" applyFill="1" applyBorder="1"/>
    <xf numFmtId="10" fontId="15" fillId="9" borderId="1" xfId="0" applyNumberFormat="1" applyFont="1" applyFill="1" applyBorder="1"/>
    <xf numFmtId="10" fontId="15" fillId="9" borderId="0" xfId="0" applyNumberFormat="1" applyFont="1" applyFill="1"/>
    <xf numFmtId="0" fontId="14" fillId="9" borderId="0" xfId="0" applyFont="1" applyFill="1" applyBorder="1"/>
    <xf numFmtId="0" fontId="15" fillId="9" borderId="0" xfId="0" applyFont="1" applyFill="1" applyBorder="1"/>
    <xf numFmtId="0" fontId="6" fillId="6" borderId="0" xfId="3" applyFill="1" applyAlignment="1"/>
    <xf numFmtId="0" fontId="6" fillId="6" borderId="0" xfId="3" applyFill="1"/>
    <xf numFmtId="0" fontId="5" fillId="6" borderId="0" xfId="2" applyFill="1" applyAlignment="1"/>
    <xf numFmtId="0" fontId="5" fillId="6" borderId="0" xfId="2" applyFill="1"/>
    <xf numFmtId="0" fontId="10" fillId="6" borderId="0" xfId="0" applyFont="1" applyFill="1"/>
    <xf numFmtId="0" fontId="11" fillId="6" borderId="0" xfId="0" applyFont="1" applyFill="1"/>
    <xf numFmtId="0" fontId="11" fillId="6" borderId="1" xfId="0" applyFont="1" applyFill="1" applyBorder="1"/>
    <xf numFmtId="9" fontId="11" fillId="6" borderId="1" xfId="0" applyNumberFormat="1" applyFont="1" applyFill="1" applyBorder="1"/>
    <xf numFmtId="164" fontId="11" fillId="6" borderId="1" xfId="0" applyNumberFormat="1" applyFont="1" applyFill="1" applyBorder="1"/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0" fillId="6" borderId="1" xfId="0" applyFont="1" applyFill="1" applyBorder="1"/>
    <xf numFmtId="165" fontId="10" fillId="6" borderId="1" xfId="1" applyNumberFormat="1" applyFont="1" applyFill="1" applyBorder="1"/>
    <xf numFmtId="0" fontId="10" fillId="6" borderId="1" xfId="0" applyFont="1" applyFill="1" applyBorder="1" applyAlignment="1">
      <alignment horizontal="center"/>
    </xf>
    <xf numFmtId="10" fontId="10" fillId="6" borderId="1" xfId="0" applyNumberFormat="1" applyFont="1" applyFill="1" applyBorder="1"/>
    <xf numFmtId="0" fontId="11" fillId="0" borderId="0" xfId="5" applyFont="1"/>
    <xf numFmtId="0" fontId="10" fillId="0" borderId="0" xfId="5" applyFont="1"/>
    <xf numFmtId="0" fontId="10" fillId="0" borderId="1" xfId="5" applyFont="1" applyBorder="1" applyAlignment="1">
      <alignment horizontal="center"/>
    </xf>
    <xf numFmtId="0" fontId="20" fillId="8" borderId="1" xfId="5" applyFont="1" applyFill="1" applyBorder="1" applyAlignment="1">
      <alignment horizontal="center" vertical="top"/>
    </xf>
    <xf numFmtId="0" fontId="11" fillId="0" borderId="1" xfId="5" applyFont="1" applyBorder="1" applyAlignment="1">
      <alignment horizontal="center"/>
    </xf>
    <xf numFmtId="166" fontId="21" fillId="0" borderId="1" xfId="5" applyNumberFormat="1" applyFont="1" applyBorder="1" applyAlignment="1">
      <alignment horizontal="center"/>
    </xf>
    <xf numFmtId="166" fontId="10" fillId="0" borderId="1" xfId="5" applyNumberFormat="1" applyFont="1" applyBorder="1" applyAlignment="1">
      <alignment horizontal="center"/>
    </xf>
    <xf numFmtId="0" fontId="22" fillId="0" borderId="0" xfId="5" applyFont="1"/>
    <xf numFmtId="0" fontId="23" fillId="0" borderId="0" xfId="5" applyFont="1"/>
    <xf numFmtId="0" fontId="0" fillId="0" borderId="0" xfId="0" applyBorder="1"/>
    <xf numFmtId="0" fontId="2" fillId="0" borderId="0" xfId="0" applyFont="1" applyBorder="1"/>
    <xf numFmtId="9" fontId="0" fillId="0" borderId="0" xfId="1" applyFont="1" applyBorder="1"/>
    <xf numFmtId="4" fontId="2" fillId="6" borderId="0" xfId="0" applyNumberFormat="1" applyFont="1" applyFill="1" applyBorder="1"/>
    <xf numFmtId="0" fontId="24" fillId="0" borderId="0" xfId="6" applyFont="1"/>
    <xf numFmtId="0" fontId="21" fillId="0" borderId="0" xfId="6" applyFont="1"/>
    <xf numFmtId="0" fontId="25" fillId="0" borderId="0" xfId="6" applyFont="1"/>
    <xf numFmtId="0" fontId="20" fillId="0" borderId="11" xfId="6" applyFont="1" applyBorder="1" applyAlignment="1">
      <alignment horizontal="right" vertical="top"/>
    </xf>
    <xf numFmtId="168" fontId="20" fillId="0" borderId="11" xfId="6" applyNumberFormat="1" applyFont="1" applyBorder="1" applyAlignment="1">
      <alignment horizontal="right" vertical="top"/>
    </xf>
    <xf numFmtId="0" fontId="21" fillId="0" borderId="0" xfId="6" applyFont="1" applyAlignment="1">
      <alignment horizontal="left" wrapText="1" indent="1"/>
    </xf>
    <xf numFmtId="167" fontId="21" fillId="0" borderId="0" xfId="6" applyNumberFormat="1" applyFont="1" applyAlignment="1">
      <alignment horizontal="right"/>
    </xf>
    <xf numFmtId="0" fontId="21" fillId="0" borderId="0" xfId="6" applyFont="1" applyAlignment="1">
      <alignment horizontal="left" wrapText="1" indent="2"/>
    </xf>
    <xf numFmtId="0" fontId="21" fillId="0" borderId="0" xfId="6" applyFont="1" applyAlignment="1">
      <alignment horizontal="left" wrapText="1" indent="3"/>
    </xf>
    <xf numFmtId="0" fontId="20" fillId="0" borderId="0" xfId="6" applyFont="1" applyAlignment="1">
      <alignment horizontal="left" wrapText="1" indent="4"/>
    </xf>
    <xf numFmtId="167" fontId="20" fillId="0" borderId="10" xfId="6" applyNumberFormat="1" applyFont="1" applyBorder="1" applyAlignment="1">
      <alignment horizontal="right"/>
    </xf>
    <xf numFmtId="0" fontId="20" fillId="0" borderId="0" xfId="6" applyFont="1" applyAlignment="1">
      <alignment horizontal="left" wrapText="1" indent="3"/>
    </xf>
    <xf numFmtId="0" fontId="20" fillId="0" borderId="0" xfId="6" applyFont="1" applyAlignment="1">
      <alignment horizontal="left" wrapText="1" indent="2"/>
    </xf>
    <xf numFmtId="0" fontId="20" fillId="0" borderId="0" xfId="6" applyFont="1" applyAlignment="1">
      <alignment horizontal="left" wrapText="1" indent="1"/>
    </xf>
  </cellXfs>
  <cellStyles count="7">
    <cellStyle name="Bad" xfId="3" builtinId="27"/>
    <cellStyle name="Check Cell" xfId="4" builtinId="23"/>
    <cellStyle name="Good" xfId="2" builtinId="26"/>
    <cellStyle name="Normal" xfId="0" builtinId="0"/>
    <cellStyle name="Normal 2" xfId="5" xr:uid="{FA67DDB3-82D1-48A9-A21E-7B328D642D68}"/>
    <cellStyle name="Normal 3" xfId="6" xr:uid="{E2DA19D5-1EFD-47E8-99BF-A1036D2C7308}"/>
    <cellStyle name="Percent" xfId="1" builtinId="5"/>
  </cellStyles>
  <dxfs count="1">
    <dxf>
      <fill>
        <patternFill patternType="solid">
          <fgColor rgb="FF00FF99"/>
          <bgColor rgb="FF000000"/>
        </patternFill>
      </fill>
    </dxf>
  </dxfs>
  <tableStyles count="0" defaultTableStyle="TableStyleMedium2" defaultPivotStyle="PivotStyleLight16"/>
  <colors>
    <mruColors>
      <color rgb="FF00FF99"/>
      <color rgb="FF99FF99"/>
      <color rgb="FFAEA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ROE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418747573009261E-2"/>
          <c:y val="0.16570734041131072"/>
          <c:w val="0.82692525371820724"/>
          <c:h val="0.62845016217433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'Profitability Ratio'!$A$21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'Profitability Ratio'!$B$20:$I$20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'Profitability Ratio'!$B$21:$I$21</c:f>
              <c:numCache>
                <c:formatCode>General</c:formatCode>
                <c:ptCount val="8"/>
                <c:pt idx="0">
                  <c:v>22074</c:v>
                </c:pt>
                <c:pt idx="1">
                  <c:v>12193</c:v>
                </c:pt>
                <c:pt idx="2">
                  <c:v>20539</c:v>
                </c:pt>
                <c:pt idx="3">
                  <c:v>25489</c:v>
                </c:pt>
                <c:pt idx="4">
                  <c:v>16571</c:v>
                </c:pt>
                <c:pt idx="5">
                  <c:v>39240</c:v>
                </c:pt>
                <c:pt idx="6">
                  <c:v>44281</c:v>
                </c:pt>
                <c:pt idx="7">
                  <c:v>61271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F-476C-B139-B84FB45B9933}"/>
            </c:ext>
          </c:extLst>
        </c:ser>
        <c:ser>
          <c:idx val="1"/>
          <c:order val="1"/>
          <c:tx>
            <c:strRef>
              <c:f>'Profitability Ratio'!$A$22</c:f>
              <c:strCache>
                <c:ptCount val="1"/>
                <c:pt idx="0">
                  <c:v>Stockholders' Equity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'Profitability Ratio'!$B$20:$I$20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'Profitability Ratio'!$B$22:$I$22</c:f>
              <c:numCache>
                <c:formatCode>#,##0</c:formatCode>
                <c:ptCount val="8"/>
                <c:pt idx="0">
                  <c:v>89784</c:v>
                </c:pt>
                <c:pt idx="1">
                  <c:v>80083</c:v>
                </c:pt>
                <c:pt idx="2">
                  <c:v>71997</c:v>
                </c:pt>
                <c:pt idx="3">
                  <c:v>87711</c:v>
                </c:pt>
                <c:pt idx="4">
                  <c:v>82718</c:v>
                </c:pt>
                <c:pt idx="5" formatCode="General">
                  <c:v>102330</c:v>
                </c:pt>
                <c:pt idx="6" formatCode="General">
                  <c:v>118304</c:v>
                </c:pt>
                <c:pt idx="7" formatCode="General">
                  <c:v>141988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F-476C-B139-B84FB45B9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002543"/>
        <c:axId val="1587680639"/>
      </c:barChart>
      <c:lineChart>
        <c:grouping val="standard"/>
        <c:varyColors val="0"/>
        <c:ser>
          <c:idx val="2"/>
          <c:order val="2"/>
          <c:tx>
            <c:strRef>
              <c:f>'Profitability Ratio'!$A$23</c:f>
              <c:strCache>
                <c:ptCount val="1"/>
                <c:pt idx="0">
                  <c:v>ROE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'Profitability Ratio'!$B$20:$I$20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'Profitability Ratio'!$B$23:$I$23</c:f>
              <c:numCache>
                <c:formatCode>0%</c:formatCode>
                <c:ptCount val="8"/>
                <c:pt idx="0">
                  <c:v>0.24585672280139001</c:v>
                </c:pt>
                <c:pt idx="1">
                  <c:v>0.15225453591898405</c:v>
                </c:pt>
                <c:pt idx="2">
                  <c:v>0.28527577537952969</c:v>
                </c:pt>
                <c:pt idx="3">
                  <c:v>0.29060209095780459</c:v>
                </c:pt>
                <c:pt idx="4">
                  <c:v>0.20033124591987234</c:v>
                </c:pt>
                <c:pt idx="5">
                  <c:v>0.38346525945470539</c:v>
                </c:pt>
                <c:pt idx="6">
                  <c:v>0.37429841763592103</c:v>
                </c:pt>
                <c:pt idx="7">
                  <c:v>0.43152238217314137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AF-476C-B139-B84FB45B9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669823"/>
        <c:axId val="1587669407"/>
      </c:lineChart>
      <c:dateAx>
        <c:axId val="157700254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680639"/>
        <c:crosses val="autoZero"/>
        <c:auto val="1"/>
        <c:lblOffset val="100"/>
        <c:baseTimeUnit val="years"/>
      </c:dateAx>
      <c:valAx>
        <c:axId val="158768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002543"/>
        <c:crosses val="autoZero"/>
        <c:crossBetween val="between"/>
      </c:valAx>
      <c:valAx>
        <c:axId val="1587669407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669823"/>
        <c:crosses val="max"/>
        <c:crossBetween val="between"/>
      </c:valAx>
      <c:dateAx>
        <c:axId val="1587669823"/>
        <c:scaling>
          <c:orientation val="minMax"/>
        </c:scaling>
        <c:delete val="1"/>
        <c:axPos val="b"/>
        <c:numFmt formatCode="m/d/yyyy" sourceLinked="1"/>
        <c:majorTickMark val="none"/>
        <c:minorTickMark val="none"/>
        <c:tickLblPos val="nextTo"/>
        <c:crossAx val="1587669407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'Profitability Ratio'!$A$26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'Profitability Ratio'!$B$25:$I$25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'Profitability Ratio'!$B$26:$I$26</c:f>
              <c:numCache>
                <c:formatCode>General</c:formatCode>
                <c:ptCount val="8"/>
                <c:pt idx="0">
                  <c:v>22074</c:v>
                </c:pt>
                <c:pt idx="1">
                  <c:v>12193</c:v>
                </c:pt>
                <c:pt idx="2">
                  <c:v>20539</c:v>
                </c:pt>
                <c:pt idx="3">
                  <c:v>25489</c:v>
                </c:pt>
                <c:pt idx="4">
                  <c:v>16571</c:v>
                </c:pt>
                <c:pt idx="5">
                  <c:v>39240</c:v>
                </c:pt>
                <c:pt idx="6">
                  <c:v>44281</c:v>
                </c:pt>
                <c:pt idx="7">
                  <c:v>61271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E-46C3-81AC-B4FA015B8DA7}"/>
            </c:ext>
          </c:extLst>
        </c:ser>
        <c:ser>
          <c:idx val="1"/>
          <c:order val="1"/>
          <c:tx>
            <c:strRef>
              <c:f>'Profitability Ratio'!$A$27</c:f>
              <c:strCache>
                <c:ptCount val="1"/>
                <c:pt idx="0">
                  <c:v>Total Assets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'Profitability Ratio'!$B$25:$I$25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'Profitability Ratio'!$B$27:$I$27</c:f>
              <c:numCache>
                <c:formatCode>#,##0</c:formatCode>
                <c:ptCount val="8"/>
                <c:pt idx="0">
                  <c:v>172384</c:v>
                </c:pt>
                <c:pt idx="1">
                  <c:v>174472</c:v>
                </c:pt>
                <c:pt idx="2">
                  <c:v>193468</c:v>
                </c:pt>
                <c:pt idx="3">
                  <c:v>250312</c:v>
                </c:pt>
                <c:pt idx="4">
                  <c:v>258848</c:v>
                </c:pt>
                <c:pt idx="5" formatCode="General">
                  <c:v>286556</c:v>
                </c:pt>
                <c:pt idx="6" formatCode="General">
                  <c:v>301311</c:v>
                </c:pt>
                <c:pt idx="7" formatCode="General">
                  <c:v>333779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1E-46C3-81AC-B4FA015B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6484831"/>
        <c:axId val="1735808543"/>
      </c:barChart>
      <c:lineChart>
        <c:grouping val="standard"/>
        <c:varyColors val="0"/>
        <c:ser>
          <c:idx val="2"/>
          <c:order val="2"/>
          <c:tx>
            <c:strRef>
              <c:f>'Profitability Ratio'!$A$28</c:f>
              <c:strCache>
                <c:ptCount val="1"/>
                <c:pt idx="0">
                  <c:v>ROA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'Profitability Ratio'!$B$25:$I$25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'Profitability Ratio'!$B$28:$I$28</c:f>
              <c:numCache>
                <c:formatCode>0%</c:formatCode>
                <c:ptCount val="8"/>
                <c:pt idx="0">
                  <c:v>0.12805132726935214</c:v>
                </c:pt>
                <c:pt idx="1">
                  <c:v>6.988513916273098E-2</c:v>
                </c:pt>
                <c:pt idx="2">
                  <c:v>0.10616225939173403</c:v>
                </c:pt>
                <c:pt idx="3">
                  <c:v>0.10182891751094635</c:v>
                </c:pt>
                <c:pt idx="4">
                  <c:v>6.4018265545802935E-2</c:v>
                </c:pt>
                <c:pt idx="5">
                  <c:v>0.13693658482111698</c:v>
                </c:pt>
                <c:pt idx="6">
                  <c:v>0.14696111326835065</c:v>
                </c:pt>
                <c:pt idx="7">
                  <c:v>0.18356757015869782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1E-46C3-81AC-B4FA015B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807711"/>
        <c:axId val="1735807295"/>
      </c:lineChart>
      <c:dateAx>
        <c:axId val="1586484831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808543"/>
        <c:crosses val="autoZero"/>
        <c:auto val="1"/>
        <c:lblOffset val="100"/>
        <c:baseTimeUnit val="years"/>
      </c:dateAx>
      <c:valAx>
        <c:axId val="173580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484831"/>
        <c:crosses val="autoZero"/>
        <c:crossBetween val="between"/>
      </c:valAx>
      <c:valAx>
        <c:axId val="1735807295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807711"/>
        <c:crosses val="max"/>
        <c:crossBetween val="between"/>
      </c:valAx>
      <c:dateAx>
        <c:axId val="1735807711"/>
        <c:scaling>
          <c:orientation val="minMax"/>
        </c:scaling>
        <c:delete val="1"/>
        <c:axPos val="b"/>
        <c:numFmt formatCode="m/d/yyyy" sourceLinked="1"/>
        <c:majorTickMark val="none"/>
        <c:minorTickMark val="none"/>
        <c:tickLblPos val="nextTo"/>
        <c:crossAx val="1735807295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Profit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'Profitability Ratio'!$A$31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'Profitability Ratio'!$B$30:$I$30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'Profitability Ratio'!$B$31:$I$31</c:f>
              <c:numCache>
                <c:formatCode>#,##0</c:formatCode>
                <c:ptCount val="8"/>
                <c:pt idx="0">
                  <c:v>22074</c:v>
                </c:pt>
                <c:pt idx="1">
                  <c:v>12193</c:v>
                </c:pt>
                <c:pt idx="2">
                  <c:v>20539</c:v>
                </c:pt>
                <c:pt idx="3">
                  <c:v>25489</c:v>
                </c:pt>
                <c:pt idx="4">
                  <c:v>16571</c:v>
                </c:pt>
                <c:pt idx="5" formatCode="General">
                  <c:v>39240</c:v>
                </c:pt>
                <c:pt idx="6" formatCode="General">
                  <c:v>44281</c:v>
                </c:pt>
                <c:pt idx="7" formatCode="General">
                  <c:v>61271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C-4313-AAED-E6E3991E9CAD}"/>
            </c:ext>
          </c:extLst>
        </c:ser>
        <c:ser>
          <c:idx val="1"/>
          <c:order val="1"/>
          <c:tx>
            <c:strRef>
              <c:f>'Profitability Ratio'!$A$32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'Profitability Ratio'!$B$30:$I$30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'Profitability Ratio'!$B$32:$I$32</c:f>
              <c:numCache>
                <c:formatCode>General</c:formatCode>
                <c:ptCount val="8"/>
                <c:pt idx="0">
                  <c:v>86830</c:v>
                </c:pt>
                <c:pt idx="1">
                  <c:v>93580</c:v>
                </c:pt>
                <c:pt idx="2">
                  <c:v>85320</c:v>
                </c:pt>
                <c:pt idx="3">
                  <c:v>89950</c:v>
                </c:pt>
                <c:pt idx="4">
                  <c:v>110360</c:v>
                </c:pt>
                <c:pt idx="5">
                  <c:v>125843</c:v>
                </c:pt>
                <c:pt idx="6">
                  <c:v>143015</c:v>
                </c:pt>
                <c:pt idx="7">
                  <c:v>168088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C-4313-AAED-E6E3991E9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069999"/>
        <c:axId val="1593071663"/>
      </c:barChart>
      <c:lineChart>
        <c:grouping val="standard"/>
        <c:varyColors val="0"/>
        <c:ser>
          <c:idx val="2"/>
          <c:order val="2"/>
          <c:tx>
            <c:strRef>
              <c:f>'Profitability Ratio'!$A$33</c:f>
              <c:strCache>
                <c:ptCount val="1"/>
                <c:pt idx="0">
                  <c:v>Net Profit Margin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'Profitability Ratio'!$B$30:$I$30</c:f>
              <c:numCache>
                <c:formatCode>m/d/yyyy</c:formatCode>
                <c:ptCount val="8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  <c:pt idx="6">
                  <c:v>44196</c:v>
                </c:pt>
                <c:pt idx="7">
                  <c:v>44561</c:v>
                </c:pt>
              </c:numCache>
            </c:numRef>
          </c:cat>
          <c:val>
            <c:numRef>
              <c:f>'Profitability Ratio'!$B$33:$I$33</c:f>
              <c:numCache>
                <c:formatCode>0.00%</c:formatCode>
                <c:ptCount val="8"/>
                <c:pt idx="0">
                  <c:v>0.25422089139698262</c:v>
                </c:pt>
                <c:pt idx="1">
                  <c:v>0.13029493481513144</c:v>
                </c:pt>
                <c:pt idx="2">
                  <c:v>0.2407290201593999</c:v>
                </c:pt>
                <c:pt idx="3">
                  <c:v>0.28336853807670931</c:v>
                </c:pt>
                <c:pt idx="4">
                  <c:v>0.15015404131931859</c:v>
                </c:pt>
                <c:pt idx="5">
                  <c:v>0.31181710544090652</c:v>
                </c:pt>
                <c:pt idx="6">
                  <c:v>0.30962486452470023</c:v>
                </c:pt>
                <c:pt idx="7">
                  <c:v>0.36451739564989766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C-4313-AAED-E6E3991E9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70831"/>
        <c:axId val="1593072079"/>
      </c:lineChart>
      <c:dateAx>
        <c:axId val="1593069999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071663"/>
        <c:crosses val="autoZero"/>
        <c:auto val="1"/>
        <c:lblOffset val="100"/>
        <c:baseTimeUnit val="years"/>
      </c:dateAx>
      <c:valAx>
        <c:axId val="159307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069999"/>
        <c:crosses val="autoZero"/>
        <c:crossBetween val="between"/>
      </c:valAx>
      <c:valAx>
        <c:axId val="1593072079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070831"/>
        <c:crosses val="max"/>
        <c:crossBetween val="between"/>
      </c:valAx>
      <c:dateAx>
        <c:axId val="1593070831"/>
        <c:scaling>
          <c:orientation val="minMax"/>
        </c:scaling>
        <c:delete val="1"/>
        <c:axPos val="b"/>
        <c:numFmt formatCode="m/d/yyyy" sourceLinked="1"/>
        <c:majorTickMark val="none"/>
        <c:minorTickMark val="none"/>
        <c:tickLblPos val="nextTo"/>
        <c:crossAx val="1593072079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Price-to-Earning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'RELATIVE VALUATION'!$A$4</c:f>
              <c:strCache>
                <c:ptCount val="1"/>
                <c:pt idx="0">
                  <c:v>Companies P/E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'RELATIVE VALUATION'!$B$3:$E$3</c:f>
              <c:strCache>
                <c:ptCount val="4"/>
                <c:pt idx="0">
                  <c:v>Microsoft</c:v>
                </c:pt>
                <c:pt idx="1">
                  <c:v>Apple</c:v>
                </c:pt>
                <c:pt idx="2">
                  <c:v>Alphabet</c:v>
                </c:pt>
                <c:pt idx="3">
                  <c:v>Amazon</c:v>
                </c:pt>
              </c:strCache>
            </c:strRef>
          </c:cat>
          <c:val>
            <c:numRef>
              <c:f>'RELATIVE VALUATION'!$B$4:$E$4</c:f>
              <c:numCache>
                <c:formatCode>#,##0.00;\-#,##0.00;"—"</c:formatCode>
                <c:ptCount val="4"/>
                <c:pt idx="0">
                  <c:v>34.224510813594229</c:v>
                </c:pt>
                <c:pt idx="1">
                  <c:v>29.185430463576157</c:v>
                </c:pt>
                <c:pt idx="2">
                  <c:v>26.774491682070238</c:v>
                </c:pt>
                <c:pt idx="3">
                  <c:v>51.333333333333329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3-45AC-9B24-6CE40F6D2A80}"/>
            </c:ext>
          </c:extLst>
        </c:ser>
        <c:ser>
          <c:idx val="1"/>
          <c:order val="1"/>
          <c:tx>
            <c:strRef>
              <c:f>'RELATIVE VALUATION'!$A$5</c:f>
              <c:strCache>
                <c:ptCount val="1"/>
                <c:pt idx="0">
                  <c:v>Industries P/E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'RELATIVE VALUATION'!$B$3:$E$3</c:f>
              <c:strCache>
                <c:ptCount val="4"/>
                <c:pt idx="0">
                  <c:v>Microsoft</c:v>
                </c:pt>
                <c:pt idx="1">
                  <c:v>Apple</c:v>
                </c:pt>
                <c:pt idx="2">
                  <c:v>Alphabet</c:v>
                </c:pt>
                <c:pt idx="3">
                  <c:v>Amazon</c:v>
                </c:pt>
              </c:strCache>
            </c:strRef>
          </c:cat>
          <c:val>
            <c:numRef>
              <c:f>'RELATIVE VALUATION'!$B$5:$E$5</c:f>
              <c:numCache>
                <c:formatCode>#,##0.00;\-#,##0.00;"—"</c:formatCode>
                <c:ptCount val="4"/>
                <c:pt idx="0">
                  <c:v>43.72</c:v>
                </c:pt>
                <c:pt idx="1">
                  <c:v>25.11</c:v>
                </c:pt>
                <c:pt idx="2">
                  <c:v>16.510000000000002</c:v>
                </c:pt>
                <c:pt idx="3">
                  <c:v>13.39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3-45AC-9B24-6CE40F6D2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4958592"/>
        <c:axId val="255591168"/>
      </c:lineChart>
      <c:catAx>
        <c:axId val="254958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591168"/>
        <c:crosses val="autoZero"/>
        <c:auto val="1"/>
        <c:lblAlgn val="ctr"/>
        <c:lblOffset val="100"/>
        <c:noMultiLvlLbl val="0"/>
      </c:catAx>
      <c:valAx>
        <c:axId val="2555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;\-#,##0.00;&quot;—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58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Price-to-Book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'RELATIVE VALUATION'!$A$11</c:f>
              <c:strCache>
                <c:ptCount val="1"/>
                <c:pt idx="0">
                  <c:v>Companies P/B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'RELATIVE VALUATION'!$B$10:$E$10</c:f>
              <c:strCache>
                <c:ptCount val="4"/>
                <c:pt idx="0">
                  <c:v>Microsoft</c:v>
                </c:pt>
                <c:pt idx="1">
                  <c:v>Apple</c:v>
                </c:pt>
                <c:pt idx="2">
                  <c:v>Alphabet</c:v>
                </c:pt>
                <c:pt idx="3">
                  <c:v>Amazon</c:v>
                </c:pt>
              </c:strCache>
            </c:strRef>
          </c:cat>
          <c:val>
            <c:numRef>
              <c:f>'RELATIVE VALUATION'!$B$11:$E$11</c:f>
              <c:numCache>
                <c:formatCode>#,##0.00;\-#,##0.00;"—"</c:formatCode>
                <c:ptCount val="4"/>
                <c:pt idx="0">
                  <c:v>15.579934364744492</c:v>
                </c:pt>
                <c:pt idx="1">
                  <c:v>18.809999999999999</c:v>
                </c:pt>
                <c:pt idx="2">
                  <c:v>7.6236842105263154</c:v>
                </c:pt>
                <c:pt idx="3">
                  <c:v>12.23841059602649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B-4860-8299-3403FC0C6021}"/>
            </c:ext>
          </c:extLst>
        </c:ser>
        <c:ser>
          <c:idx val="1"/>
          <c:order val="1"/>
          <c:tx>
            <c:strRef>
              <c:f>'RELATIVE VALUATION'!$A$12</c:f>
              <c:strCache>
                <c:ptCount val="1"/>
                <c:pt idx="0">
                  <c:v>Industries P/B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'RELATIVE VALUATION'!$B$10:$E$10</c:f>
              <c:strCache>
                <c:ptCount val="4"/>
                <c:pt idx="0">
                  <c:v>Microsoft</c:v>
                </c:pt>
                <c:pt idx="1">
                  <c:v>Apple</c:v>
                </c:pt>
                <c:pt idx="2">
                  <c:v>Alphabet</c:v>
                </c:pt>
                <c:pt idx="3">
                  <c:v>Amazon</c:v>
                </c:pt>
              </c:strCache>
            </c:strRef>
          </c:cat>
          <c:val>
            <c:numRef>
              <c:f>'RELATIVE VALUATION'!$B$12:$E$12</c:f>
              <c:numCache>
                <c:formatCode>#,##0.00;\-#,##0.00;"—"</c:formatCode>
                <c:ptCount val="4"/>
                <c:pt idx="0">
                  <c:v>8.39</c:v>
                </c:pt>
                <c:pt idx="1">
                  <c:v>9.83</c:v>
                </c:pt>
                <c:pt idx="2">
                  <c:v>5.21</c:v>
                </c:pt>
                <c:pt idx="3">
                  <c:v>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B-4860-8299-3403FC0C6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638528"/>
        <c:axId val="255640320"/>
      </c:lineChart>
      <c:catAx>
        <c:axId val="25563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640320"/>
        <c:crosses val="autoZero"/>
        <c:auto val="1"/>
        <c:lblAlgn val="ctr"/>
        <c:lblOffset val="100"/>
        <c:noMultiLvlLbl val="0"/>
      </c:catAx>
      <c:valAx>
        <c:axId val="25564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;\-#,##0.00;&quot;—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638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Price-to-Sales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'RELATIVE VALUATION'!$A$19</c:f>
              <c:strCache>
                <c:ptCount val="1"/>
                <c:pt idx="0">
                  <c:v>Companies P/S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'RELATIVE VALUATION'!$B$18:$E$18</c:f>
              <c:strCache>
                <c:ptCount val="4"/>
                <c:pt idx="0">
                  <c:v>Microsoft</c:v>
                </c:pt>
                <c:pt idx="1">
                  <c:v>Apple</c:v>
                </c:pt>
                <c:pt idx="2">
                  <c:v>Alphabet</c:v>
                </c:pt>
                <c:pt idx="3">
                  <c:v>Amazon</c:v>
                </c:pt>
              </c:strCache>
            </c:strRef>
          </c:cat>
          <c:val>
            <c:numRef>
              <c:f>'RELATIVE VALUATION'!$B$19:$E$19</c:f>
              <c:numCache>
                <c:formatCode>#,##0.00;\-#,##0.00;"—"</c:formatCode>
                <c:ptCount val="4"/>
                <c:pt idx="0">
                  <c:v>12.981249999999999</c:v>
                </c:pt>
                <c:pt idx="1">
                  <c:v>7.8034528552456841</c:v>
                </c:pt>
                <c:pt idx="2">
                  <c:v>8.1103023516237407</c:v>
                </c:pt>
                <c:pt idx="3">
                  <c:v>3.6715213981626711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D-4C64-B4DC-AF12EC4BE80D}"/>
            </c:ext>
          </c:extLst>
        </c:ser>
        <c:ser>
          <c:idx val="1"/>
          <c:order val="1"/>
          <c:tx>
            <c:strRef>
              <c:f>'RELATIVE VALUATION'!$A$20</c:f>
              <c:strCache>
                <c:ptCount val="1"/>
                <c:pt idx="0">
                  <c:v>Industries P/S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'RELATIVE VALUATION'!$B$18:$E$18</c:f>
              <c:strCache>
                <c:ptCount val="4"/>
                <c:pt idx="0">
                  <c:v>Microsoft</c:v>
                </c:pt>
                <c:pt idx="1">
                  <c:v>Apple</c:v>
                </c:pt>
                <c:pt idx="2">
                  <c:v>Alphabet</c:v>
                </c:pt>
                <c:pt idx="3">
                  <c:v>Amazon</c:v>
                </c:pt>
              </c:strCache>
            </c:strRef>
          </c:cat>
          <c:val>
            <c:numRef>
              <c:f>'RELATIVE VALUATION'!$B$20:$E$20</c:f>
              <c:numCache>
                <c:formatCode>#,##0.00;\-#,##0.00;"—"</c:formatCode>
                <c:ptCount val="4"/>
                <c:pt idx="0">
                  <c:v>7.14</c:v>
                </c:pt>
                <c:pt idx="1">
                  <c:v>7.0536000000000003</c:v>
                </c:pt>
                <c:pt idx="2">
                  <c:v>5.57</c:v>
                </c:pt>
                <c:pt idx="3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D-4C64-B4DC-AF12EC4BE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671296"/>
        <c:axId val="255685376"/>
      </c:lineChart>
      <c:catAx>
        <c:axId val="25567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685376"/>
        <c:crosses val="autoZero"/>
        <c:auto val="1"/>
        <c:lblAlgn val="ctr"/>
        <c:lblOffset val="100"/>
        <c:noMultiLvlLbl val="0"/>
      </c:catAx>
      <c:valAx>
        <c:axId val="25568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;\-#,##0.00;&quot;—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671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91466</xdr:colOff>
      <xdr:row>13</xdr:row>
      <xdr:rowOff>120898</xdr:rowOff>
    </xdr:from>
    <xdr:to>
      <xdr:col>21</xdr:col>
      <xdr:colOff>138734</xdr:colOff>
      <xdr:row>28</xdr:row>
      <xdr:rowOff>106018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15AA43-47BD-4DFD-80FE-6336E92B9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223632</xdr:colOff>
      <xdr:row>30</xdr:row>
      <xdr:rowOff>156542</xdr:rowOff>
    </xdr:from>
    <xdr:to>
      <xdr:col>21</xdr:col>
      <xdr:colOff>289891</xdr:colOff>
      <xdr:row>44</xdr:row>
      <xdr:rowOff>66261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0A2F5F-A496-4123-908E-05E4CBA49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240610</xdr:colOff>
      <xdr:row>45</xdr:row>
      <xdr:rowOff>175591</xdr:rowOff>
    </xdr:from>
    <xdr:to>
      <xdr:col>21</xdr:col>
      <xdr:colOff>276225</xdr:colOff>
      <xdr:row>60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E9459B-3DB9-42CF-8BD8-453B20D4A9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504824</xdr:colOff>
      <xdr:row>0</xdr:row>
      <xdr:rowOff>114299</xdr:rowOff>
    </xdr:from>
    <xdr:to>
      <xdr:col>16</xdr:col>
      <xdr:colOff>19049</xdr:colOff>
      <xdr:row>16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E131F-825A-466F-841E-9718123B4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276224</xdr:colOff>
      <xdr:row>18</xdr:row>
      <xdr:rowOff>171450</xdr:rowOff>
    </xdr:from>
    <xdr:to>
      <xdr:col>17</xdr:col>
      <xdr:colOff>285749</xdr:colOff>
      <xdr:row>33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B126E4-8BE1-4A0F-B218-EFB447594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581024</xdr:colOff>
      <xdr:row>22</xdr:row>
      <xdr:rowOff>47625</xdr:rowOff>
    </xdr:from>
    <xdr:to>
      <xdr:col>7</xdr:col>
      <xdr:colOff>200024</xdr:colOff>
      <xdr:row>36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DF735F-E5F3-4748-B40D-0CA586AB4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06C3A-0D10-4C42-BF61-09AE2869DBDD}">
  <dimension ref="A1:G45"/>
  <sheetViews>
    <sheetView showGridLines="0" tabSelected="1" workbookViewId="0">
      <selection activeCell="H8" sqref="H8"/>
    </sheetView>
  </sheetViews>
  <sheetFormatPr defaultColWidth="16.21875" defaultRowHeight="14.4" x14ac:dyDescent="0.3"/>
  <cols>
    <col min="1" max="1" width="60" style="19" customWidth="1"/>
    <col min="2" max="16384" width="16.21875" style="19"/>
  </cols>
  <sheetData>
    <row r="1" spans="1:7" ht="27.6" x14ac:dyDescent="0.45">
      <c r="A1" s="101" t="s">
        <v>216</v>
      </c>
      <c r="B1" s="102"/>
      <c r="C1" s="102"/>
      <c r="D1" s="102"/>
      <c r="E1" s="102"/>
    </row>
    <row r="2" spans="1:7" ht="22.8" x14ac:dyDescent="0.5">
      <c r="A2" s="103" t="s">
        <v>215</v>
      </c>
      <c r="B2" s="102"/>
      <c r="C2" s="102"/>
      <c r="D2" s="102"/>
      <c r="E2" s="102"/>
    </row>
    <row r="3" spans="1:7" ht="15" x14ac:dyDescent="0.35">
      <c r="A3" s="102"/>
      <c r="B3" s="102"/>
      <c r="C3" s="102"/>
      <c r="D3" s="102"/>
      <c r="E3" s="102"/>
    </row>
    <row r="4" spans="1:7" ht="15" x14ac:dyDescent="0.35">
      <c r="A4" s="102" t="s">
        <v>214</v>
      </c>
      <c r="B4" s="102"/>
      <c r="C4" s="102"/>
      <c r="D4" s="102"/>
      <c r="E4" s="102"/>
    </row>
    <row r="5" spans="1:7" ht="15.6" thickBot="1" x14ac:dyDescent="0.35">
      <c r="A5" s="104" t="s">
        <v>213</v>
      </c>
      <c r="B5" s="105"/>
      <c r="C5" s="105">
        <v>44377</v>
      </c>
      <c r="D5" s="105">
        <v>44012</v>
      </c>
      <c r="E5" s="105">
        <v>43646</v>
      </c>
      <c r="F5" s="23"/>
      <c r="G5" s="23"/>
    </row>
    <row r="6" spans="1:7" ht="15" x14ac:dyDescent="0.35">
      <c r="A6" s="106" t="s">
        <v>212</v>
      </c>
      <c r="B6" s="107"/>
      <c r="C6" s="107">
        <v>61271</v>
      </c>
      <c r="D6" s="107">
        <v>44281</v>
      </c>
      <c r="E6" s="107">
        <v>39240</v>
      </c>
      <c r="F6" s="21"/>
      <c r="G6" s="21"/>
    </row>
    <row r="7" spans="1:7" ht="15" x14ac:dyDescent="0.35">
      <c r="A7" s="108" t="s">
        <v>211</v>
      </c>
      <c r="B7" s="107"/>
      <c r="C7" s="107">
        <v>11686</v>
      </c>
      <c r="D7" s="107">
        <v>12796</v>
      </c>
      <c r="E7" s="107">
        <v>11682</v>
      </c>
      <c r="F7" s="21"/>
      <c r="G7" s="21"/>
    </row>
    <row r="8" spans="1:7" ht="15" x14ac:dyDescent="0.35">
      <c r="A8" s="108" t="s">
        <v>210</v>
      </c>
      <c r="B8" s="107"/>
      <c r="C8" s="107">
        <v>6118</v>
      </c>
      <c r="D8" s="107">
        <v>5289</v>
      </c>
      <c r="E8" s="107">
        <v>4652</v>
      </c>
      <c r="F8" s="21"/>
      <c r="G8" s="21"/>
    </row>
    <row r="9" spans="1:7" ht="15" x14ac:dyDescent="0.35">
      <c r="A9" s="108" t="s">
        <v>209</v>
      </c>
      <c r="B9" s="107"/>
      <c r="C9" s="107">
        <v>-1249</v>
      </c>
      <c r="D9" s="107">
        <v>-219</v>
      </c>
      <c r="E9" s="107">
        <v>-792</v>
      </c>
      <c r="F9" s="21"/>
      <c r="G9" s="21"/>
    </row>
    <row r="10" spans="1:7" ht="15" x14ac:dyDescent="0.35">
      <c r="A10" s="108" t="s">
        <v>208</v>
      </c>
      <c r="B10" s="107"/>
      <c r="C10" s="107">
        <v>-150</v>
      </c>
      <c r="D10" s="107">
        <v>11</v>
      </c>
      <c r="E10" s="107">
        <v>-6463</v>
      </c>
      <c r="F10" s="21"/>
      <c r="G10" s="21"/>
    </row>
    <row r="11" spans="1:7" ht="15" x14ac:dyDescent="0.35">
      <c r="A11" s="108" t="s">
        <v>207</v>
      </c>
      <c r="B11" s="107"/>
      <c r="C11" s="107">
        <v>0</v>
      </c>
      <c r="D11" s="107">
        <v>0</v>
      </c>
      <c r="E11" s="107">
        <v>0</v>
      </c>
      <c r="F11" s="21"/>
      <c r="G11" s="21"/>
    </row>
    <row r="12" spans="1:7" ht="15" x14ac:dyDescent="0.35">
      <c r="A12" s="108" t="s">
        <v>206</v>
      </c>
      <c r="B12" s="107"/>
      <c r="C12" s="107">
        <v>0</v>
      </c>
      <c r="D12" s="107">
        <v>0</v>
      </c>
      <c r="E12" s="107">
        <v>0</v>
      </c>
      <c r="F12" s="21"/>
      <c r="G12" s="21"/>
    </row>
    <row r="13" spans="1:7" ht="15" x14ac:dyDescent="0.35">
      <c r="A13" s="109" t="s">
        <v>41</v>
      </c>
      <c r="B13" s="107"/>
      <c r="C13" s="107">
        <v>-6481</v>
      </c>
      <c r="D13" s="107">
        <v>-2577</v>
      </c>
      <c r="E13" s="107">
        <v>-2812</v>
      </c>
      <c r="F13" s="21"/>
      <c r="G13" s="21"/>
    </row>
    <row r="14" spans="1:7" ht="15" x14ac:dyDescent="0.35">
      <c r="A14" s="109" t="s">
        <v>205</v>
      </c>
      <c r="B14" s="107"/>
      <c r="C14" s="107">
        <v>-737</v>
      </c>
      <c r="D14" s="107">
        <v>168</v>
      </c>
      <c r="E14" s="107">
        <v>597</v>
      </c>
      <c r="F14" s="21"/>
      <c r="G14" s="21"/>
    </row>
    <row r="15" spans="1:7" ht="15" x14ac:dyDescent="0.35">
      <c r="A15" s="109" t="s">
        <v>204</v>
      </c>
      <c r="B15" s="107"/>
      <c r="C15" s="107">
        <v>-932</v>
      </c>
      <c r="D15" s="107">
        <v>-2330</v>
      </c>
      <c r="E15" s="107">
        <v>-1718</v>
      </c>
      <c r="F15" s="21"/>
      <c r="G15" s="21"/>
    </row>
    <row r="16" spans="1:7" ht="15" x14ac:dyDescent="0.35">
      <c r="A16" s="109" t="s">
        <v>203</v>
      </c>
      <c r="B16" s="107"/>
      <c r="C16" s="107">
        <v>-3459</v>
      </c>
      <c r="D16" s="107">
        <v>-1037</v>
      </c>
      <c r="E16" s="107">
        <v>-1834</v>
      </c>
      <c r="F16" s="21"/>
      <c r="G16" s="21"/>
    </row>
    <row r="17" spans="1:7" ht="15" x14ac:dyDescent="0.35">
      <c r="A17" s="109" t="s">
        <v>202</v>
      </c>
      <c r="B17" s="107"/>
      <c r="C17" s="107">
        <v>2798</v>
      </c>
      <c r="D17" s="107">
        <v>3018</v>
      </c>
      <c r="E17" s="107">
        <v>232</v>
      </c>
      <c r="F17" s="21"/>
      <c r="G17" s="21"/>
    </row>
    <row r="18" spans="1:7" ht="15" x14ac:dyDescent="0.35">
      <c r="A18" s="109" t="s">
        <v>201</v>
      </c>
      <c r="B18" s="107"/>
      <c r="C18" s="107">
        <v>4633</v>
      </c>
      <c r="D18" s="107">
        <v>2212</v>
      </c>
      <c r="E18" s="107">
        <v>4462</v>
      </c>
      <c r="F18" s="21"/>
      <c r="G18" s="21"/>
    </row>
    <row r="19" spans="1:7" ht="15" x14ac:dyDescent="0.35">
      <c r="A19" s="109" t="s">
        <v>200</v>
      </c>
      <c r="B19" s="107"/>
      <c r="C19" s="107">
        <v>-2309</v>
      </c>
      <c r="D19" s="107">
        <v>-3631</v>
      </c>
      <c r="E19" s="107">
        <v>2929</v>
      </c>
      <c r="F19" s="21"/>
      <c r="G19" s="21"/>
    </row>
    <row r="20" spans="1:7" ht="15" x14ac:dyDescent="0.35">
      <c r="A20" s="109" t="s">
        <v>199</v>
      </c>
      <c r="B20" s="107"/>
      <c r="C20" s="107">
        <v>4149</v>
      </c>
      <c r="D20" s="107">
        <v>1346</v>
      </c>
      <c r="E20" s="107">
        <v>1419</v>
      </c>
      <c r="F20" s="21"/>
      <c r="G20" s="21"/>
    </row>
    <row r="21" spans="1:7" ht="15" x14ac:dyDescent="0.35">
      <c r="A21" s="109" t="s">
        <v>198</v>
      </c>
      <c r="B21" s="107"/>
      <c r="C21" s="107">
        <v>1402</v>
      </c>
      <c r="D21" s="107">
        <v>1348</v>
      </c>
      <c r="E21" s="107">
        <v>591</v>
      </c>
      <c r="F21" s="21"/>
      <c r="G21" s="21"/>
    </row>
    <row r="22" spans="1:7" ht="15" x14ac:dyDescent="0.35">
      <c r="A22" s="110" t="s">
        <v>197</v>
      </c>
      <c r="B22" s="111"/>
      <c r="C22" s="111">
        <v>-936</v>
      </c>
      <c r="D22" s="111">
        <v>-1483</v>
      </c>
      <c r="E22" s="111">
        <v>3866</v>
      </c>
      <c r="F22" s="24"/>
      <c r="G22" s="24"/>
    </row>
    <row r="23" spans="1:7" ht="15" x14ac:dyDescent="0.35">
      <c r="A23" s="112" t="s">
        <v>196</v>
      </c>
      <c r="B23" s="111"/>
      <c r="C23" s="111">
        <v>15469</v>
      </c>
      <c r="D23" s="111">
        <v>16394</v>
      </c>
      <c r="E23" s="111">
        <v>12945</v>
      </c>
      <c r="F23" s="24"/>
      <c r="G23" s="24"/>
    </row>
    <row r="24" spans="1:7" ht="15" x14ac:dyDescent="0.35">
      <c r="A24" s="113" t="s">
        <v>195</v>
      </c>
      <c r="B24" s="111"/>
      <c r="C24" s="111">
        <v>76740</v>
      </c>
      <c r="D24" s="111">
        <v>60675</v>
      </c>
      <c r="E24" s="111">
        <v>52185</v>
      </c>
      <c r="F24" s="24"/>
      <c r="G24" s="24"/>
    </row>
    <row r="25" spans="1:7" ht="15" x14ac:dyDescent="0.35">
      <c r="A25" s="106" t="s">
        <v>194</v>
      </c>
      <c r="B25" s="107"/>
      <c r="C25" s="107">
        <v>0</v>
      </c>
      <c r="D25" s="107">
        <v>0</v>
      </c>
      <c r="E25" s="107">
        <v>0</v>
      </c>
      <c r="F25" s="21"/>
      <c r="G25" s="21"/>
    </row>
    <row r="26" spans="1:7" ht="15" x14ac:dyDescent="0.35">
      <c r="A26" s="106" t="s">
        <v>193</v>
      </c>
      <c r="B26" s="107"/>
      <c r="C26" s="107">
        <v>0</v>
      </c>
      <c r="D26" s="107">
        <v>0</v>
      </c>
      <c r="E26" s="107">
        <v>0</v>
      </c>
      <c r="F26" s="21"/>
      <c r="G26" s="21"/>
    </row>
    <row r="27" spans="1:7" ht="15" x14ac:dyDescent="0.35">
      <c r="A27" s="106" t="s">
        <v>192</v>
      </c>
      <c r="B27" s="107"/>
      <c r="C27" s="107">
        <v>-1754</v>
      </c>
      <c r="D27" s="107">
        <v>-3417</v>
      </c>
      <c r="E27" s="107">
        <v>0</v>
      </c>
      <c r="F27" s="21"/>
      <c r="G27" s="21"/>
    </row>
    <row r="28" spans="1:7" ht="15" x14ac:dyDescent="0.35">
      <c r="A28" s="106" t="s">
        <v>191</v>
      </c>
      <c r="B28" s="107"/>
      <c r="C28" s="107">
        <v>-3750</v>
      </c>
      <c r="D28" s="107">
        <v>-5518</v>
      </c>
      <c r="E28" s="107">
        <v>-4000</v>
      </c>
      <c r="F28" s="21"/>
      <c r="G28" s="21"/>
    </row>
    <row r="29" spans="1:7" ht="15" x14ac:dyDescent="0.35">
      <c r="A29" s="106" t="s">
        <v>190</v>
      </c>
      <c r="B29" s="107"/>
      <c r="C29" s="107">
        <v>1693</v>
      </c>
      <c r="D29" s="107">
        <v>1343</v>
      </c>
      <c r="E29" s="107">
        <v>1142</v>
      </c>
      <c r="F29" s="21"/>
      <c r="G29" s="21"/>
    </row>
    <row r="30" spans="1:7" ht="15" x14ac:dyDescent="0.35">
      <c r="A30" s="106" t="s">
        <v>189</v>
      </c>
      <c r="B30" s="107"/>
      <c r="C30" s="107">
        <v>-27385</v>
      </c>
      <c r="D30" s="107">
        <v>-22968</v>
      </c>
      <c r="E30" s="107">
        <v>-19543</v>
      </c>
      <c r="F30" s="21"/>
      <c r="G30" s="21"/>
    </row>
    <row r="31" spans="1:7" ht="15" x14ac:dyDescent="0.35">
      <c r="A31" s="106" t="s">
        <v>188</v>
      </c>
      <c r="B31" s="107"/>
      <c r="C31" s="107">
        <v>-16521</v>
      </c>
      <c r="D31" s="107">
        <v>-15137</v>
      </c>
      <c r="E31" s="107">
        <v>-13811</v>
      </c>
      <c r="F31" s="21"/>
      <c r="G31" s="21"/>
    </row>
    <row r="32" spans="1:7" ht="15" x14ac:dyDescent="0.35">
      <c r="A32" s="106" t="s">
        <v>181</v>
      </c>
      <c r="B32" s="107"/>
      <c r="C32" s="107">
        <v>-769</v>
      </c>
      <c r="D32" s="107">
        <v>-334</v>
      </c>
      <c r="E32" s="107">
        <v>-675</v>
      </c>
      <c r="F32" s="21"/>
      <c r="G32" s="21"/>
    </row>
    <row r="33" spans="1:7" ht="15" x14ac:dyDescent="0.35">
      <c r="A33" s="113" t="s">
        <v>187</v>
      </c>
      <c r="B33" s="111"/>
      <c r="C33" s="111">
        <v>-48486</v>
      </c>
      <c r="D33" s="111">
        <v>-46031</v>
      </c>
      <c r="E33" s="111">
        <v>-36887</v>
      </c>
      <c r="F33" s="24"/>
      <c r="G33" s="24"/>
    </row>
    <row r="34" spans="1:7" ht="15" x14ac:dyDescent="0.35">
      <c r="A34" s="106" t="s">
        <v>186</v>
      </c>
      <c r="B34" s="107"/>
      <c r="C34" s="107">
        <v>-20622</v>
      </c>
      <c r="D34" s="107">
        <v>-15441</v>
      </c>
      <c r="E34" s="107">
        <v>-13925</v>
      </c>
      <c r="F34" s="21"/>
      <c r="G34" s="21"/>
    </row>
    <row r="35" spans="1:7" ht="30" x14ac:dyDescent="0.35">
      <c r="A35" s="106" t="s">
        <v>185</v>
      </c>
      <c r="B35" s="107"/>
      <c r="C35" s="107">
        <v>-8909</v>
      </c>
      <c r="D35" s="107">
        <v>-2521</v>
      </c>
      <c r="E35" s="107">
        <v>-2388</v>
      </c>
      <c r="F35" s="21"/>
      <c r="G35" s="21"/>
    </row>
    <row r="36" spans="1:7" ht="15" x14ac:dyDescent="0.35">
      <c r="A36" s="106" t="s">
        <v>184</v>
      </c>
      <c r="B36" s="107"/>
      <c r="C36" s="107">
        <v>-62924</v>
      </c>
      <c r="D36" s="107">
        <v>-77190</v>
      </c>
      <c r="E36" s="107">
        <v>-57697</v>
      </c>
      <c r="F36" s="21"/>
      <c r="G36" s="21"/>
    </row>
    <row r="37" spans="1:7" ht="15" x14ac:dyDescent="0.35">
      <c r="A37" s="106" t="s">
        <v>183</v>
      </c>
      <c r="B37" s="107"/>
      <c r="C37" s="107">
        <v>51792</v>
      </c>
      <c r="D37" s="107">
        <v>66449</v>
      </c>
      <c r="E37" s="107">
        <v>20043</v>
      </c>
      <c r="F37" s="21"/>
      <c r="G37" s="21"/>
    </row>
    <row r="38" spans="1:7" ht="15" x14ac:dyDescent="0.35">
      <c r="A38" s="106" t="s">
        <v>182</v>
      </c>
      <c r="B38" s="107"/>
      <c r="C38" s="107">
        <v>14008</v>
      </c>
      <c r="D38" s="107">
        <v>17721</v>
      </c>
      <c r="E38" s="107">
        <v>38194</v>
      </c>
      <c r="F38" s="21"/>
      <c r="G38" s="21"/>
    </row>
    <row r="39" spans="1:7" ht="15" x14ac:dyDescent="0.35">
      <c r="A39" s="106" t="s">
        <v>181</v>
      </c>
      <c r="B39" s="107"/>
      <c r="C39" s="107">
        <v>-922</v>
      </c>
      <c r="D39" s="107">
        <v>-1241</v>
      </c>
      <c r="E39" s="107">
        <v>0</v>
      </c>
      <c r="F39" s="21"/>
      <c r="G39" s="21"/>
    </row>
    <row r="40" spans="1:7" ht="15" x14ac:dyDescent="0.35">
      <c r="A40" s="113" t="s">
        <v>180</v>
      </c>
      <c r="B40" s="111"/>
      <c r="C40" s="111">
        <v>-27577</v>
      </c>
      <c r="D40" s="111">
        <v>-12223</v>
      </c>
      <c r="E40" s="111">
        <v>-15773</v>
      </c>
      <c r="F40" s="24"/>
      <c r="G40" s="24"/>
    </row>
    <row r="41" spans="1:7" ht="15" x14ac:dyDescent="0.35">
      <c r="A41" s="106" t="s">
        <v>179</v>
      </c>
      <c r="B41" s="107"/>
      <c r="C41" s="107">
        <v>-29</v>
      </c>
      <c r="D41" s="107">
        <v>-201</v>
      </c>
      <c r="E41" s="107">
        <v>-115</v>
      </c>
      <c r="F41" s="21"/>
      <c r="G41" s="21"/>
    </row>
    <row r="42" spans="1:7" ht="15" x14ac:dyDescent="0.35">
      <c r="A42" s="114" t="s">
        <v>178</v>
      </c>
      <c r="B42" s="111"/>
      <c r="C42" s="111">
        <v>648</v>
      </c>
      <c r="D42" s="111">
        <v>2220</v>
      </c>
      <c r="E42" s="111">
        <v>-590</v>
      </c>
      <c r="F42" s="24"/>
      <c r="G42" s="24"/>
    </row>
    <row r="43" spans="1:7" ht="15" x14ac:dyDescent="0.35">
      <c r="A43" s="106" t="s">
        <v>177</v>
      </c>
      <c r="B43" s="107"/>
      <c r="C43" s="107">
        <v>13576</v>
      </c>
      <c r="D43" s="107">
        <v>11356</v>
      </c>
      <c r="E43" s="107">
        <v>11946</v>
      </c>
      <c r="F43" s="21"/>
      <c r="G43" s="21"/>
    </row>
    <row r="44" spans="1:7" ht="15" x14ac:dyDescent="0.35">
      <c r="A44" s="114" t="s">
        <v>176</v>
      </c>
      <c r="B44" s="111"/>
      <c r="C44" s="111">
        <v>14224</v>
      </c>
      <c r="D44" s="111">
        <v>13576</v>
      </c>
      <c r="E44" s="111">
        <v>11356</v>
      </c>
      <c r="F44" s="24"/>
      <c r="G44" s="24"/>
    </row>
    <row r="45" spans="1:7" x14ac:dyDescent="0.3">
      <c r="A45" s="20"/>
      <c r="B45" s="20"/>
      <c r="C45" s="20"/>
      <c r="D45" s="20"/>
      <c r="E45" s="20"/>
      <c r="F45" s="22"/>
      <c r="G45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E5E6-CAAC-4B16-8A09-36E8F19FC205}">
  <dimension ref="A2:O59"/>
  <sheetViews>
    <sheetView topLeftCell="A135" workbookViewId="0">
      <selection activeCell="E44" sqref="E44"/>
    </sheetView>
  </sheetViews>
  <sheetFormatPr defaultColWidth="9.109375" defaultRowHeight="14.4" x14ac:dyDescent="0.3"/>
  <cols>
    <col min="1" max="1" width="46" style="6" bestFit="1" customWidth="1"/>
    <col min="2" max="4" width="12.109375" style="6" bestFit="1" customWidth="1"/>
    <col min="5" max="6" width="50.6640625" style="6" customWidth="1"/>
    <col min="7" max="7" width="29.109375" style="6" bestFit="1" customWidth="1"/>
    <col min="8" max="8" width="10.5546875" style="6" bestFit="1" customWidth="1"/>
    <col min="9" max="9" width="30.33203125" style="6" bestFit="1" customWidth="1"/>
    <col min="10" max="10" width="10.109375" style="6" bestFit="1" customWidth="1"/>
    <col min="11" max="11" width="9.109375" style="6"/>
    <col min="12" max="12" width="29.109375" style="6" bestFit="1" customWidth="1"/>
    <col min="13" max="13" width="10.109375" style="6" bestFit="1" customWidth="1"/>
    <col min="14" max="14" width="30.33203125" style="6" bestFit="1" customWidth="1"/>
    <col min="15" max="15" width="10.109375" style="6" bestFit="1" customWidth="1"/>
    <col min="16" max="16" width="9.5546875" style="6" customWidth="1"/>
    <col min="17" max="16384" width="9.109375" style="6"/>
  </cols>
  <sheetData>
    <row r="2" spans="1:15" ht="15.6" thickBot="1" x14ac:dyDescent="0.4">
      <c r="A2" s="31" t="s">
        <v>136</v>
      </c>
      <c r="B2" s="32">
        <v>44561</v>
      </c>
      <c r="C2" s="32">
        <v>44196</v>
      </c>
      <c r="D2" s="32">
        <v>43830</v>
      </c>
    </row>
    <row r="3" spans="1:15" ht="16.2" thickTop="1" thickBot="1" x14ac:dyDescent="0.4">
      <c r="A3" s="33" t="s">
        <v>35</v>
      </c>
      <c r="B3" s="33">
        <v>333779</v>
      </c>
      <c r="C3" s="33">
        <v>301311</v>
      </c>
      <c r="D3" s="33">
        <v>286556</v>
      </c>
      <c r="E3" s="6" t="s">
        <v>90</v>
      </c>
    </row>
    <row r="4" spans="1:15" ht="15.6" thickTop="1" x14ac:dyDescent="0.35">
      <c r="A4" s="29" t="s">
        <v>99</v>
      </c>
      <c r="B4" s="29">
        <f>SUM(B5,B10,B13,B14)</f>
        <v>184406</v>
      </c>
      <c r="C4" s="29">
        <f t="shared" ref="C4:D4" si="0">SUM(C5,C10,C13,C14)</f>
        <v>181915</v>
      </c>
      <c r="D4" s="29">
        <f t="shared" si="0"/>
        <v>175552</v>
      </c>
    </row>
    <row r="5" spans="1:15" ht="15" x14ac:dyDescent="0.35">
      <c r="A5" s="29" t="s">
        <v>91</v>
      </c>
      <c r="B5" s="29">
        <f>SUM(B6,B9)</f>
        <v>130334</v>
      </c>
      <c r="C5" s="29">
        <f t="shared" ref="C5:D5" si="1">SUM(C6,C9)</f>
        <v>136527</v>
      </c>
      <c r="D5" s="29">
        <f t="shared" si="1"/>
        <v>133819</v>
      </c>
    </row>
    <row r="6" spans="1:15" ht="15" x14ac:dyDescent="0.35">
      <c r="A6" s="29" t="s">
        <v>36</v>
      </c>
      <c r="B6" s="29">
        <f>SUM(B7:B8)</f>
        <v>14224</v>
      </c>
      <c r="C6" s="29">
        <f t="shared" ref="C6:D6" si="2">SUM(C7:C8)</f>
        <v>13576</v>
      </c>
      <c r="D6" s="29">
        <f t="shared" si="2"/>
        <v>11356</v>
      </c>
      <c r="G6" s="26">
        <v>2021</v>
      </c>
      <c r="H6" s="26"/>
      <c r="I6" s="26"/>
      <c r="J6" s="26"/>
      <c r="K6" s="26"/>
      <c r="L6" s="26">
        <v>2019</v>
      </c>
      <c r="M6" s="26"/>
      <c r="N6" s="26"/>
      <c r="O6" s="26"/>
    </row>
    <row r="7" spans="1:15" ht="15" x14ac:dyDescent="0.35">
      <c r="A7" s="34" t="s">
        <v>37</v>
      </c>
      <c r="B7" s="34">
        <v>7272</v>
      </c>
      <c r="C7" s="34">
        <v>6998</v>
      </c>
      <c r="D7" s="34">
        <v>5755</v>
      </c>
      <c r="G7" s="27" t="s">
        <v>219</v>
      </c>
      <c r="H7" s="27"/>
      <c r="I7" s="27"/>
      <c r="J7" s="27"/>
      <c r="K7" s="26"/>
      <c r="L7" s="27" t="s">
        <v>219</v>
      </c>
      <c r="M7" s="27"/>
      <c r="N7" s="27"/>
      <c r="O7" s="27"/>
    </row>
    <row r="8" spans="1:15" ht="15" x14ac:dyDescent="0.35">
      <c r="A8" s="34" t="s">
        <v>38</v>
      </c>
      <c r="B8" s="34">
        <v>6952</v>
      </c>
      <c r="C8" s="34">
        <v>6578</v>
      </c>
      <c r="D8" s="34">
        <v>5601</v>
      </c>
      <c r="G8" s="28" t="s">
        <v>101</v>
      </c>
      <c r="H8" s="28">
        <f>B4</f>
        <v>184406</v>
      </c>
      <c r="I8" s="28" t="s">
        <v>104</v>
      </c>
      <c r="J8" s="28">
        <f>B28</f>
        <v>88657</v>
      </c>
      <c r="K8" s="26"/>
      <c r="L8" s="28" t="s">
        <v>101</v>
      </c>
      <c r="M8" s="28">
        <f>D4</f>
        <v>175552</v>
      </c>
      <c r="N8" s="28" t="s">
        <v>104</v>
      </c>
      <c r="O8" s="28">
        <f>D28</f>
        <v>69420</v>
      </c>
    </row>
    <row r="9" spans="1:15" ht="15" x14ac:dyDescent="0.35">
      <c r="A9" s="34" t="s">
        <v>39</v>
      </c>
      <c r="B9" s="34">
        <v>116110</v>
      </c>
      <c r="C9" s="34">
        <v>122951</v>
      </c>
      <c r="D9" s="34">
        <v>122463</v>
      </c>
      <c r="G9" s="28" t="s">
        <v>100</v>
      </c>
      <c r="H9" s="28">
        <f>C4</f>
        <v>181915</v>
      </c>
      <c r="I9" s="28" t="s">
        <v>105</v>
      </c>
      <c r="J9" s="28">
        <f>C28</f>
        <v>72310</v>
      </c>
      <c r="K9" s="26"/>
      <c r="L9" s="28" t="s">
        <v>100</v>
      </c>
      <c r="M9" s="28">
        <v>169662</v>
      </c>
      <c r="N9" s="28" t="s">
        <v>105</v>
      </c>
      <c r="O9" s="28">
        <v>58488</v>
      </c>
    </row>
    <row r="10" spans="1:15" ht="15" x14ac:dyDescent="0.35">
      <c r="A10" s="29" t="s">
        <v>40</v>
      </c>
      <c r="B10" s="29">
        <f>SUM(B11:B12)</f>
        <v>38043</v>
      </c>
      <c r="C10" s="29">
        <f t="shared" ref="C10:D10" si="3">SUM(C11:C12)</f>
        <v>32011</v>
      </c>
      <c r="D10" s="29">
        <f t="shared" si="3"/>
        <v>29524</v>
      </c>
      <c r="G10" s="29" t="s">
        <v>102</v>
      </c>
      <c r="H10" s="29">
        <f>H8-H9</f>
        <v>2491</v>
      </c>
      <c r="I10" s="29" t="s">
        <v>103</v>
      </c>
      <c r="J10" s="28">
        <f>J8-J9</f>
        <v>16347</v>
      </c>
      <c r="K10" s="26"/>
      <c r="L10" s="29" t="s">
        <v>102</v>
      </c>
      <c r="M10" s="29">
        <f>M8-M9</f>
        <v>5890</v>
      </c>
      <c r="N10" s="29" t="s">
        <v>103</v>
      </c>
      <c r="O10" s="28">
        <f>O8-O9</f>
        <v>10932</v>
      </c>
    </row>
    <row r="11" spans="1:15" ht="15" x14ac:dyDescent="0.35">
      <c r="A11" s="34" t="s">
        <v>41</v>
      </c>
      <c r="B11" s="34">
        <v>38043</v>
      </c>
      <c r="C11" s="34">
        <v>32011</v>
      </c>
      <c r="D11" s="34">
        <v>29524</v>
      </c>
      <c r="G11" s="29" t="s">
        <v>98</v>
      </c>
      <c r="H11" s="29">
        <f>H10-J10</f>
        <v>-13856</v>
      </c>
      <c r="I11" s="29" t="s">
        <v>90</v>
      </c>
      <c r="J11" s="28"/>
      <c r="K11" s="26"/>
      <c r="L11" s="29" t="s">
        <v>98</v>
      </c>
      <c r="M11" s="29">
        <f>M10-O10</f>
        <v>-5042</v>
      </c>
      <c r="N11" s="29" t="s">
        <v>90</v>
      </c>
      <c r="O11" s="28"/>
    </row>
    <row r="12" spans="1:15" ht="15" x14ac:dyDescent="0.35">
      <c r="A12" s="34" t="s">
        <v>42</v>
      </c>
      <c r="B12" s="34"/>
      <c r="C12" s="34"/>
      <c r="D12" s="34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 x14ac:dyDescent="0.35">
      <c r="A13" s="29" t="s">
        <v>43</v>
      </c>
      <c r="B13" s="29">
        <v>2636</v>
      </c>
      <c r="C13" s="29">
        <v>1895</v>
      </c>
      <c r="D13" s="29">
        <v>2063</v>
      </c>
      <c r="G13" s="30" t="s">
        <v>90</v>
      </c>
      <c r="H13" s="26"/>
      <c r="I13" s="26"/>
      <c r="J13" s="26"/>
      <c r="K13" s="26"/>
      <c r="L13" s="26"/>
      <c r="M13" s="26"/>
      <c r="N13" s="26"/>
      <c r="O13" s="26"/>
    </row>
    <row r="14" spans="1:15" ht="15" x14ac:dyDescent="0.35">
      <c r="A14" s="29" t="s">
        <v>44</v>
      </c>
      <c r="B14" s="29">
        <v>13393</v>
      </c>
      <c r="C14" s="29">
        <v>11482</v>
      </c>
      <c r="D14" s="29">
        <v>10146</v>
      </c>
      <c r="G14" s="30">
        <v>2020</v>
      </c>
      <c r="H14" s="26"/>
      <c r="I14" s="26"/>
      <c r="J14" s="26"/>
      <c r="K14" s="26"/>
      <c r="L14" s="26"/>
      <c r="M14" s="26"/>
      <c r="N14" s="26"/>
      <c r="O14" s="26"/>
    </row>
    <row r="15" spans="1:15" ht="15" x14ac:dyDescent="0.35">
      <c r="A15" s="28" t="s">
        <v>45</v>
      </c>
      <c r="B15" s="28">
        <v>149373</v>
      </c>
      <c r="C15" s="28">
        <v>119396</v>
      </c>
      <c r="D15" s="28">
        <v>111004</v>
      </c>
      <c r="G15" s="27" t="s">
        <v>219</v>
      </c>
      <c r="H15" s="27"/>
      <c r="I15" s="27"/>
      <c r="J15" s="27"/>
      <c r="K15" s="26"/>
      <c r="L15" s="26"/>
      <c r="M15" s="26"/>
      <c r="N15" s="26"/>
      <c r="O15" s="26"/>
    </row>
    <row r="16" spans="1:15" ht="15" x14ac:dyDescent="0.35">
      <c r="A16" s="28" t="s">
        <v>46</v>
      </c>
      <c r="B16" s="28">
        <v>70803</v>
      </c>
      <c r="C16" s="28">
        <v>52904</v>
      </c>
      <c r="D16" s="28">
        <v>43856</v>
      </c>
      <c r="G16" s="28" t="s">
        <v>101</v>
      </c>
      <c r="H16" s="28">
        <f>C4</f>
        <v>181915</v>
      </c>
      <c r="I16" s="28" t="s">
        <v>104</v>
      </c>
      <c r="J16" s="28">
        <f>C28</f>
        <v>72310</v>
      </c>
      <c r="K16" s="26"/>
      <c r="L16" s="26"/>
      <c r="M16" s="26"/>
      <c r="N16" s="26"/>
      <c r="O16" s="26"/>
    </row>
    <row r="17" spans="1:15" ht="15" x14ac:dyDescent="0.35">
      <c r="A17" s="28" t="s">
        <v>47</v>
      </c>
      <c r="B17" s="28">
        <v>122154</v>
      </c>
      <c r="C17" s="28">
        <v>96101</v>
      </c>
      <c r="D17" s="28">
        <v>79186</v>
      </c>
      <c r="G17" s="28" t="s">
        <v>100</v>
      </c>
      <c r="H17" s="28">
        <f>D4</f>
        <v>175552</v>
      </c>
      <c r="I17" s="28" t="s">
        <v>105</v>
      </c>
      <c r="J17" s="28">
        <f>D28</f>
        <v>69420</v>
      </c>
      <c r="K17" s="26"/>
      <c r="L17" s="26"/>
      <c r="M17" s="26"/>
      <c r="N17" s="26"/>
      <c r="O17" s="26"/>
    </row>
    <row r="18" spans="1:15" ht="15" x14ac:dyDescent="0.35">
      <c r="A18" s="28" t="s">
        <v>48</v>
      </c>
      <c r="B18" s="28">
        <v>0</v>
      </c>
      <c r="C18" s="28">
        <v>0</v>
      </c>
      <c r="D18" s="28">
        <v>0</v>
      </c>
      <c r="G18" s="29" t="s">
        <v>102</v>
      </c>
      <c r="H18" s="29">
        <f>H16-H17</f>
        <v>6363</v>
      </c>
      <c r="I18" s="29" t="s">
        <v>103</v>
      </c>
      <c r="J18" s="28">
        <f>J16-J17</f>
        <v>2890</v>
      </c>
      <c r="K18" s="26"/>
      <c r="L18" s="26"/>
      <c r="M18" s="26"/>
      <c r="N18" s="26"/>
      <c r="O18" s="26"/>
    </row>
    <row r="19" spans="1:15" ht="15" x14ac:dyDescent="0.35">
      <c r="A19" s="28" t="s">
        <v>49</v>
      </c>
      <c r="B19" s="28">
        <v>3660</v>
      </c>
      <c r="C19" s="28">
        <v>1823</v>
      </c>
      <c r="D19" s="28">
        <v>1540</v>
      </c>
      <c r="G19" s="29" t="s">
        <v>98</v>
      </c>
      <c r="H19" s="29">
        <f>H18-J18</f>
        <v>3473</v>
      </c>
      <c r="I19" s="29" t="s">
        <v>90</v>
      </c>
      <c r="J19" s="28"/>
      <c r="K19" s="26"/>
      <c r="L19" s="26"/>
      <c r="M19" s="26"/>
      <c r="N19" s="26"/>
      <c r="O19" s="26"/>
    </row>
    <row r="20" spans="1:15" ht="15" x14ac:dyDescent="0.35">
      <c r="A20" s="28" t="s">
        <v>50</v>
      </c>
      <c r="B20" s="28">
        <v>56594</v>
      </c>
      <c r="C20" s="28">
        <v>46043</v>
      </c>
      <c r="D20" s="28">
        <v>38663</v>
      </c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5" x14ac:dyDescent="0.35">
      <c r="A21" s="28" t="s">
        <v>51</v>
      </c>
      <c r="B21" s="28">
        <v>6884</v>
      </c>
      <c r="C21" s="28">
        <v>5487</v>
      </c>
      <c r="D21" s="28">
        <v>5316</v>
      </c>
      <c r="G21" s="26">
        <v>2021</v>
      </c>
      <c r="H21" s="26"/>
      <c r="I21" s="26"/>
      <c r="J21" s="26"/>
      <c r="K21" s="26"/>
      <c r="L21" s="26">
        <v>2019</v>
      </c>
      <c r="M21" s="26"/>
      <c r="N21" s="26"/>
      <c r="O21" s="26"/>
    </row>
    <row r="22" spans="1:15" ht="15" x14ac:dyDescent="0.35">
      <c r="A22" s="28" t="s">
        <v>52</v>
      </c>
      <c r="B22" s="28">
        <v>-51351</v>
      </c>
      <c r="C22" s="28">
        <v>-43197</v>
      </c>
      <c r="D22" s="28">
        <v>-35330</v>
      </c>
      <c r="G22" s="27" t="s">
        <v>220</v>
      </c>
      <c r="H22" s="27"/>
      <c r="I22" s="27"/>
      <c r="J22" s="27"/>
      <c r="K22" s="26"/>
      <c r="L22" s="27" t="s">
        <v>220</v>
      </c>
      <c r="M22" s="27"/>
      <c r="N22" s="27"/>
      <c r="O22" s="27"/>
    </row>
    <row r="23" spans="1:15" ht="15" x14ac:dyDescent="0.35">
      <c r="A23" s="28" t="s">
        <v>53</v>
      </c>
      <c r="B23" s="28">
        <v>5984</v>
      </c>
      <c r="C23" s="28">
        <v>2965</v>
      </c>
      <c r="D23" s="28">
        <v>2649</v>
      </c>
      <c r="G23" s="28" t="s">
        <v>109</v>
      </c>
      <c r="H23" s="28">
        <f>B6</f>
        <v>14224</v>
      </c>
      <c r="I23" s="28" t="s">
        <v>112</v>
      </c>
      <c r="J23" s="28">
        <f>C6</f>
        <v>13576</v>
      </c>
      <c r="K23" s="26"/>
      <c r="L23" s="28" t="s">
        <v>109</v>
      </c>
      <c r="M23" s="28">
        <f>D6</f>
        <v>11356</v>
      </c>
      <c r="N23" s="28" t="s">
        <v>112</v>
      </c>
      <c r="O23" s="28">
        <v>11946</v>
      </c>
    </row>
    <row r="24" spans="1:15" ht="15" x14ac:dyDescent="0.35">
      <c r="A24" s="28" t="s">
        <v>54</v>
      </c>
      <c r="B24" s="28">
        <v>5984</v>
      </c>
      <c r="C24" s="28">
        <v>2965</v>
      </c>
      <c r="D24" s="28">
        <v>2649</v>
      </c>
      <c r="G24" s="28" t="s">
        <v>110</v>
      </c>
      <c r="H24" s="28">
        <f>B33</f>
        <v>8072</v>
      </c>
      <c r="I24" s="28" t="s">
        <v>113</v>
      </c>
      <c r="J24" s="28">
        <f>C33</f>
        <v>3749</v>
      </c>
      <c r="K24" s="26"/>
      <c r="L24" s="28" t="s">
        <v>110</v>
      </c>
      <c r="M24" s="28">
        <v>5516</v>
      </c>
      <c r="N24" s="28" t="s">
        <v>113</v>
      </c>
      <c r="O24" s="28">
        <v>3998</v>
      </c>
    </row>
    <row r="25" spans="1:15" ht="15" x14ac:dyDescent="0.35">
      <c r="A25" s="28" t="s">
        <v>55</v>
      </c>
      <c r="B25" s="28">
        <v>5984</v>
      </c>
      <c r="C25" s="28">
        <v>2965</v>
      </c>
      <c r="D25" s="28">
        <v>2649</v>
      </c>
      <c r="G25" s="28" t="s">
        <v>111</v>
      </c>
      <c r="H25" s="28">
        <f>B41</f>
        <v>50074</v>
      </c>
      <c r="I25" s="28" t="s">
        <v>114</v>
      </c>
      <c r="J25" s="28">
        <f>C41</f>
        <v>59578</v>
      </c>
      <c r="K25" s="26"/>
      <c r="L25" s="28" t="s">
        <v>111</v>
      </c>
      <c r="M25" s="28">
        <f>D56</f>
        <v>78366</v>
      </c>
      <c r="N25" s="28" t="s">
        <v>114</v>
      </c>
      <c r="O25" s="28">
        <v>72242</v>
      </c>
    </row>
    <row r="26" spans="1:15" ht="15.6" thickBot="1" x14ac:dyDescent="0.4">
      <c r="A26" s="28" t="s">
        <v>56</v>
      </c>
      <c r="B26" s="28">
        <v>15075</v>
      </c>
      <c r="C26" s="28">
        <v>13138</v>
      </c>
      <c r="D26" s="28">
        <v>14723</v>
      </c>
      <c r="G26" s="28" t="s">
        <v>115</v>
      </c>
      <c r="H26" s="28">
        <f>SUM(H24:H25)-H23</f>
        <v>43922</v>
      </c>
      <c r="I26" s="28" t="s">
        <v>116</v>
      </c>
      <c r="J26" s="28">
        <f>SUM(J24:J25)-J23</f>
        <v>49751</v>
      </c>
      <c r="K26" s="26"/>
      <c r="L26" s="28" t="s">
        <v>115</v>
      </c>
      <c r="M26" s="28">
        <f>SUM(M24:M25)-M23</f>
        <v>72526</v>
      </c>
      <c r="N26" s="28" t="s">
        <v>116</v>
      </c>
      <c r="O26" s="28">
        <f>SUM(O24:O25)-O23</f>
        <v>64294</v>
      </c>
    </row>
    <row r="27" spans="1:15" ht="16.2" thickTop="1" thickBot="1" x14ac:dyDescent="0.4">
      <c r="A27" s="33" t="s">
        <v>57</v>
      </c>
      <c r="B27" s="33">
        <v>191791</v>
      </c>
      <c r="C27" s="33">
        <v>183007</v>
      </c>
      <c r="D27" s="33">
        <v>184226</v>
      </c>
      <c r="G27" s="29" t="s">
        <v>108</v>
      </c>
      <c r="H27" s="29">
        <f>H26-J26</f>
        <v>-5829</v>
      </c>
      <c r="I27" s="26"/>
      <c r="J27" s="26"/>
      <c r="K27" s="26"/>
      <c r="L27" s="29" t="s">
        <v>108</v>
      </c>
      <c r="M27" s="29">
        <f>M26-O26</f>
        <v>8232</v>
      </c>
      <c r="N27" s="26"/>
      <c r="O27" s="26"/>
    </row>
    <row r="28" spans="1:15" ht="15.6" thickTop="1" x14ac:dyDescent="0.35">
      <c r="A28" s="29" t="s">
        <v>58</v>
      </c>
      <c r="B28" s="29">
        <v>88657</v>
      </c>
      <c r="C28" s="29">
        <v>72310</v>
      </c>
      <c r="D28" s="29">
        <v>69420</v>
      </c>
      <c r="G28" s="30">
        <v>2020</v>
      </c>
      <c r="H28" s="26"/>
      <c r="I28" s="26"/>
      <c r="J28" s="26"/>
      <c r="K28" s="26"/>
      <c r="L28" s="26"/>
      <c r="M28" s="26"/>
      <c r="N28" s="26"/>
      <c r="O28" s="26"/>
    </row>
    <row r="29" spans="1:15" ht="15" x14ac:dyDescent="0.35">
      <c r="A29" s="28" t="s">
        <v>59</v>
      </c>
      <c r="B29" s="28">
        <v>17337</v>
      </c>
      <c r="C29" s="28">
        <v>14660</v>
      </c>
      <c r="D29" s="28">
        <v>15047</v>
      </c>
      <c r="G29" s="27" t="s">
        <v>108</v>
      </c>
      <c r="H29" s="27"/>
      <c r="I29" s="27"/>
      <c r="J29" s="27"/>
      <c r="K29" s="26"/>
      <c r="L29" s="26"/>
      <c r="M29" s="26"/>
      <c r="N29" s="26"/>
      <c r="O29" s="26"/>
    </row>
    <row r="30" spans="1:15" ht="15" x14ac:dyDescent="0.35">
      <c r="A30" s="28" t="s">
        <v>60</v>
      </c>
      <c r="B30" s="28">
        <v>17337</v>
      </c>
      <c r="C30" s="28">
        <v>14660</v>
      </c>
      <c r="D30" s="28">
        <v>15047</v>
      </c>
      <c r="G30" s="28" t="s">
        <v>109</v>
      </c>
      <c r="H30" s="28">
        <f>C6</f>
        <v>13576</v>
      </c>
      <c r="I30" s="28" t="s">
        <v>112</v>
      </c>
      <c r="J30" s="28">
        <f>D6</f>
        <v>11356</v>
      </c>
      <c r="K30" s="26"/>
      <c r="L30" s="26"/>
      <c r="M30" s="26"/>
      <c r="N30" s="26"/>
      <c r="O30" s="26"/>
    </row>
    <row r="31" spans="1:15" ht="15" x14ac:dyDescent="0.35">
      <c r="A31" s="28" t="s">
        <v>61</v>
      </c>
      <c r="B31" s="28">
        <v>15163</v>
      </c>
      <c r="C31" s="28">
        <v>12530</v>
      </c>
      <c r="D31" s="28">
        <v>9382</v>
      </c>
      <c r="G31" s="28" t="s">
        <v>110</v>
      </c>
      <c r="H31" s="28">
        <f>C56</f>
        <v>70998</v>
      </c>
      <c r="I31" s="28" t="s">
        <v>113</v>
      </c>
      <c r="J31" s="28">
        <f>D56</f>
        <v>78366</v>
      </c>
      <c r="K31" s="26"/>
      <c r="L31" s="26"/>
      <c r="M31" s="26"/>
      <c r="N31" s="26"/>
      <c r="O31" s="26"/>
    </row>
    <row r="32" spans="1:15" ht="24.6" customHeight="1" x14ac:dyDescent="0.35">
      <c r="A32" s="28" t="s">
        <v>62</v>
      </c>
      <c r="B32" s="28">
        <v>15613</v>
      </c>
      <c r="C32" s="28">
        <v>3749</v>
      </c>
      <c r="D32" s="28">
        <v>5516</v>
      </c>
      <c r="G32" s="28" t="s">
        <v>111</v>
      </c>
      <c r="H32" s="28" t="s">
        <v>90</v>
      </c>
      <c r="I32" s="28" t="s">
        <v>114</v>
      </c>
      <c r="J32" s="28" t="s">
        <v>90</v>
      </c>
      <c r="K32" s="26"/>
      <c r="L32" s="26"/>
      <c r="M32" s="26"/>
      <c r="N32" s="26"/>
      <c r="O32" s="26"/>
    </row>
    <row r="33" spans="1:15" ht="13.8" customHeight="1" x14ac:dyDescent="0.35">
      <c r="A33" s="28" t="s">
        <v>63</v>
      </c>
      <c r="B33" s="28">
        <v>8072</v>
      </c>
      <c r="C33" s="28">
        <v>3749</v>
      </c>
      <c r="D33" s="28">
        <v>5516</v>
      </c>
      <c r="G33" s="28" t="s">
        <v>115</v>
      </c>
      <c r="H33" s="28">
        <f>SUM(H31:H32)-H30</f>
        <v>57422</v>
      </c>
      <c r="I33" s="28" t="s">
        <v>116</v>
      </c>
      <c r="J33" s="28">
        <f>SUM(J31:J32)-J30</f>
        <v>67010</v>
      </c>
      <c r="K33" s="26"/>
      <c r="L33" s="26"/>
      <c r="M33" s="26"/>
      <c r="N33" s="26"/>
      <c r="O33" s="26"/>
    </row>
    <row r="34" spans="1:15" ht="13.2" customHeight="1" x14ac:dyDescent="0.35">
      <c r="A34" s="28" t="s">
        <v>64</v>
      </c>
      <c r="B34" s="28">
        <v>6000</v>
      </c>
      <c r="C34" s="28">
        <v>4996</v>
      </c>
      <c r="D34" s="28">
        <v>5980</v>
      </c>
      <c r="G34" s="29" t="s">
        <v>108</v>
      </c>
      <c r="H34" s="29">
        <f>H33-J33</f>
        <v>-9588</v>
      </c>
      <c r="I34" s="26"/>
      <c r="J34" s="26"/>
      <c r="K34" s="26"/>
      <c r="L34" s="26"/>
      <c r="M34" s="26"/>
      <c r="N34" s="26"/>
      <c r="O34" s="26"/>
    </row>
    <row r="35" spans="1:15" ht="12.6" customHeight="1" x14ac:dyDescent="0.35">
      <c r="A35" s="28" t="s">
        <v>65</v>
      </c>
      <c r="B35" s="28">
        <v>9613</v>
      </c>
      <c r="C35" s="28">
        <v>8773</v>
      </c>
      <c r="D35" s="28">
        <v>10260</v>
      </c>
    </row>
    <row r="36" spans="1:15" ht="15" x14ac:dyDescent="0.35">
      <c r="A36" s="28" t="s">
        <v>66</v>
      </c>
      <c r="B36" s="28">
        <v>41525</v>
      </c>
      <c r="C36" s="28">
        <v>36000</v>
      </c>
      <c r="D36" s="28">
        <v>32676</v>
      </c>
    </row>
    <row r="37" spans="1:15" ht="15" x14ac:dyDescent="0.35">
      <c r="A37" s="28" t="s">
        <v>67</v>
      </c>
      <c r="B37" s="28">
        <v>7612</v>
      </c>
      <c r="C37" s="28">
        <v>36000</v>
      </c>
      <c r="D37" s="28">
        <v>32676</v>
      </c>
    </row>
    <row r="38" spans="1:15" ht="15" x14ac:dyDescent="0.35">
      <c r="A38" s="28" t="s">
        <v>68</v>
      </c>
      <c r="B38" s="28">
        <v>11666</v>
      </c>
      <c r="C38" s="28">
        <v>10027</v>
      </c>
      <c r="D38" s="28">
        <v>9351</v>
      </c>
    </row>
    <row r="39" spans="1:15" ht="15" x14ac:dyDescent="0.35">
      <c r="A39" s="28" t="s">
        <v>69</v>
      </c>
      <c r="B39" s="28">
        <v>103134</v>
      </c>
      <c r="C39" s="28">
        <v>110697</v>
      </c>
      <c r="D39" s="28">
        <v>114806</v>
      </c>
    </row>
    <row r="40" spans="1:15" ht="15" x14ac:dyDescent="0.35">
      <c r="A40" s="28" t="s">
        <v>70</v>
      </c>
      <c r="B40" s="28">
        <v>59703</v>
      </c>
      <c r="C40" s="28">
        <v>67249</v>
      </c>
      <c r="D40" s="28">
        <v>72850</v>
      </c>
    </row>
    <row r="41" spans="1:15" ht="15" x14ac:dyDescent="0.35">
      <c r="A41" s="28" t="s">
        <v>71</v>
      </c>
      <c r="B41" s="28">
        <v>50074</v>
      </c>
      <c r="C41" s="28">
        <v>59578</v>
      </c>
      <c r="D41" s="28">
        <v>66662</v>
      </c>
    </row>
    <row r="42" spans="1:15" ht="15" x14ac:dyDescent="0.35">
      <c r="A42" s="28" t="s">
        <v>72</v>
      </c>
      <c r="B42" s="28">
        <v>27190</v>
      </c>
      <c r="C42" s="28">
        <v>29432</v>
      </c>
      <c r="D42" s="28">
        <v>29612</v>
      </c>
    </row>
    <row r="43" spans="1:15" ht="15" x14ac:dyDescent="0.35">
      <c r="A43" s="28" t="s">
        <v>73</v>
      </c>
      <c r="B43" s="28">
        <v>13427</v>
      </c>
      <c r="C43" s="28">
        <v>10632</v>
      </c>
      <c r="D43" s="28">
        <v>7581</v>
      </c>
    </row>
    <row r="44" spans="1:15" ht="15.6" thickBot="1" x14ac:dyDescent="0.4">
      <c r="A44" s="28" t="s">
        <v>74</v>
      </c>
      <c r="B44" s="28">
        <v>141988</v>
      </c>
      <c r="C44" s="28">
        <v>118304</v>
      </c>
      <c r="D44" s="28">
        <v>102330</v>
      </c>
    </row>
    <row r="45" spans="1:15" ht="16.2" thickTop="1" thickBot="1" x14ac:dyDescent="0.4">
      <c r="A45" s="33" t="s">
        <v>75</v>
      </c>
      <c r="B45" s="33">
        <v>141988</v>
      </c>
      <c r="C45" s="33">
        <v>118304</v>
      </c>
      <c r="D45" s="33">
        <v>102330</v>
      </c>
    </row>
    <row r="46" spans="1:15" ht="15.6" thickTop="1" x14ac:dyDescent="0.35">
      <c r="A46" s="28" t="s">
        <v>76</v>
      </c>
      <c r="B46" s="28">
        <v>83111</v>
      </c>
      <c r="C46" s="28">
        <v>80552</v>
      </c>
      <c r="D46" s="28">
        <v>78520</v>
      </c>
    </row>
    <row r="47" spans="1:15" ht="15" x14ac:dyDescent="0.35">
      <c r="A47" s="28" t="s">
        <v>77</v>
      </c>
      <c r="B47" s="28">
        <v>83111</v>
      </c>
      <c r="C47" s="28">
        <v>80552</v>
      </c>
      <c r="D47" s="28">
        <v>102330</v>
      </c>
    </row>
    <row r="48" spans="1:15" ht="15" x14ac:dyDescent="0.35">
      <c r="A48" s="28" t="s">
        <v>78</v>
      </c>
      <c r="B48" s="28">
        <v>57055</v>
      </c>
      <c r="C48" s="28">
        <v>34566</v>
      </c>
      <c r="D48" s="28">
        <v>24150</v>
      </c>
    </row>
    <row r="49" spans="1:4" ht="15" x14ac:dyDescent="0.35">
      <c r="A49" s="28" t="s">
        <v>79</v>
      </c>
      <c r="B49" s="28">
        <v>1822</v>
      </c>
      <c r="C49" s="28">
        <v>3186</v>
      </c>
      <c r="D49" s="28">
        <v>-340</v>
      </c>
    </row>
    <row r="50" spans="1:4" ht="15" x14ac:dyDescent="0.35">
      <c r="A50" s="28" t="s">
        <v>80</v>
      </c>
      <c r="B50" s="28">
        <v>192062</v>
      </c>
      <c r="C50" s="28">
        <v>177882</v>
      </c>
      <c r="D50" s="28">
        <v>168992</v>
      </c>
    </row>
    <row r="51" spans="1:4" ht="15" x14ac:dyDescent="0.35">
      <c r="A51" s="28" t="s">
        <v>81</v>
      </c>
      <c r="B51" s="28">
        <v>141988</v>
      </c>
      <c r="C51" s="28">
        <v>118304</v>
      </c>
      <c r="D51" s="28">
        <v>102330</v>
      </c>
    </row>
    <row r="52" spans="1:4" ht="15" x14ac:dyDescent="0.35">
      <c r="A52" s="28" t="s">
        <v>82</v>
      </c>
      <c r="B52" s="28">
        <v>84477</v>
      </c>
      <c r="C52" s="28">
        <v>67915</v>
      </c>
      <c r="D52" s="28">
        <v>52554</v>
      </c>
    </row>
    <row r="53" spans="1:4" ht="15" x14ac:dyDescent="0.35">
      <c r="A53" s="28" t="s">
        <v>83</v>
      </c>
      <c r="B53" s="28">
        <v>95749</v>
      </c>
      <c r="C53" s="28">
        <v>109605</v>
      </c>
      <c r="D53" s="28">
        <v>106132</v>
      </c>
    </row>
    <row r="54" spans="1:4" ht="15" x14ac:dyDescent="0.35">
      <c r="A54" s="28" t="s">
        <v>84</v>
      </c>
      <c r="B54" s="28">
        <v>200134</v>
      </c>
      <c r="C54" s="28">
        <v>181631</v>
      </c>
      <c r="D54" s="28">
        <v>174508</v>
      </c>
    </row>
    <row r="55" spans="1:4" ht="15" x14ac:dyDescent="0.35">
      <c r="A55" s="28" t="s">
        <v>85</v>
      </c>
      <c r="B55" s="28">
        <v>84477</v>
      </c>
      <c r="C55" s="28">
        <v>67915</v>
      </c>
      <c r="D55" s="28">
        <v>52554</v>
      </c>
    </row>
    <row r="56" spans="1:4" ht="15" x14ac:dyDescent="0.35">
      <c r="A56" s="29" t="s">
        <v>86</v>
      </c>
      <c r="B56" s="29">
        <v>67775</v>
      </c>
      <c r="C56" s="29">
        <v>70998</v>
      </c>
      <c r="D56" s="29">
        <v>78366</v>
      </c>
    </row>
    <row r="57" spans="1:4" ht="15" x14ac:dyDescent="0.35">
      <c r="A57" s="28" t="s">
        <v>87</v>
      </c>
      <c r="B57" s="28">
        <v>43922</v>
      </c>
      <c r="C57" s="28">
        <v>49751</v>
      </c>
      <c r="D57" s="28">
        <v>60822</v>
      </c>
    </row>
    <row r="58" spans="1:4" ht="15" x14ac:dyDescent="0.35">
      <c r="A58" s="28" t="s">
        <v>88</v>
      </c>
      <c r="B58" s="28">
        <v>7519</v>
      </c>
      <c r="C58" s="28">
        <v>7571</v>
      </c>
      <c r="D58" s="28">
        <v>7643</v>
      </c>
    </row>
    <row r="59" spans="1:4" ht="15" x14ac:dyDescent="0.35">
      <c r="A59" s="28" t="s">
        <v>89</v>
      </c>
      <c r="B59" s="28">
        <v>7519</v>
      </c>
      <c r="C59" s="28">
        <v>7571</v>
      </c>
      <c r="D59" s="28">
        <v>7643</v>
      </c>
    </row>
  </sheetData>
  <mergeCells count="6">
    <mergeCell ref="G7:J7"/>
    <mergeCell ref="G15:J15"/>
    <mergeCell ref="G22:J22"/>
    <mergeCell ref="G29:J29"/>
    <mergeCell ref="L7:O7"/>
    <mergeCell ref="L22:O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C643B-6B28-4A39-99B0-AC4D96A1BD47}">
  <sheetPr filterMode="1">
    <tabColor theme="9" tint="-0.249977111117893"/>
  </sheetPr>
  <dimension ref="A1:XFD75"/>
  <sheetViews>
    <sheetView showGridLines="0" topLeftCell="A118" zoomScaleNormal="100" workbookViewId="0">
      <selection activeCell="K6" sqref="K6"/>
    </sheetView>
  </sheetViews>
  <sheetFormatPr defaultRowHeight="14.4" x14ac:dyDescent="0.3"/>
  <cols>
    <col min="1" max="1" width="56.33203125" bestFit="1" customWidth="1"/>
    <col min="2" max="4" width="17.109375" customWidth="1"/>
    <col min="5" max="9" width="14.5546875" bestFit="1" customWidth="1"/>
    <col min="13" max="13" width="9.5546875" customWidth="1"/>
    <col min="14" max="14" width="14.6640625" bestFit="1" customWidth="1"/>
    <col min="15" max="15" width="13.88671875" customWidth="1"/>
    <col min="16" max="16" width="29.109375" bestFit="1" customWidth="1"/>
  </cols>
  <sheetData>
    <row r="1" spans="1:16" x14ac:dyDescent="0.3">
      <c r="A1" s="6"/>
      <c r="B1" s="6"/>
      <c r="C1" s="6"/>
      <c r="D1" s="6"/>
      <c r="E1" s="25" t="s">
        <v>118</v>
      </c>
      <c r="F1" s="25"/>
      <c r="G1" s="25"/>
      <c r="H1" s="25"/>
      <c r="I1" s="25"/>
    </row>
    <row r="2" spans="1:16" ht="15" x14ac:dyDescent="0.35">
      <c r="A2" s="36" t="s">
        <v>136</v>
      </c>
      <c r="B2" s="39">
        <v>44561</v>
      </c>
      <c r="C2" s="39">
        <v>44196</v>
      </c>
      <c r="D2" s="39">
        <v>43830</v>
      </c>
      <c r="E2" s="39">
        <v>44926</v>
      </c>
      <c r="F2" s="39">
        <v>45291</v>
      </c>
      <c r="G2" s="39">
        <v>45657</v>
      </c>
      <c r="H2" s="39">
        <v>46022</v>
      </c>
      <c r="I2" s="39">
        <v>46387</v>
      </c>
    </row>
    <row r="3" spans="1:16" ht="15" x14ac:dyDescent="0.35">
      <c r="A3" s="40" t="s">
        <v>0</v>
      </c>
      <c r="B3" s="40">
        <v>168088</v>
      </c>
      <c r="C3" s="40">
        <v>143015</v>
      </c>
      <c r="D3" s="40">
        <v>125843</v>
      </c>
      <c r="E3" s="40">
        <f>B3*(1+E4)</f>
        <v>188762.82399999999</v>
      </c>
      <c r="F3" s="40">
        <f>E3*(1+F4)</f>
        <v>213301.99111999996</v>
      </c>
      <c r="G3" s="40">
        <f t="shared" ref="G3:I3" si="0">F3*(1+G4)</f>
        <v>239827.60966653799</v>
      </c>
      <c r="H3" s="40">
        <f t="shared" si="0"/>
        <v>269994.4939924333</v>
      </c>
      <c r="I3" s="40">
        <f t="shared" si="0"/>
        <v>304206.64915030834</v>
      </c>
    </row>
    <row r="4" spans="1:16" ht="15.6" thickBot="1" x14ac:dyDescent="0.4">
      <c r="A4" s="41" t="s">
        <v>94</v>
      </c>
      <c r="B4" s="42"/>
      <c r="C4" s="43">
        <f>-C3/B3+1</f>
        <v>0.14916591309314164</v>
      </c>
      <c r="D4" s="43">
        <f>-D3/C3+1</f>
        <v>0.1200713211900849</v>
      </c>
      <c r="E4" s="43">
        <v>0.123</v>
      </c>
      <c r="F4" s="43">
        <v>0.13</v>
      </c>
      <c r="G4" s="43">
        <f>AVERAGE(D4:F4)</f>
        <v>0.12435710706336163</v>
      </c>
      <c r="H4" s="43">
        <f t="shared" ref="H4" si="1">AVERAGE(E4:G4)</f>
        <v>0.12578570235445388</v>
      </c>
      <c r="I4" s="43">
        <f t="shared" ref="I4" si="2">AVERAGE(F4:H4)</f>
        <v>0.1267142698059385</v>
      </c>
      <c r="M4" s="76"/>
      <c r="N4" s="77" t="s">
        <v>143</v>
      </c>
      <c r="O4" s="76"/>
      <c r="P4" s="76"/>
    </row>
    <row r="5" spans="1:16" ht="15" x14ac:dyDescent="0.35">
      <c r="A5" s="44" t="s">
        <v>1</v>
      </c>
      <c r="B5" s="44">
        <f>SUM(B6:B7)</f>
        <v>168088</v>
      </c>
      <c r="C5" s="44">
        <f>SUM(C6:C7)</f>
        <v>143015</v>
      </c>
      <c r="D5" s="44">
        <f>SUM(D6:D7)</f>
        <v>125843</v>
      </c>
      <c r="E5" s="44">
        <f>E3*E57</f>
        <v>61279.485006566989</v>
      </c>
      <c r="F5" s="44">
        <f>F3*F57</f>
        <v>68083.822668565248</v>
      </c>
      <c r="G5" s="44">
        <f>G3*G57</f>
        <v>76310.688931529861</v>
      </c>
      <c r="H5" s="44">
        <f>H3*H57</f>
        <v>86579.767724421996</v>
      </c>
      <c r="I5" s="44">
        <f>I3*I57</f>
        <v>97148.587709003739</v>
      </c>
      <c r="M5" s="76"/>
      <c r="N5" s="78" t="s">
        <v>141</v>
      </c>
      <c r="O5" s="79" t="s">
        <v>142</v>
      </c>
      <c r="P5" s="76"/>
    </row>
    <row r="6" spans="1:16" ht="15" x14ac:dyDescent="0.35">
      <c r="A6" s="40" t="s">
        <v>2</v>
      </c>
      <c r="B6" s="40">
        <v>52232</v>
      </c>
      <c r="C6" s="40">
        <v>46078</v>
      </c>
      <c r="D6" s="40">
        <v>42910</v>
      </c>
      <c r="E6" s="40">
        <f>E5-E7</f>
        <v>-66203.853986866015</v>
      </c>
      <c r="F6" s="40">
        <f t="shared" ref="F6:I6" si="3">F5-F7</f>
        <v>-77134.345782869452</v>
      </c>
      <c r="G6" s="40">
        <f t="shared" si="3"/>
        <v>-87206.23180347828</v>
      </c>
      <c r="H6" s="40">
        <f t="shared" si="3"/>
        <v>-96834.958543589324</v>
      </c>
      <c r="I6" s="40">
        <f t="shared" si="3"/>
        <v>-109909.47373230086</v>
      </c>
      <c r="M6" s="77" t="s">
        <v>90</v>
      </c>
      <c r="N6" s="78" t="s">
        <v>138</v>
      </c>
      <c r="O6" s="80">
        <f>O15</f>
        <v>9.5774999999999999E-2</v>
      </c>
      <c r="P6" s="76"/>
    </row>
    <row r="7" spans="1:16" ht="15" x14ac:dyDescent="0.35">
      <c r="A7" s="45" t="s">
        <v>3</v>
      </c>
      <c r="B7" s="40">
        <f>B3-B6</f>
        <v>115856</v>
      </c>
      <c r="C7" s="40">
        <f t="shared" ref="C7:D7" si="4">C3-C6</f>
        <v>96937</v>
      </c>
      <c r="D7" s="40">
        <f t="shared" si="4"/>
        <v>82933</v>
      </c>
      <c r="E7" s="40">
        <f>E3-E5</f>
        <v>127483.338993433</v>
      </c>
      <c r="F7" s="40">
        <f t="shared" ref="F7:I7" si="5">F3-F5</f>
        <v>145218.1684514347</v>
      </c>
      <c r="G7" s="40">
        <f t="shared" si="5"/>
        <v>163516.92073500814</v>
      </c>
      <c r="H7" s="40">
        <f t="shared" si="5"/>
        <v>183414.72626801132</v>
      </c>
      <c r="I7" s="40">
        <f t="shared" si="5"/>
        <v>207058.0614413046</v>
      </c>
      <c r="M7" s="76"/>
      <c r="N7" s="78" t="s">
        <v>140</v>
      </c>
      <c r="O7" s="79">
        <v>0.03</v>
      </c>
      <c r="P7" s="76"/>
    </row>
    <row r="8" spans="1:16" ht="15.6" thickBot="1" x14ac:dyDescent="0.4">
      <c r="A8" s="41" t="s">
        <v>95</v>
      </c>
      <c r="B8" s="46">
        <f>B7/B3</f>
        <v>0.68925800771024703</v>
      </c>
      <c r="C8" s="46">
        <f t="shared" ref="C8:D8" si="6">C7/C3</f>
        <v>0.67781001992797962</v>
      </c>
      <c r="D8" s="46">
        <f t="shared" si="6"/>
        <v>0.65901957200638894</v>
      </c>
      <c r="E8" s="46">
        <f>E7/E3</f>
        <v>0.67536253321487183</v>
      </c>
      <c r="F8" s="46">
        <f t="shared" ref="F8:I8" si="7">F7/F3</f>
        <v>0.68081018695103279</v>
      </c>
      <c r="G8" s="46">
        <f t="shared" si="7"/>
        <v>0.68181024262538392</v>
      </c>
      <c r="H8" s="46">
        <f t="shared" si="7"/>
        <v>0.67932765426376285</v>
      </c>
      <c r="I8" s="46">
        <f t="shared" si="7"/>
        <v>0.68064936128005971</v>
      </c>
      <c r="M8" s="76"/>
      <c r="N8" s="76"/>
      <c r="O8" s="76"/>
      <c r="P8" s="76"/>
    </row>
    <row r="9" spans="1:16" ht="16.2" customHeight="1" x14ac:dyDescent="0.35">
      <c r="A9" s="44" t="s">
        <v>4</v>
      </c>
      <c r="B9" s="44">
        <f>SUM(B10:B11)</f>
        <v>45940</v>
      </c>
      <c r="C9" s="44">
        <f t="shared" ref="C9:D9" si="8">SUM(C10:C11)</f>
        <v>43978</v>
      </c>
      <c r="D9" s="44">
        <f t="shared" si="8"/>
        <v>39974</v>
      </c>
      <c r="E9" s="44"/>
      <c r="F9" s="44"/>
      <c r="G9" s="44"/>
      <c r="H9" s="44"/>
      <c r="I9" s="44"/>
      <c r="M9" s="76"/>
      <c r="N9" s="76"/>
      <c r="O9" s="76"/>
      <c r="P9" s="76"/>
    </row>
    <row r="10" spans="1:16" ht="15" x14ac:dyDescent="0.35">
      <c r="A10" s="40" t="s">
        <v>5</v>
      </c>
      <c r="B10" s="40">
        <v>25224</v>
      </c>
      <c r="C10" s="40">
        <v>24709</v>
      </c>
      <c r="D10" s="40">
        <v>23098</v>
      </c>
      <c r="E10" s="40">
        <f>E3*E58</f>
        <v>22651.53888</v>
      </c>
      <c r="F10" s="40">
        <f>F3*F58</f>
        <v>25596.238934399993</v>
      </c>
      <c r="G10" s="40">
        <f>G3*G58</f>
        <v>28779.313159984558</v>
      </c>
      <c r="H10" s="40">
        <f>H3*H58</f>
        <v>32399.339279091993</v>
      </c>
      <c r="I10" s="40">
        <f>I3*I58</f>
        <v>36504.797898037003</v>
      </c>
      <c r="M10" s="76"/>
      <c r="N10" s="76"/>
      <c r="O10" s="76"/>
      <c r="P10" s="76"/>
    </row>
    <row r="11" spans="1:16" ht="15.6" customHeight="1" x14ac:dyDescent="0.35">
      <c r="A11" s="40" t="s">
        <v>6</v>
      </c>
      <c r="B11" s="40">
        <v>20716</v>
      </c>
      <c r="C11" s="40">
        <v>19269</v>
      </c>
      <c r="D11" s="40">
        <v>16876</v>
      </c>
      <c r="E11" s="40"/>
      <c r="F11" s="40"/>
      <c r="G11" s="40"/>
      <c r="H11" s="40"/>
      <c r="I11" s="40"/>
      <c r="M11" s="76"/>
      <c r="N11" s="81" t="s">
        <v>144</v>
      </c>
      <c r="O11" s="82"/>
      <c r="P11" s="83" t="s">
        <v>151</v>
      </c>
    </row>
    <row r="12" spans="1:16" ht="15" x14ac:dyDescent="0.35">
      <c r="A12" s="40" t="s">
        <v>7</v>
      </c>
      <c r="B12" s="40">
        <f>B7-B11-B10</f>
        <v>69916</v>
      </c>
      <c r="C12" s="40">
        <f t="shared" ref="C12:D12" si="9">C7-C11-C10</f>
        <v>52959</v>
      </c>
      <c r="D12" s="40">
        <f t="shared" si="9"/>
        <v>42959</v>
      </c>
      <c r="E12" s="40">
        <f>E7-E10</f>
        <v>104831.80011343301</v>
      </c>
      <c r="F12" s="40">
        <f t="shared" ref="F12:I12" si="10">F7-F10</f>
        <v>119621.9295170347</v>
      </c>
      <c r="G12" s="40">
        <f t="shared" si="10"/>
        <v>134737.60757502358</v>
      </c>
      <c r="H12" s="40">
        <f t="shared" si="10"/>
        <v>151015.38698891932</v>
      </c>
      <c r="I12" s="40">
        <f t="shared" si="10"/>
        <v>170553.26354326759</v>
      </c>
      <c r="M12" s="76"/>
      <c r="N12" s="84" t="s">
        <v>145</v>
      </c>
      <c r="O12" s="85">
        <v>3.9750000000000001E-2</v>
      </c>
      <c r="P12" s="86" t="s">
        <v>217</v>
      </c>
    </row>
    <row r="13" spans="1:16" ht="15.6" thickBot="1" x14ac:dyDescent="0.4">
      <c r="A13" s="41" t="s">
        <v>96</v>
      </c>
      <c r="B13" s="46">
        <f>B12/B3</f>
        <v>0.41594878872971303</v>
      </c>
      <c r="C13" s="46">
        <f t="shared" ref="C13:D13" si="11">C12/C3</f>
        <v>0.37030381428521486</v>
      </c>
      <c r="D13" s="46">
        <f t="shared" si="11"/>
        <v>0.3413698020549415</v>
      </c>
      <c r="E13" s="46">
        <f>E12/E3</f>
        <v>0.55536253321487183</v>
      </c>
      <c r="F13" s="46">
        <f t="shared" ref="F13:I13" si="12">F12/F3</f>
        <v>0.56081018695103269</v>
      </c>
      <c r="G13" s="46">
        <f t="shared" si="12"/>
        <v>0.56181024262538393</v>
      </c>
      <c r="H13" s="46">
        <f t="shared" si="12"/>
        <v>0.55932765426376285</v>
      </c>
      <c r="I13" s="46">
        <f t="shared" si="12"/>
        <v>0.56064936128005971</v>
      </c>
      <c r="M13" s="76"/>
      <c r="N13" s="84" t="s">
        <v>146</v>
      </c>
      <c r="O13" s="84">
        <v>0.9</v>
      </c>
      <c r="P13" s="86" t="s">
        <v>148</v>
      </c>
    </row>
    <row r="14" spans="1:16" ht="18" customHeight="1" x14ac:dyDescent="0.35">
      <c r="A14" s="44" t="s">
        <v>8</v>
      </c>
      <c r="B14" s="44">
        <v>0.19800000000000001</v>
      </c>
      <c r="C14" s="44">
        <v>0.89</v>
      </c>
      <c r="D14" s="44">
        <v>1385</v>
      </c>
      <c r="E14" s="44"/>
      <c r="F14" s="44"/>
      <c r="G14" s="44"/>
      <c r="H14" s="44"/>
      <c r="I14" s="44"/>
      <c r="M14" s="76"/>
      <c r="N14" s="84" t="s">
        <v>147</v>
      </c>
      <c r="O14" s="87">
        <v>0.10199999999999999</v>
      </c>
      <c r="P14" s="86" t="s">
        <v>150</v>
      </c>
    </row>
    <row r="15" spans="1:16" ht="15" x14ac:dyDescent="0.35">
      <c r="A15" s="40" t="s">
        <v>27</v>
      </c>
      <c r="B15" s="40">
        <v>2131</v>
      </c>
      <c r="C15" s="40">
        <v>2680</v>
      </c>
      <c r="D15" s="40">
        <v>2762</v>
      </c>
      <c r="E15" s="40">
        <f>E3*E59</f>
        <v>3357.7860323138252</v>
      </c>
      <c r="F15" s="40">
        <f>F3*F59</f>
        <v>3794.2982165146218</v>
      </c>
      <c r="G15" s="40">
        <f>G3*G59</f>
        <v>4266.1461660560526</v>
      </c>
      <c r="H15" s="40">
        <f>H3*H59</f>
        <v>4802.7663579001737</v>
      </c>
      <c r="I15" s="40">
        <f>I3*I59</f>
        <v>5411.3453899900214</v>
      </c>
      <c r="M15" s="76"/>
      <c r="N15" s="78" t="s">
        <v>138</v>
      </c>
      <c r="O15" s="80">
        <f>O12+(O14-O12)*O13</f>
        <v>9.5774999999999999E-2</v>
      </c>
      <c r="P15" s="86"/>
    </row>
    <row r="16" spans="1:16" ht="15" x14ac:dyDescent="0.35">
      <c r="A16" s="40" t="s">
        <v>97</v>
      </c>
      <c r="B16" s="40">
        <v>2346</v>
      </c>
      <c r="C16" s="40">
        <v>2591</v>
      </c>
      <c r="D16" s="40">
        <v>2686</v>
      </c>
      <c r="E16" s="40">
        <f>E3*E60</f>
        <v>3361.1115578325625</v>
      </c>
      <c r="F16" s="40">
        <f>F3*F60</f>
        <v>3798.0560603507947</v>
      </c>
      <c r="G16" s="40">
        <f>G3*G60</f>
        <v>4270.3713244804876</v>
      </c>
      <c r="H16" s="40">
        <f>H3*H60</f>
        <v>4807.5229808445856</v>
      </c>
      <c r="I16" s="40">
        <f>I3*I60</f>
        <v>5416.7047449375759</v>
      </c>
      <c r="M16" s="76"/>
      <c r="N16" s="76"/>
      <c r="O16" s="76"/>
      <c r="P16" s="76"/>
    </row>
    <row r="17" spans="1:16" ht="15" x14ac:dyDescent="0.35">
      <c r="A17" s="40" t="s">
        <v>9</v>
      </c>
      <c r="B17" s="40">
        <v>1401</v>
      </c>
      <c r="C17" s="40">
        <v>-12</v>
      </c>
      <c r="D17" s="40">
        <v>653</v>
      </c>
      <c r="E17" s="40">
        <f>E3*E62</f>
        <v>1604.4840040000001</v>
      </c>
      <c r="F17" s="40">
        <f>F3*F62</f>
        <v>1813.0669245199997</v>
      </c>
      <c r="G17" s="40">
        <f>G3*G62</f>
        <v>2038.534682165573</v>
      </c>
      <c r="H17" s="40">
        <f>H3*H62</f>
        <v>2294.9531989356833</v>
      </c>
      <c r="I17" s="40">
        <f>I3*I62</f>
        <v>2585.756517777621</v>
      </c>
      <c r="M17" s="76"/>
      <c r="N17" s="76"/>
      <c r="O17" s="76"/>
      <c r="P17" s="76"/>
    </row>
    <row r="18" spans="1:16" ht="14.4" customHeight="1" x14ac:dyDescent="0.35">
      <c r="A18" s="40" t="s">
        <v>10</v>
      </c>
      <c r="B18" s="40">
        <v>60</v>
      </c>
      <c r="C18" s="40">
        <v>-87</v>
      </c>
      <c r="D18" s="40">
        <v>422</v>
      </c>
      <c r="E18" s="40"/>
      <c r="F18" s="40"/>
      <c r="G18" s="40"/>
      <c r="H18" s="40"/>
      <c r="I18" s="40"/>
      <c r="M18" s="76"/>
      <c r="N18" s="76"/>
      <c r="O18" s="76"/>
      <c r="P18" s="76"/>
    </row>
    <row r="19" spans="1:16" ht="15.6" customHeight="1" thickBot="1" x14ac:dyDescent="0.4">
      <c r="A19" s="41" t="s">
        <v>11</v>
      </c>
      <c r="B19" s="42">
        <f t="shared" ref="B19:I19" si="13">B12+B15-B16+B17</f>
        <v>71102</v>
      </c>
      <c r="C19" s="42">
        <f t="shared" si="13"/>
        <v>53036</v>
      </c>
      <c r="D19" s="42">
        <f t="shared" si="13"/>
        <v>43688</v>
      </c>
      <c r="E19" s="42">
        <f t="shared" si="13"/>
        <v>106432.95859191427</v>
      </c>
      <c r="F19" s="42">
        <f t="shared" si="13"/>
        <v>121431.23859771853</v>
      </c>
      <c r="G19" s="42">
        <f t="shared" si="13"/>
        <v>136771.91709876471</v>
      </c>
      <c r="H19" s="42">
        <f t="shared" si="13"/>
        <v>153305.5835649106</v>
      </c>
      <c r="I19" s="42">
        <f t="shared" si="13"/>
        <v>173133.66070609767</v>
      </c>
    </row>
    <row r="20" spans="1:16" ht="18.600000000000001" customHeight="1" x14ac:dyDescent="0.35">
      <c r="A20" s="44" t="s">
        <v>12</v>
      </c>
      <c r="B20" s="44">
        <v>9831</v>
      </c>
      <c r="C20" s="44">
        <v>8755</v>
      </c>
      <c r="D20" s="44">
        <v>4448</v>
      </c>
      <c r="E20" s="44">
        <f>E19*E63</f>
        <v>12771.955031029713</v>
      </c>
      <c r="F20" s="44">
        <f>F19*F63</f>
        <v>14571.748631726223</v>
      </c>
      <c r="G20" s="44">
        <f>G19*G63</f>
        <v>16412.630051851764</v>
      </c>
      <c r="H20" s="44">
        <f>H19*H63</f>
        <v>18396.670027789271</v>
      </c>
      <c r="I20" s="44">
        <f>I19*I63</f>
        <v>20776.03928473172</v>
      </c>
    </row>
    <row r="21" spans="1:16" ht="18.600000000000001" customHeight="1" x14ac:dyDescent="0.35">
      <c r="A21" s="40" t="s">
        <v>13</v>
      </c>
      <c r="B21" s="40">
        <v>61271</v>
      </c>
      <c r="C21" s="40">
        <v>44281</v>
      </c>
      <c r="D21" s="40">
        <v>39240</v>
      </c>
      <c r="E21" s="40"/>
      <c r="F21" s="40"/>
      <c r="G21" s="40"/>
      <c r="H21" s="40"/>
      <c r="I21" s="40"/>
    </row>
    <row r="22" spans="1:16" ht="15" x14ac:dyDescent="0.35">
      <c r="A22" s="47" t="s">
        <v>14</v>
      </c>
      <c r="B22" s="48">
        <f>B19-B20</f>
        <v>61271</v>
      </c>
      <c r="C22" s="48">
        <f t="shared" ref="C22:D22" si="14">C19-C20</f>
        <v>44281</v>
      </c>
      <c r="D22" s="48">
        <f t="shared" si="14"/>
        <v>39240</v>
      </c>
      <c r="E22" s="48">
        <f>E19-E20</f>
        <v>93661.003560884565</v>
      </c>
      <c r="F22" s="48">
        <f>F19-F20</f>
        <v>106859.48996599231</v>
      </c>
      <c r="G22" s="48">
        <f>G19-G20</f>
        <v>120359.28704691294</v>
      </c>
      <c r="H22" s="48">
        <f>H19-H20</f>
        <v>134908.91353712132</v>
      </c>
      <c r="I22" s="48">
        <f>I19-I20</f>
        <v>152357.62142136594</v>
      </c>
    </row>
    <row r="23" spans="1:16" ht="15" x14ac:dyDescent="0.35">
      <c r="A23" s="45" t="s">
        <v>94</v>
      </c>
      <c r="B23" s="49">
        <f>B22/C22-1</f>
        <v>0.38368600528443353</v>
      </c>
      <c r="C23" s="49">
        <f>C22/D22-1</f>
        <v>0.12846585117227316</v>
      </c>
      <c r="D23" s="50" t="s">
        <v>218</v>
      </c>
      <c r="E23" s="49">
        <f>E22/B22-1</f>
        <v>0.52863513833435993</v>
      </c>
      <c r="F23" s="49">
        <f>F22/E22-1</f>
        <v>0.14091762743635394</v>
      </c>
      <c r="G23" s="49">
        <f t="shared" ref="G23:I23" si="15">G22/F22-1</f>
        <v>0.12633222454287307</v>
      </c>
      <c r="H23" s="49">
        <f t="shared" si="15"/>
        <v>0.12088495077689609</v>
      </c>
      <c r="I23" s="49">
        <f t="shared" si="15"/>
        <v>0.12933695355454367</v>
      </c>
    </row>
    <row r="24" spans="1:16" hidden="1" x14ac:dyDescent="0.3">
      <c r="A24" s="8" t="s">
        <v>15</v>
      </c>
      <c r="B24" s="8">
        <v>94680</v>
      </c>
      <c r="C24" s="8">
        <v>57411</v>
      </c>
      <c r="D24" s="8">
        <v>55256</v>
      </c>
      <c r="E24" s="8"/>
      <c r="F24" s="8"/>
      <c r="G24" s="8"/>
      <c r="H24" s="8"/>
      <c r="I24" s="8"/>
    </row>
    <row r="25" spans="1:16" hidden="1" x14ac:dyDescent="0.3">
      <c r="A25" s="7" t="s">
        <v>16</v>
      </c>
      <c r="B25" s="7">
        <v>94680</v>
      </c>
      <c r="C25" s="7">
        <v>57411</v>
      </c>
      <c r="D25" s="7">
        <v>55256</v>
      </c>
      <c r="E25" s="7"/>
      <c r="F25" s="7"/>
      <c r="G25" s="7"/>
      <c r="H25" s="7"/>
      <c r="I25" s="7"/>
    </row>
    <row r="26" spans="1:16" hidden="1" x14ac:dyDescent="0.3">
      <c r="A26" s="7" t="s">
        <v>17</v>
      </c>
      <c r="B26" s="7">
        <v>94680</v>
      </c>
      <c r="C26" s="7">
        <v>57411</v>
      </c>
      <c r="D26" s="7">
        <v>55256</v>
      </c>
      <c r="E26" s="7"/>
      <c r="F26" s="7"/>
      <c r="G26" s="7"/>
      <c r="H26" s="7"/>
      <c r="I26" s="7"/>
    </row>
    <row r="27" spans="1:16" hidden="1" x14ac:dyDescent="0.3">
      <c r="A27" s="7" t="s">
        <v>18</v>
      </c>
      <c r="B27" s="7">
        <v>5.67</v>
      </c>
      <c r="C27" s="7">
        <v>3.31</v>
      </c>
      <c r="D27" s="7">
        <v>2.99</v>
      </c>
      <c r="E27" s="7"/>
      <c r="F27" s="7"/>
      <c r="G27" s="7"/>
      <c r="H27" s="7"/>
      <c r="I27" s="7"/>
    </row>
    <row r="28" spans="1:16" hidden="1" x14ac:dyDescent="0.3">
      <c r="A28" s="7" t="s">
        <v>20</v>
      </c>
      <c r="B28" s="7">
        <v>5.61</v>
      </c>
      <c r="C28" s="7">
        <v>3.28</v>
      </c>
      <c r="D28" s="7">
        <v>2.97</v>
      </c>
      <c r="E28" s="7"/>
      <c r="F28" s="7"/>
      <c r="G28" s="7"/>
      <c r="H28" s="7"/>
      <c r="I28" s="7"/>
    </row>
    <row r="29" spans="1:16" hidden="1" x14ac:dyDescent="0.3">
      <c r="A29" s="7" t="s">
        <v>21</v>
      </c>
      <c r="B29" s="7">
        <v>16701.272000000001</v>
      </c>
      <c r="C29" s="7">
        <v>17352.118999999999</v>
      </c>
      <c r="D29" s="7">
        <v>18471.335999999999</v>
      </c>
      <c r="E29" s="7"/>
      <c r="F29" s="7"/>
      <c r="G29" s="7"/>
      <c r="H29" s="7"/>
      <c r="I29" s="7"/>
    </row>
    <row r="30" spans="1:16" hidden="1" x14ac:dyDescent="0.3">
      <c r="A30" s="7" t="s">
        <v>22</v>
      </c>
      <c r="B30" s="7">
        <v>16864.919000000002</v>
      </c>
      <c r="C30" s="7">
        <v>17528.214</v>
      </c>
      <c r="D30" s="7">
        <v>18595.651999999998</v>
      </c>
      <c r="E30" s="7"/>
      <c r="F30" s="7"/>
      <c r="G30" s="7"/>
      <c r="H30" s="7"/>
      <c r="I30" s="7"/>
    </row>
    <row r="31" spans="1:16" hidden="1" x14ac:dyDescent="0.3">
      <c r="A31" s="7" t="s">
        <v>23</v>
      </c>
      <c r="B31" s="7">
        <v>108949</v>
      </c>
      <c r="C31" s="7">
        <v>66288</v>
      </c>
      <c r="D31" s="7">
        <v>63930</v>
      </c>
      <c r="E31" s="7"/>
      <c r="F31" s="7"/>
      <c r="G31" s="7"/>
      <c r="H31" s="7"/>
      <c r="I31" s="7"/>
    </row>
    <row r="32" spans="1:16" hidden="1" x14ac:dyDescent="0.3">
      <c r="A32" s="7" t="s">
        <v>24</v>
      </c>
      <c r="B32" s="7">
        <v>256868</v>
      </c>
      <c r="C32" s="7">
        <v>208227</v>
      </c>
      <c r="D32" s="7">
        <v>196244</v>
      </c>
      <c r="E32" s="7"/>
      <c r="F32" s="7"/>
      <c r="G32" s="7"/>
      <c r="H32" s="7"/>
      <c r="I32" s="7"/>
    </row>
    <row r="33" spans="1:12" hidden="1" x14ac:dyDescent="0.3">
      <c r="A33" s="7" t="s">
        <v>25</v>
      </c>
      <c r="B33" s="7">
        <v>94680</v>
      </c>
      <c r="C33" s="7">
        <v>57411</v>
      </c>
      <c r="D33" s="7">
        <v>55256</v>
      </c>
      <c r="E33" s="7"/>
      <c r="F33" s="7"/>
      <c r="G33" s="7"/>
      <c r="H33" s="7"/>
      <c r="I33" s="7"/>
    </row>
    <row r="34" spans="1:12" hidden="1" x14ac:dyDescent="0.3">
      <c r="A34" s="7" t="s">
        <v>26</v>
      </c>
      <c r="B34" s="7">
        <v>94680</v>
      </c>
      <c r="C34" s="7">
        <v>57411</v>
      </c>
      <c r="D34" s="7">
        <v>55256</v>
      </c>
      <c r="E34" s="7"/>
      <c r="F34" s="7"/>
      <c r="G34" s="7"/>
      <c r="H34" s="7"/>
      <c r="I34" s="7"/>
    </row>
    <row r="35" spans="1:12" hidden="1" x14ac:dyDescent="0.3">
      <c r="A35" s="7" t="s">
        <v>27</v>
      </c>
      <c r="B35" s="7">
        <v>2843</v>
      </c>
      <c r="C35" s="7">
        <v>3763</v>
      </c>
      <c r="D35" s="7">
        <v>4961</v>
      </c>
      <c r="E35" s="7"/>
      <c r="F35" s="7"/>
      <c r="G35" s="7"/>
      <c r="H35" s="7"/>
      <c r="I35" s="7"/>
    </row>
    <row r="36" spans="1:12" hidden="1" x14ac:dyDescent="0.3">
      <c r="A36" s="7" t="s">
        <v>28</v>
      </c>
      <c r="B36" s="7">
        <v>2645</v>
      </c>
      <c r="C36" s="7">
        <v>2873</v>
      </c>
      <c r="D36" s="7">
        <v>3576</v>
      </c>
      <c r="E36" s="7"/>
      <c r="F36" s="7"/>
      <c r="G36" s="7"/>
      <c r="H36" s="7"/>
      <c r="I36" s="7"/>
    </row>
    <row r="37" spans="1:12" hidden="1" x14ac:dyDescent="0.3">
      <c r="A37" s="7" t="s">
        <v>29</v>
      </c>
      <c r="B37" s="7">
        <v>198</v>
      </c>
      <c r="C37" s="7">
        <v>890</v>
      </c>
      <c r="D37" s="7">
        <v>1385</v>
      </c>
      <c r="E37" s="7"/>
      <c r="F37" s="7"/>
      <c r="G37" s="7"/>
      <c r="H37" s="7"/>
      <c r="I37" s="7"/>
    </row>
    <row r="38" spans="1:12" hidden="1" x14ac:dyDescent="0.3">
      <c r="A38" s="7" t="s">
        <v>30</v>
      </c>
      <c r="B38" s="7">
        <v>111852</v>
      </c>
      <c r="C38" s="7">
        <v>69964</v>
      </c>
      <c r="D38" s="7">
        <v>69313</v>
      </c>
      <c r="E38" s="7"/>
      <c r="F38" s="7"/>
      <c r="G38" s="7"/>
      <c r="H38" s="7"/>
      <c r="I38" s="7"/>
      <c r="L38" t="s">
        <v>149</v>
      </c>
    </row>
    <row r="39" spans="1:12" hidden="1" x14ac:dyDescent="0.3">
      <c r="A39" s="7" t="s">
        <v>31</v>
      </c>
      <c r="B39" s="7" t="s">
        <v>19</v>
      </c>
      <c r="C39" s="7" t="s">
        <v>19</v>
      </c>
      <c r="D39" s="7" t="s">
        <v>19</v>
      </c>
      <c r="E39" s="7"/>
      <c r="F39" s="7"/>
      <c r="G39" s="7"/>
      <c r="H39" s="7"/>
      <c r="I39" s="7"/>
    </row>
    <row r="40" spans="1:12" hidden="1" x14ac:dyDescent="0.3">
      <c r="A40" s="7" t="s">
        <v>32</v>
      </c>
      <c r="B40" s="7">
        <v>212981</v>
      </c>
      <c r="C40" s="7">
        <v>169559</v>
      </c>
      <c r="D40" s="7">
        <v>161782</v>
      </c>
      <c r="E40" s="7"/>
      <c r="F40" s="7"/>
      <c r="G40" s="7"/>
      <c r="H40" s="7"/>
      <c r="I40" s="7"/>
    </row>
    <row r="41" spans="1:12" hidden="1" x14ac:dyDescent="0.3">
      <c r="A41" s="7" t="s">
        <v>33</v>
      </c>
      <c r="B41" s="7">
        <v>11284</v>
      </c>
      <c r="C41" s="7">
        <v>11056</v>
      </c>
      <c r="D41" s="7">
        <v>12547</v>
      </c>
      <c r="E41" s="7"/>
      <c r="F41" s="7"/>
      <c r="G41" s="7"/>
      <c r="H41" s="7"/>
      <c r="I41" s="7"/>
    </row>
    <row r="42" spans="1:12" ht="15.6" thickBot="1" x14ac:dyDescent="0.4">
      <c r="A42" s="51" t="s">
        <v>129</v>
      </c>
      <c r="B42" s="42">
        <v>61271</v>
      </c>
      <c r="C42" s="42">
        <v>44281</v>
      </c>
      <c r="D42" s="42">
        <v>39240</v>
      </c>
      <c r="E42" s="42">
        <f>E64*E3</f>
        <v>62037.491400943691</v>
      </c>
      <c r="F42" s="42">
        <f>F64*F3</f>
        <v>71299.417225481709</v>
      </c>
      <c r="G42" s="42">
        <f>G64*G3</f>
        <v>80166.006486946222</v>
      </c>
      <c r="H42" s="42">
        <f>H64*H3</f>
        <v>90249.743917858461</v>
      </c>
      <c r="I42" s="42">
        <f>I64*I3</f>
        <v>101685.67431858284</v>
      </c>
    </row>
    <row r="43" spans="1:12" hidden="1" x14ac:dyDescent="0.3">
      <c r="A43" s="8" t="s">
        <v>34</v>
      </c>
      <c r="B43" s="8">
        <v>123136</v>
      </c>
      <c r="C43" s="8">
        <v>81020</v>
      </c>
      <c r="D43" s="8">
        <v>81860</v>
      </c>
      <c r="E43" s="8">
        <f>E61*E3</f>
        <v>122669.14021063612</v>
      </c>
      <c r="F43" s="8">
        <f t="shared" ref="F43:I43" si="16">F61*F3</f>
        <v>138571.01523596651</v>
      </c>
      <c r="G43" s="8">
        <f t="shared" si="16"/>
        <v>162449.17476841182</v>
      </c>
      <c r="H43" s="8">
        <f t="shared" si="16"/>
        <v>177914.11002130836</v>
      </c>
      <c r="I43" s="8">
        <f t="shared" si="16"/>
        <v>201380.72202919956</v>
      </c>
    </row>
    <row r="44" spans="1:12" ht="15" x14ac:dyDescent="0.35">
      <c r="A44" s="52"/>
      <c r="B44" s="52"/>
      <c r="C44" s="52"/>
      <c r="D44" s="52"/>
      <c r="E44" s="52"/>
      <c r="F44" s="52"/>
      <c r="G44" s="52"/>
      <c r="H44" s="52"/>
      <c r="I44" s="52"/>
    </row>
    <row r="45" spans="1:12" ht="15" x14ac:dyDescent="0.35">
      <c r="A45" s="53" t="s">
        <v>13</v>
      </c>
      <c r="B45" s="54">
        <v>61271</v>
      </c>
      <c r="C45" s="54">
        <v>44281</v>
      </c>
      <c r="D45" s="54">
        <v>39240</v>
      </c>
      <c r="E45" s="55" t="s">
        <v>162</v>
      </c>
      <c r="F45" s="55" t="s">
        <v>162</v>
      </c>
      <c r="G45" s="55" t="s">
        <v>162</v>
      </c>
      <c r="H45" s="55" t="s">
        <v>162</v>
      </c>
      <c r="I45" s="55" t="s">
        <v>162</v>
      </c>
    </row>
    <row r="46" spans="1:12" ht="15.6" thickBot="1" x14ac:dyDescent="0.4">
      <c r="A46" s="51" t="s">
        <v>93</v>
      </c>
      <c r="B46" s="56">
        <v>11686</v>
      </c>
      <c r="C46" s="56">
        <v>12796</v>
      </c>
      <c r="D46" s="56">
        <v>11682</v>
      </c>
      <c r="E46" s="54">
        <f>E3*E65</f>
        <v>15845.141173701246</v>
      </c>
      <c r="F46" s="54">
        <f>F3*F65</f>
        <v>17905.009526282407</v>
      </c>
      <c r="G46" s="54">
        <f>G3*G65</f>
        <v>20131.624712912813</v>
      </c>
      <c r="H46" s="54">
        <f>H3*H65</f>
        <v>22663.895266962834</v>
      </c>
      <c r="I46" s="54">
        <f>I3*I65</f>
        <v>25535.734206674297</v>
      </c>
    </row>
    <row r="47" spans="1:12" ht="15.6" thickBot="1" x14ac:dyDescent="0.4">
      <c r="A47" s="51" t="s">
        <v>98</v>
      </c>
      <c r="B47" s="40">
        <f>'Balance Sheet'!H11</f>
        <v>-13856</v>
      </c>
      <c r="C47" s="57">
        <f>'Balance Sheet'!H19</f>
        <v>3473</v>
      </c>
      <c r="D47" s="40">
        <f>'Balance Sheet'!M11</f>
        <v>-5042</v>
      </c>
      <c r="E47" s="54">
        <f>E3*E66</f>
        <v>-15554.056697599999</v>
      </c>
      <c r="F47" s="54">
        <f>F3*F66</f>
        <v>-17576.084068287997</v>
      </c>
      <c r="G47" s="54">
        <f>G3*G66</f>
        <v>-19761.79503652273</v>
      </c>
      <c r="H47" s="54">
        <f>H3*H66</f>
        <v>-22247.546304976506</v>
      </c>
      <c r="I47" s="54">
        <f>I3*I66</f>
        <v>-25066.627889985408</v>
      </c>
    </row>
    <row r="48" spans="1:12" ht="15.6" thickBot="1" x14ac:dyDescent="0.4">
      <c r="A48" s="51" t="s">
        <v>92</v>
      </c>
      <c r="B48" s="54">
        <f>B45+B46-B47</f>
        <v>86813</v>
      </c>
      <c r="C48" s="54">
        <f t="shared" ref="C48" si="17">C45+C46-C47</f>
        <v>53604</v>
      </c>
      <c r="D48" s="54">
        <f>D45+D46-D47</f>
        <v>55964</v>
      </c>
      <c r="E48" s="54">
        <f>E22+E46-E47</f>
        <v>125060.2014321858</v>
      </c>
      <c r="F48" s="54">
        <f t="shared" ref="F48:I48" si="18">F22+F46-F47</f>
        <v>142340.58356056272</v>
      </c>
      <c r="G48" s="54">
        <f t="shared" si="18"/>
        <v>160252.70679634847</v>
      </c>
      <c r="H48" s="54">
        <f t="shared" si="18"/>
        <v>179820.35510906065</v>
      </c>
      <c r="I48" s="54">
        <f t="shared" si="18"/>
        <v>202959.98351802566</v>
      </c>
    </row>
    <row r="49" spans="1:18" ht="15.6" thickBot="1" x14ac:dyDescent="0.4">
      <c r="A49" s="51" t="s">
        <v>106</v>
      </c>
      <c r="B49" s="56">
        <v>-20622</v>
      </c>
      <c r="C49" s="56">
        <v>-15441</v>
      </c>
      <c r="D49" s="56">
        <v>-13925</v>
      </c>
      <c r="E49" s="54">
        <f>E3*E67</f>
        <v>-21475.369228237003</v>
      </c>
      <c r="F49" s="54">
        <f>F3*F67</f>
        <v>-24267.167227907812</v>
      </c>
      <c r="G49" s="54">
        <f>G3*G67</f>
        <v>-27284.961940993238</v>
      </c>
      <c r="H49" s="54">
        <f>H3*H67</f>
        <v>-30717.020042455621</v>
      </c>
      <c r="I49" s="54">
        <f>I3*I67</f>
        <v>-34609.304807749766</v>
      </c>
    </row>
    <row r="50" spans="1:18" ht="15.6" thickBot="1" x14ac:dyDescent="0.4">
      <c r="A50" s="51" t="s">
        <v>107</v>
      </c>
      <c r="B50" s="54">
        <f>B48-B49</f>
        <v>107435</v>
      </c>
      <c r="C50" s="54">
        <f t="shared" ref="C50:D50" si="19">C48-C49</f>
        <v>69045</v>
      </c>
      <c r="D50" s="54">
        <f t="shared" si="19"/>
        <v>69889</v>
      </c>
      <c r="E50" s="54">
        <f>E48-E49</f>
        <v>146535.57066042279</v>
      </c>
      <c r="F50" s="54">
        <f t="shared" ref="F50:I50" si="20">F48-F49</f>
        <v>166607.75078847053</v>
      </c>
      <c r="G50" s="54">
        <f t="shared" si="20"/>
        <v>187537.66873734171</v>
      </c>
      <c r="H50" s="54">
        <f t="shared" si="20"/>
        <v>210537.37515151626</v>
      </c>
      <c r="I50" s="54">
        <f t="shared" si="20"/>
        <v>237569.28832577541</v>
      </c>
    </row>
    <row r="51" spans="1:18" ht="15.6" thickBot="1" x14ac:dyDescent="0.4">
      <c r="A51" s="51" t="s">
        <v>108</v>
      </c>
      <c r="B51" s="40">
        <f>'Balance Sheet'!H27</f>
        <v>-5829</v>
      </c>
      <c r="C51" s="57">
        <f>'Balance Sheet'!H34</f>
        <v>-9588</v>
      </c>
      <c r="D51" s="40">
        <f>'Balance Sheet'!M27</f>
        <v>8232</v>
      </c>
      <c r="E51" s="54">
        <f>E3*E68</f>
        <v>-6587.8225575999995</v>
      </c>
      <c r="F51" s="54">
        <f>F3*F68</f>
        <v>-5759.1537602399994</v>
      </c>
      <c r="G51" s="54">
        <f>G3*G68</f>
        <v>-5036.3798029972977</v>
      </c>
      <c r="H51" s="54">
        <f>H3*H68</f>
        <v>-5073.196542117822</v>
      </c>
      <c r="I51" s="54">
        <f>I3*I68</f>
        <v>-10616.812055345761</v>
      </c>
    </row>
    <row r="52" spans="1:18" ht="15" x14ac:dyDescent="0.35">
      <c r="A52" s="58" t="s">
        <v>117</v>
      </c>
      <c r="B52" s="59">
        <f>B51+B50</f>
        <v>101606</v>
      </c>
      <c r="C52" s="59">
        <f t="shared" ref="C52:D52" si="21">C51+C50</f>
        <v>59457</v>
      </c>
      <c r="D52" s="59">
        <f t="shared" si="21"/>
        <v>78121</v>
      </c>
      <c r="E52" s="59">
        <f>E50+E51</f>
        <v>139947.74810282278</v>
      </c>
      <c r="F52" s="59">
        <f t="shared" ref="F52:I52" si="22">F50+F51</f>
        <v>160848.59702823052</v>
      </c>
      <c r="G52" s="59">
        <f t="shared" si="22"/>
        <v>182501.2889343444</v>
      </c>
      <c r="H52" s="59">
        <f t="shared" si="22"/>
        <v>205464.17860939843</v>
      </c>
      <c r="I52" s="59">
        <f t="shared" si="22"/>
        <v>226952.47627042964</v>
      </c>
    </row>
    <row r="53" spans="1:18" ht="15" x14ac:dyDescent="0.35">
      <c r="A53" s="60" t="s">
        <v>139</v>
      </c>
      <c r="B53" s="57"/>
      <c r="C53" s="57"/>
      <c r="D53" s="57"/>
      <c r="E53" s="57"/>
      <c r="F53" s="57"/>
      <c r="G53" s="57"/>
      <c r="H53" s="57"/>
      <c r="I53" s="61">
        <f>(I52*(1+O7))/(O6-O7)</f>
        <v>3553949.8374540866</v>
      </c>
    </row>
    <row r="54" spans="1:18" ht="15" x14ac:dyDescent="0.35">
      <c r="A54" s="62" t="s">
        <v>152</v>
      </c>
      <c r="B54" s="63">
        <f>B52</f>
        <v>101606</v>
      </c>
      <c r="C54" s="63">
        <f t="shared" ref="C54:H54" si="23">C52</f>
        <v>59457</v>
      </c>
      <c r="D54" s="63">
        <f t="shared" si="23"/>
        <v>78121</v>
      </c>
      <c r="E54" s="63">
        <f t="shared" si="23"/>
        <v>139947.74810282278</v>
      </c>
      <c r="F54" s="63">
        <f t="shared" si="23"/>
        <v>160848.59702823052</v>
      </c>
      <c r="G54" s="63">
        <f t="shared" si="23"/>
        <v>182501.2889343444</v>
      </c>
      <c r="H54" s="63">
        <f t="shared" si="23"/>
        <v>205464.17860939843</v>
      </c>
      <c r="I54" s="63">
        <f>I53+I52</f>
        <v>3780902.3137245164</v>
      </c>
    </row>
    <row r="55" spans="1:18" ht="15" x14ac:dyDescent="0.35">
      <c r="A55" s="64" t="s">
        <v>118</v>
      </c>
      <c r="B55" s="64">
        <v>2019</v>
      </c>
      <c r="C55" s="64">
        <v>2020</v>
      </c>
      <c r="D55" s="65">
        <v>2021</v>
      </c>
      <c r="E55" s="64" t="s">
        <v>123</v>
      </c>
      <c r="F55" s="64" t="s">
        <v>124</v>
      </c>
      <c r="G55" s="64" t="s">
        <v>125</v>
      </c>
      <c r="H55" s="64" t="s">
        <v>126</v>
      </c>
      <c r="I55" s="64" t="s">
        <v>127</v>
      </c>
    </row>
    <row r="56" spans="1:18" ht="15" x14ac:dyDescent="0.35">
      <c r="A56" s="36" t="s">
        <v>119</v>
      </c>
      <c r="B56" s="66" t="s">
        <v>162</v>
      </c>
      <c r="C56" s="49">
        <f>C3/D3-1</f>
        <v>0.13645574247276371</v>
      </c>
      <c r="D56" s="67">
        <f>B3/C3-1</f>
        <v>0.17531727441177503</v>
      </c>
      <c r="E56" s="49">
        <v>0.16</v>
      </c>
      <c r="F56" s="49">
        <v>0.14000000000000001</v>
      </c>
      <c r="G56" s="49">
        <v>0.15</v>
      </c>
      <c r="H56" s="49">
        <v>0.15</v>
      </c>
      <c r="I56" s="49">
        <v>0.16</v>
      </c>
      <c r="L56" s="15"/>
      <c r="M56" s="72"/>
      <c r="N56" s="72"/>
      <c r="O56" s="73"/>
      <c r="P56" s="15"/>
      <c r="Q56" s="15"/>
      <c r="R56" s="15"/>
    </row>
    <row r="57" spans="1:18" ht="15" x14ac:dyDescent="0.35">
      <c r="A57" s="36" t="s">
        <v>120</v>
      </c>
      <c r="B57" s="49">
        <f>D6/D3</f>
        <v>0.34098042799361111</v>
      </c>
      <c r="C57" s="49">
        <f>C6/C3</f>
        <v>0.32218998007202043</v>
      </c>
      <c r="D57" s="49">
        <f>B6/B3</f>
        <v>0.31074199228975297</v>
      </c>
      <c r="E57" s="68">
        <f t="shared" ref="E57:E61" si="24">AVERAGE(B57:D57)</f>
        <v>0.32463746678512817</v>
      </c>
      <c r="F57" s="68">
        <f t="shared" ref="F57" si="25">AVERAGE(C57:E57)</f>
        <v>0.31918981304896721</v>
      </c>
      <c r="G57" s="68">
        <f t="shared" ref="G57" si="26">AVERAGE(D57:F57)</f>
        <v>0.31818975737461613</v>
      </c>
      <c r="H57" s="68">
        <f t="shared" ref="H57:I57" si="27">AVERAGE(E57:G57)</f>
        <v>0.32067234573623721</v>
      </c>
      <c r="I57" s="68">
        <f t="shared" si="27"/>
        <v>0.31935063871994024</v>
      </c>
      <c r="L57" s="15"/>
      <c r="M57" s="74"/>
      <c r="N57" s="74"/>
      <c r="O57" s="74"/>
      <c r="P57" s="74"/>
      <c r="Q57" s="75"/>
      <c r="R57" s="75"/>
    </row>
    <row r="58" spans="1:18" ht="15" x14ac:dyDescent="0.35">
      <c r="A58" s="36" t="s">
        <v>121</v>
      </c>
      <c r="B58" s="49">
        <f>D10/D3</f>
        <v>0.18354616466549589</v>
      </c>
      <c r="C58" s="49">
        <f>C10/C3</f>
        <v>0.17277208684403733</v>
      </c>
      <c r="D58" s="49">
        <f>B10/B3</f>
        <v>0.15006425205844556</v>
      </c>
      <c r="E58" s="68">
        <f>12%</f>
        <v>0.12</v>
      </c>
      <c r="F58" s="68">
        <f>12%</f>
        <v>0.12</v>
      </c>
      <c r="G58" s="68">
        <f>12%</f>
        <v>0.12</v>
      </c>
      <c r="H58" s="68">
        <f>12%</f>
        <v>0.12</v>
      </c>
      <c r="I58" s="68">
        <f>12%</f>
        <v>0.12</v>
      </c>
      <c r="L58" s="15"/>
      <c r="M58" s="15"/>
      <c r="N58" s="15"/>
      <c r="O58" s="15"/>
      <c r="P58" s="15"/>
      <c r="Q58" s="15"/>
      <c r="R58" s="15"/>
    </row>
    <row r="59" spans="1:18" ht="15" x14ac:dyDescent="0.35">
      <c r="A59" s="36" t="s">
        <v>122</v>
      </c>
      <c r="B59" s="49">
        <f>D15/D3</f>
        <v>2.1947982803970027E-2</v>
      </c>
      <c r="C59" s="49">
        <f>C15/C3</f>
        <v>1.8739293081145334E-2</v>
      </c>
      <c r="D59" s="49">
        <f>B15/B3</f>
        <v>1.2677883013659512E-2</v>
      </c>
      <c r="E59" s="68">
        <f t="shared" si="24"/>
        <v>1.7788386299591626E-2</v>
      </c>
      <c r="F59" s="68">
        <v>1.7788386299591626E-2</v>
      </c>
      <c r="G59" s="68">
        <v>1.7788386299591626E-2</v>
      </c>
      <c r="H59" s="68">
        <v>1.7788386299591626E-2</v>
      </c>
      <c r="I59" s="68">
        <v>1.7788386299591626E-2</v>
      </c>
      <c r="L59" s="15"/>
      <c r="M59" s="15"/>
      <c r="N59" s="15"/>
      <c r="O59" s="15"/>
      <c r="P59" s="15"/>
      <c r="Q59" s="15"/>
      <c r="R59" s="15"/>
    </row>
    <row r="60" spans="1:18" ht="15" x14ac:dyDescent="0.35">
      <c r="A60" s="36" t="s">
        <v>128</v>
      </c>
      <c r="B60" s="49">
        <f>D16/D3</f>
        <v>2.1344055688437179E-2</v>
      </c>
      <c r="C60" s="49">
        <f>C16/C3</f>
        <v>1.8116980736286405E-2</v>
      </c>
      <c r="D60" s="49">
        <f>B16/B3</f>
        <v>1.3956974917900147E-2</v>
      </c>
      <c r="E60" s="49">
        <f t="shared" si="24"/>
        <v>1.7806003780874578E-2</v>
      </c>
      <c r="F60" s="49">
        <v>1.7806003780874578E-2</v>
      </c>
      <c r="G60" s="49">
        <v>1.7806003780874578E-2</v>
      </c>
      <c r="H60" s="49">
        <v>1.7806003780874578E-2</v>
      </c>
      <c r="I60" s="49">
        <v>1.7806003780874578E-2</v>
      </c>
      <c r="L60" s="15"/>
      <c r="M60" s="15"/>
      <c r="N60" s="15"/>
      <c r="O60" s="15"/>
      <c r="P60" s="15"/>
      <c r="Q60" s="15"/>
      <c r="R60" s="15"/>
    </row>
    <row r="61" spans="1:18" ht="15" x14ac:dyDescent="0.35">
      <c r="A61" s="36" t="str">
        <f>A43</f>
        <v>Normalized EBITDA</v>
      </c>
      <c r="B61" s="49">
        <f>D43/D3</f>
        <v>0.65049307470419493</v>
      </c>
      <c r="C61" s="49">
        <f>C43/C3</f>
        <v>0.56651400202775937</v>
      </c>
      <c r="D61" s="49">
        <f>B43/B3</f>
        <v>0.73256865451430209</v>
      </c>
      <c r="E61" s="49">
        <f t="shared" si="24"/>
        <v>0.64985857708208539</v>
      </c>
      <c r="F61" s="49">
        <f t="shared" ref="F61:I61" si="28">AVERAGE(C61:E61)</f>
        <v>0.64964707787471554</v>
      </c>
      <c r="G61" s="49">
        <f t="shared" si="28"/>
        <v>0.67735810315703437</v>
      </c>
      <c r="H61" s="49">
        <f t="shared" si="28"/>
        <v>0.6589545860379451</v>
      </c>
      <c r="I61" s="49">
        <f t="shared" si="28"/>
        <v>0.6619865890232316</v>
      </c>
      <c r="L61" s="15"/>
      <c r="M61" s="15"/>
      <c r="N61" s="15"/>
      <c r="O61" s="15"/>
      <c r="P61" s="15"/>
      <c r="Q61" s="15"/>
      <c r="R61" s="15"/>
    </row>
    <row r="62" spans="1:18" ht="15" x14ac:dyDescent="0.35">
      <c r="A62" s="36" t="s">
        <v>137</v>
      </c>
      <c r="B62" s="49">
        <f>D17/D3</f>
        <v>5.1890053479335362E-3</v>
      </c>
      <c r="C62" s="49">
        <f>C17/C3</f>
        <v>-8.3907282452889563E-5</v>
      </c>
      <c r="D62" s="49">
        <f>B17/B3</f>
        <v>8.3349198039122368E-3</v>
      </c>
      <c r="E62" s="49">
        <f>0.85%</f>
        <v>8.5000000000000006E-3</v>
      </c>
      <c r="F62" s="49">
        <f t="shared" ref="F62:I62" si="29">0.85%</f>
        <v>8.5000000000000006E-3</v>
      </c>
      <c r="G62" s="49">
        <f t="shared" si="29"/>
        <v>8.5000000000000006E-3</v>
      </c>
      <c r="H62" s="49">
        <f t="shared" si="29"/>
        <v>8.5000000000000006E-3</v>
      </c>
      <c r="I62" s="49">
        <f t="shared" si="29"/>
        <v>8.5000000000000006E-3</v>
      </c>
      <c r="L62" s="15"/>
      <c r="M62" s="15"/>
      <c r="N62" s="15"/>
      <c r="O62" s="15"/>
      <c r="P62" s="15"/>
      <c r="Q62" s="15"/>
      <c r="R62" s="15"/>
    </row>
    <row r="63" spans="1:18" ht="15" x14ac:dyDescent="0.35">
      <c r="A63" s="36" t="s">
        <v>130</v>
      </c>
      <c r="B63" s="49">
        <f>D20/D19</f>
        <v>0.10181285478850027</v>
      </c>
      <c r="C63" s="49">
        <f>C20/C19</f>
        <v>0.16507655177615205</v>
      </c>
      <c r="D63" s="49">
        <f>B20/B19</f>
        <v>0.13826615285083402</v>
      </c>
      <c r="E63" s="49">
        <v>0.12</v>
      </c>
      <c r="F63" s="49">
        <v>0.12</v>
      </c>
      <c r="G63" s="49">
        <v>0.12</v>
      </c>
      <c r="H63" s="49">
        <v>0.12</v>
      </c>
      <c r="I63" s="49">
        <v>0.12</v>
      </c>
      <c r="L63" s="15"/>
      <c r="M63" s="75"/>
      <c r="N63" s="75"/>
      <c r="O63" s="75"/>
      <c r="P63" s="75"/>
      <c r="Q63" s="15"/>
      <c r="R63" s="15"/>
    </row>
    <row r="64" spans="1:18" ht="15" x14ac:dyDescent="0.35">
      <c r="A64" s="36" t="s">
        <v>131</v>
      </c>
      <c r="B64" s="49">
        <f>D42/D3</f>
        <v>0.31181710544090652</v>
      </c>
      <c r="C64" s="49">
        <f>C42/C3</f>
        <v>0.30962486452470023</v>
      </c>
      <c r="D64" s="49">
        <f>B42/B3</f>
        <v>0.36451739564989766</v>
      </c>
      <c r="E64" s="49">
        <f>AVERAGE(B64:D64)</f>
        <v>0.32865312187183476</v>
      </c>
      <c r="F64" s="49">
        <f t="shared" ref="F64" si="30">AVERAGE(C64:E64)</f>
        <v>0.33426512734881086</v>
      </c>
      <c r="G64" s="49">
        <v>0.33426512734881086</v>
      </c>
      <c r="H64" s="49">
        <v>0.33426512734881086</v>
      </c>
      <c r="I64" s="49">
        <v>0.33426512734881086</v>
      </c>
      <c r="L64" s="15"/>
      <c r="M64" s="15"/>
      <c r="N64" s="15"/>
      <c r="O64" s="15"/>
      <c r="P64" s="15"/>
      <c r="Q64" s="15"/>
      <c r="R64" s="15"/>
    </row>
    <row r="65" spans="1:11 16384:16384" ht="15" x14ac:dyDescent="0.35">
      <c r="A65" s="36" t="s">
        <v>132</v>
      </c>
      <c r="B65" s="49">
        <f>D46/D3</f>
        <v>9.2829954784930432E-2</v>
      </c>
      <c r="C65" s="49">
        <f>C46/C3</f>
        <v>8.9473132188931229E-2</v>
      </c>
      <c r="D65" s="49">
        <f>B46/B3</f>
        <v>6.9523106943981727E-2</v>
      </c>
      <c r="E65" s="49">
        <f>AVERAGE(B65:D65)</f>
        <v>8.3942064639281125E-2</v>
      </c>
      <c r="F65" s="49">
        <v>8.3942064639281125E-2</v>
      </c>
      <c r="G65" s="49">
        <v>8.3942064639281125E-2</v>
      </c>
      <c r="H65" s="49">
        <v>8.3942064639281125E-2</v>
      </c>
      <c r="I65" s="49">
        <v>8.3942064639281125E-2</v>
      </c>
    </row>
    <row r="66" spans="1:11 16384:16384" ht="15" x14ac:dyDescent="0.35">
      <c r="A66" s="36" t="s">
        <v>133</v>
      </c>
      <c r="B66" s="49">
        <f>D47/D3</f>
        <v>-4.006579626995542E-2</v>
      </c>
      <c r="C66" s="49">
        <f>C46/C3</f>
        <v>8.9473132188931229E-2</v>
      </c>
      <c r="D66" s="49">
        <f>B47/B3</f>
        <v>-8.2433011279805818E-2</v>
      </c>
      <c r="E66" s="49">
        <f>-8.24%</f>
        <v>-8.2400000000000001E-2</v>
      </c>
      <c r="F66" s="49">
        <f t="shared" ref="F66:I66" si="31">-8.24%</f>
        <v>-8.2400000000000001E-2</v>
      </c>
      <c r="G66" s="49">
        <f t="shared" si="31"/>
        <v>-8.2400000000000001E-2</v>
      </c>
      <c r="H66" s="49">
        <f t="shared" si="31"/>
        <v>-8.2400000000000001E-2</v>
      </c>
      <c r="I66" s="49">
        <f t="shared" si="31"/>
        <v>-8.2400000000000001E-2</v>
      </c>
      <c r="K66" s="11"/>
    </row>
    <row r="67" spans="1:11 16384:16384" ht="15" x14ac:dyDescent="0.35">
      <c r="A67" s="36" t="s">
        <v>134</v>
      </c>
      <c r="B67" s="49">
        <f>D49/D3</f>
        <v>-0.11065375110256431</v>
      </c>
      <c r="C67" s="49">
        <f>C49/C3</f>
        <v>-0.10796769569625564</v>
      </c>
      <c r="D67" s="49">
        <f>B49/B3</f>
        <v>-0.12268573604302509</v>
      </c>
      <c r="E67" s="49">
        <f>AVERAGE(B67:D67)</f>
        <v>-0.11376906094728167</v>
      </c>
      <c r="F67" s="49">
        <v>-0.11376906094728167</v>
      </c>
      <c r="G67" s="49">
        <v>-0.11376906094728167</v>
      </c>
      <c r="H67" s="49">
        <v>-0.11376906094728167</v>
      </c>
      <c r="I67" s="49">
        <v>-0.11376906094728167</v>
      </c>
      <c r="XFD67" s="1" t="s">
        <v>90</v>
      </c>
    </row>
    <row r="68" spans="1:11 16384:16384" ht="15" x14ac:dyDescent="0.35">
      <c r="A68" s="36" t="s">
        <v>135</v>
      </c>
      <c r="B68" s="49">
        <f>D51/C3</f>
        <v>5.7560395762682237E-2</v>
      </c>
      <c r="C68" s="49">
        <f>C51/C3</f>
        <v>-6.7041918679858759E-2</v>
      </c>
      <c r="D68" s="49">
        <f>B51/B3</f>
        <v>-3.4678263766598445E-2</v>
      </c>
      <c r="E68" s="49">
        <f>-3.49%</f>
        <v>-3.49E-2</v>
      </c>
      <c r="F68" s="49">
        <f>-2.7%</f>
        <v>-2.7000000000000003E-2</v>
      </c>
      <c r="G68" s="49">
        <f>-2.1%</f>
        <v>-2.1000000000000001E-2</v>
      </c>
      <c r="H68" s="49">
        <f>-1.879%</f>
        <v>-1.8790000000000001E-2</v>
      </c>
      <c r="I68" s="49">
        <f t="shared" ref="I68" si="32">-3.49%</f>
        <v>-3.49E-2</v>
      </c>
    </row>
    <row r="69" spans="1:11 16384:16384" ht="15" x14ac:dyDescent="0.35">
      <c r="A69" s="52"/>
      <c r="B69" s="69"/>
      <c r="C69" s="69"/>
      <c r="D69" s="69"/>
      <c r="E69" s="69"/>
      <c r="F69" s="52"/>
      <c r="G69" s="52"/>
      <c r="H69" s="69"/>
      <c r="I69" s="69"/>
    </row>
    <row r="70" spans="1:11 16384:16384" ht="15" x14ac:dyDescent="0.35">
      <c r="A70" s="35" t="s">
        <v>153</v>
      </c>
      <c r="B70" s="35">
        <f>NPV(O6,B54:I54)</f>
        <v>2433204.5778189949</v>
      </c>
      <c r="C70" s="52"/>
      <c r="D70" s="70"/>
      <c r="E70" s="71"/>
      <c r="F70" s="52"/>
      <c r="G70" s="52"/>
      <c r="H70" s="52"/>
      <c r="I70" s="52"/>
    </row>
    <row r="71" spans="1:11 16384:16384" ht="15" x14ac:dyDescent="0.35">
      <c r="A71" s="36" t="s">
        <v>154</v>
      </c>
      <c r="B71" s="36">
        <v>7496</v>
      </c>
      <c r="C71" s="52"/>
      <c r="D71" s="70"/>
      <c r="E71" s="71"/>
      <c r="F71" s="52"/>
      <c r="G71" s="52"/>
      <c r="H71" s="52"/>
      <c r="I71" s="52"/>
    </row>
    <row r="72" spans="1:11 16384:16384" ht="15" x14ac:dyDescent="0.35">
      <c r="A72" s="35" t="s">
        <v>155</v>
      </c>
      <c r="B72" s="35">
        <f>B70/B71</f>
        <v>324.60039725440168</v>
      </c>
      <c r="C72" s="52"/>
      <c r="D72" s="70"/>
      <c r="E72" s="71"/>
      <c r="F72" s="52"/>
      <c r="G72" s="52"/>
      <c r="H72" s="52"/>
      <c r="I72" s="52"/>
    </row>
    <row r="73" spans="1:11 16384:16384" ht="15" x14ac:dyDescent="0.35">
      <c r="A73" s="36" t="s">
        <v>156</v>
      </c>
      <c r="B73" s="36">
        <v>252.4</v>
      </c>
      <c r="C73" s="52"/>
      <c r="D73" s="70"/>
      <c r="E73" s="71"/>
      <c r="F73" s="52"/>
      <c r="G73" s="52"/>
      <c r="H73" s="52"/>
      <c r="I73" s="52"/>
    </row>
    <row r="74" spans="1:11 16384:16384" ht="15" x14ac:dyDescent="0.35">
      <c r="A74" s="35" t="s">
        <v>157</v>
      </c>
      <c r="B74" s="37" t="str">
        <f>IF(B72&gt;B73,"Buy","Sell")</f>
        <v>Buy</v>
      </c>
      <c r="C74" s="52"/>
      <c r="D74" s="70"/>
      <c r="E74" s="71"/>
      <c r="F74" s="52"/>
      <c r="G74" s="52"/>
      <c r="H74" s="52"/>
      <c r="I74" s="52"/>
    </row>
    <row r="75" spans="1:11 16384:16384" ht="15" x14ac:dyDescent="0.35">
      <c r="A75" s="36" t="s">
        <v>158</v>
      </c>
      <c r="B75" s="38">
        <f>B72/B73-1</f>
        <v>0.28605545663392107</v>
      </c>
      <c r="C75" s="52"/>
      <c r="D75" s="70"/>
      <c r="E75" s="71"/>
      <c r="F75" s="52"/>
      <c r="G75" s="52"/>
      <c r="H75" s="52"/>
      <c r="I75" s="52"/>
    </row>
  </sheetData>
  <autoFilter ref="A2:I43" xr:uid="{321C643B-6B28-4A39-99B0-AC4D96A1BD47}">
    <filterColumn colId="0">
      <colorFilter dxfId="0"/>
    </filterColumn>
  </autoFilter>
  <mergeCells count="2">
    <mergeCell ref="E1:I1"/>
    <mergeCell ref="N11:O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5F4A-A991-49F0-9B00-545FAE87DCE1}">
  <sheetPr>
    <tabColor rgb="FF92D050"/>
  </sheetPr>
  <dimension ref="A7:T34"/>
  <sheetViews>
    <sheetView topLeftCell="A34" zoomScaleNormal="100" workbookViewId="0">
      <selection activeCell="C11" sqref="C11"/>
    </sheetView>
  </sheetViews>
  <sheetFormatPr defaultRowHeight="14.4" x14ac:dyDescent="0.3"/>
  <cols>
    <col min="1" max="1" width="19.33203125" bestFit="1" customWidth="1"/>
    <col min="2" max="4" width="10.77734375" bestFit="1" customWidth="1"/>
    <col min="5" max="9" width="12.6640625" bestFit="1" customWidth="1"/>
    <col min="11" max="11" width="16" customWidth="1"/>
    <col min="12" max="12" width="16.5546875" customWidth="1"/>
    <col min="13" max="15" width="9.6640625" bestFit="1" customWidth="1"/>
  </cols>
  <sheetData>
    <row r="7" spans="1:20" x14ac:dyDescent="0.3">
      <c r="A7" s="100"/>
      <c r="B7" s="100"/>
      <c r="C7" s="100"/>
      <c r="D7" s="100"/>
      <c r="F7" s="14"/>
      <c r="G7" s="14"/>
      <c r="H7" s="14"/>
      <c r="I7" s="14"/>
      <c r="J7" s="14"/>
      <c r="L7" s="14"/>
      <c r="M7" s="14"/>
      <c r="N7" s="14"/>
      <c r="O7" s="14"/>
      <c r="P7" s="14"/>
      <c r="Q7" s="14"/>
      <c r="R7" s="14"/>
      <c r="S7" s="14"/>
      <c r="T7" s="14"/>
    </row>
    <row r="8" spans="1:20" x14ac:dyDescent="0.3">
      <c r="A8" s="98"/>
      <c r="B8" s="97"/>
      <c r="C8" s="97"/>
      <c r="D8" s="97"/>
      <c r="F8" s="15"/>
      <c r="G8" s="15"/>
      <c r="H8" s="15"/>
      <c r="I8" s="15"/>
      <c r="J8" s="15"/>
    </row>
    <row r="9" spans="1:20" x14ac:dyDescent="0.3">
      <c r="A9" s="98"/>
      <c r="B9" s="97"/>
      <c r="C9" s="97"/>
      <c r="D9" s="97"/>
      <c r="F9" s="15"/>
      <c r="G9" s="15"/>
      <c r="H9" s="15"/>
      <c r="I9" s="15"/>
      <c r="J9" s="15"/>
    </row>
    <row r="10" spans="1:20" x14ac:dyDescent="0.3">
      <c r="A10" s="98"/>
      <c r="B10" s="99"/>
      <c r="C10" s="99"/>
      <c r="D10" s="99"/>
      <c r="F10" s="16"/>
      <c r="G10" s="16"/>
      <c r="H10" s="16"/>
      <c r="I10" s="16"/>
      <c r="J10" s="16"/>
      <c r="M10" s="17"/>
      <c r="N10" s="17"/>
      <c r="O10" s="17"/>
      <c r="P10" s="17"/>
      <c r="Q10" s="17"/>
      <c r="R10" s="17"/>
      <c r="S10" s="17"/>
      <c r="T10" s="17"/>
    </row>
    <row r="11" spans="1:20" x14ac:dyDescent="0.3">
      <c r="A11" s="97"/>
      <c r="B11" s="97"/>
      <c r="C11" s="97"/>
      <c r="D11" s="97"/>
      <c r="F11" s="15"/>
      <c r="G11" s="15"/>
      <c r="H11" s="15"/>
      <c r="I11" s="15"/>
      <c r="J11" s="15"/>
    </row>
    <row r="12" spans="1:20" x14ac:dyDescent="0.3">
      <c r="A12" s="97"/>
      <c r="B12" s="97"/>
      <c r="C12" s="97"/>
      <c r="D12" s="97"/>
      <c r="F12" s="15"/>
      <c r="G12" s="15"/>
      <c r="H12" s="15"/>
      <c r="I12" s="15"/>
      <c r="J12" s="15"/>
    </row>
    <row r="13" spans="1:20" x14ac:dyDescent="0.3">
      <c r="A13" s="97"/>
      <c r="B13" s="97"/>
      <c r="C13" s="97"/>
      <c r="D13" s="97"/>
      <c r="F13" s="15"/>
      <c r="G13" s="15"/>
      <c r="H13" s="15"/>
      <c r="I13" s="15"/>
      <c r="J13" s="15"/>
    </row>
    <row r="14" spans="1:20" x14ac:dyDescent="0.3">
      <c r="A14" s="100"/>
      <c r="B14" s="100"/>
      <c r="C14" s="100"/>
      <c r="D14" s="100"/>
      <c r="F14" s="14"/>
      <c r="G14" s="14"/>
      <c r="H14" s="14"/>
      <c r="I14" s="14"/>
      <c r="J14" s="14"/>
    </row>
    <row r="15" spans="1:20" x14ac:dyDescent="0.3">
      <c r="A15" s="98"/>
      <c r="B15" s="97"/>
      <c r="C15" s="97"/>
      <c r="D15" s="97"/>
      <c r="F15" s="15"/>
      <c r="G15" s="15"/>
      <c r="H15" s="15"/>
      <c r="I15" s="15"/>
      <c r="J15" s="15"/>
    </row>
    <row r="16" spans="1:20" x14ac:dyDescent="0.3">
      <c r="A16" s="98"/>
      <c r="B16" s="97"/>
      <c r="C16" s="97"/>
      <c r="D16" s="97"/>
      <c r="F16" s="15"/>
      <c r="G16" s="15"/>
      <c r="H16" s="15"/>
      <c r="I16" s="15"/>
      <c r="J16" s="15"/>
    </row>
    <row r="17" spans="1:10" x14ac:dyDescent="0.3">
      <c r="A17" s="98"/>
      <c r="B17" s="99"/>
      <c r="C17" s="99"/>
      <c r="D17" s="99"/>
      <c r="F17" s="16"/>
      <c r="G17" s="16"/>
      <c r="H17" s="16"/>
      <c r="I17" s="16"/>
      <c r="J17" s="16"/>
    </row>
    <row r="18" spans="1:10" x14ac:dyDescent="0.3">
      <c r="A18" t="s">
        <v>90</v>
      </c>
      <c r="G18" s="4"/>
      <c r="H18" s="4"/>
      <c r="J18" s="4"/>
    </row>
    <row r="20" spans="1:10" x14ac:dyDescent="0.3">
      <c r="A20" s="12" t="s">
        <v>136</v>
      </c>
      <c r="B20" s="13">
        <v>42004</v>
      </c>
      <c r="C20" s="13">
        <v>42369</v>
      </c>
      <c r="D20" s="13">
        <v>42735</v>
      </c>
      <c r="E20" s="13">
        <v>43100</v>
      </c>
      <c r="F20" s="13">
        <v>43465</v>
      </c>
      <c r="G20" s="13">
        <v>43830</v>
      </c>
      <c r="H20" s="13">
        <v>44196</v>
      </c>
      <c r="I20" s="13">
        <v>44561</v>
      </c>
    </row>
    <row r="21" spans="1:10" x14ac:dyDescent="0.3">
      <c r="A21" s="3" t="s">
        <v>14</v>
      </c>
      <c r="B21" s="2">
        <v>22074</v>
      </c>
      <c r="C21" s="2">
        <v>12193</v>
      </c>
      <c r="D21" s="2">
        <v>20539</v>
      </c>
      <c r="E21">
        <v>25489</v>
      </c>
      <c r="F21" s="2">
        <v>16571</v>
      </c>
      <c r="G21" s="2">
        <v>39240</v>
      </c>
      <c r="H21" s="2">
        <v>44281</v>
      </c>
      <c r="I21" s="2">
        <v>61271</v>
      </c>
    </row>
    <row r="22" spans="1:10" x14ac:dyDescent="0.3">
      <c r="A22" s="3" t="s">
        <v>75</v>
      </c>
      <c r="B22" s="10">
        <v>89784</v>
      </c>
      <c r="C22" s="10">
        <v>80083</v>
      </c>
      <c r="D22" s="10">
        <v>71997</v>
      </c>
      <c r="E22" s="10">
        <v>87711</v>
      </c>
      <c r="F22" s="10">
        <v>82718</v>
      </c>
      <c r="G22" s="2">
        <v>102330</v>
      </c>
      <c r="H22" s="2">
        <v>118304</v>
      </c>
      <c r="I22" s="2">
        <v>141988</v>
      </c>
    </row>
    <row r="23" spans="1:10" x14ac:dyDescent="0.3">
      <c r="A23" s="3" t="s">
        <v>159</v>
      </c>
      <c r="B23" s="9">
        <f t="shared" ref="B23:C23" si="0">B21/B22</f>
        <v>0.24585672280139001</v>
      </c>
      <c r="C23" s="9">
        <f t="shared" si="0"/>
        <v>0.15225453591898405</v>
      </c>
      <c r="D23" s="9">
        <f>D21/D22</f>
        <v>0.28527577537952969</v>
      </c>
      <c r="E23" s="9">
        <f>E21/E22</f>
        <v>0.29060209095780459</v>
      </c>
      <c r="F23" s="9">
        <f t="shared" ref="F23" si="1">F21/F22</f>
        <v>0.20033124591987234</v>
      </c>
      <c r="G23" s="9">
        <f t="shared" ref="G23" si="2">G21/G22</f>
        <v>0.38346525945470539</v>
      </c>
      <c r="H23" s="9">
        <f t="shared" ref="H23" si="3">H21/H22</f>
        <v>0.37429841763592103</v>
      </c>
      <c r="I23" s="9">
        <f t="shared" ref="I23" si="4">I21/I22</f>
        <v>0.43152238217314137</v>
      </c>
    </row>
    <row r="25" spans="1:10" x14ac:dyDescent="0.3">
      <c r="A25" s="12" t="s">
        <v>136</v>
      </c>
      <c r="B25" s="13">
        <v>42004</v>
      </c>
      <c r="C25" s="13">
        <v>42369</v>
      </c>
      <c r="D25" s="13">
        <v>42735</v>
      </c>
      <c r="E25" s="13">
        <v>43100</v>
      </c>
      <c r="F25" s="13">
        <v>43465</v>
      </c>
      <c r="G25" s="13">
        <v>43830</v>
      </c>
      <c r="H25" s="13">
        <v>44196</v>
      </c>
      <c r="I25" s="13">
        <v>44561</v>
      </c>
    </row>
    <row r="26" spans="1:10" x14ac:dyDescent="0.3">
      <c r="A26" s="3" t="s">
        <v>14</v>
      </c>
      <c r="B26" s="2">
        <v>22074</v>
      </c>
      <c r="C26" s="2">
        <v>12193</v>
      </c>
      <c r="D26" s="2">
        <v>20539</v>
      </c>
      <c r="E26" s="2">
        <v>25489</v>
      </c>
      <c r="F26" s="2">
        <v>16571</v>
      </c>
      <c r="G26" s="2">
        <v>39240</v>
      </c>
      <c r="H26" s="2">
        <v>44281</v>
      </c>
      <c r="I26" s="2">
        <v>61271</v>
      </c>
    </row>
    <row r="27" spans="1:10" x14ac:dyDescent="0.3">
      <c r="A27" s="3" t="s">
        <v>35</v>
      </c>
      <c r="B27" s="10">
        <v>172384</v>
      </c>
      <c r="C27" s="10">
        <v>174472</v>
      </c>
      <c r="D27" s="10">
        <v>193468</v>
      </c>
      <c r="E27" s="10">
        <v>250312</v>
      </c>
      <c r="F27" s="10">
        <v>258848</v>
      </c>
      <c r="G27" s="2">
        <v>286556</v>
      </c>
      <c r="H27" s="2">
        <v>301311</v>
      </c>
      <c r="I27" s="2">
        <v>333779</v>
      </c>
    </row>
    <row r="28" spans="1:10" x14ac:dyDescent="0.3">
      <c r="A28" s="3" t="s">
        <v>160</v>
      </c>
      <c r="B28" s="9">
        <f t="shared" ref="B28:C28" si="5">B26/B27</f>
        <v>0.12805132726935214</v>
      </c>
      <c r="C28" s="9">
        <f t="shared" si="5"/>
        <v>6.988513916273098E-2</v>
      </c>
      <c r="D28" s="9">
        <f>D26/D27</f>
        <v>0.10616225939173403</v>
      </c>
      <c r="E28" s="9">
        <f>E26/E27</f>
        <v>0.10182891751094635</v>
      </c>
      <c r="F28" s="9">
        <f t="shared" ref="F28" si="6">F26/F27</f>
        <v>6.4018265545802935E-2</v>
      </c>
      <c r="G28" s="9">
        <f t="shared" ref="G28" si="7">G26/G27</f>
        <v>0.13693658482111698</v>
      </c>
      <c r="H28" s="9">
        <f t="shared" ref="H28" si="8">H26/H27</f>
        <v>0.14696111326835065</v>
      </c>
      <c r="I28" s="9">
        <f t="shared" ref="I28" si="9">I26/I27</f>
        <v>0.18356757015869782</v>
      </c>
    </row>
    <row r="30" spans="1:10" x14ac:dyDescent="0.3">
      <c r="A30" s="12" t="s">
        <v>136</v>
      </c>
      <c r="B30" s="13">
        <v>42004</v>
      </c>
      <c r="C30" s="13">
        <v>42369</v>
      </c>
      <c r="D30" s="13">
        <v>42735</v>
      </c>
      <c r="E30" s="13">
        <v>43100</v>
      </c>
      <c r="F30" s="13">
        <v>43465</v>
      </c>
      <c r="G30" s="13">
        <v>43830</v>
      </c>
      <c r="H30" s="13">
        <v>44196</v>
      </c>
      <c r="I30" s="13">
        <v>44561</v>
      </c>
    </row>
    <row r="31" spans="1:10" x14ac:dyDescent="0.3">
      <c r="A31" s="2" t="s">
        <v>14</v>
      </c>
      <c r="B31" s="10">
        <v>22074</v>
      </c>
      <c r="C31" s="10">
        <v>12193</v>
      </c>
      <c r="D31" s="10">
        <v>20539</v>
      </c>
      <c r="E31" s="10">
        <v>25489</v>
      </c>
      <c r="F31" s="10">
        <v>16571</v>
      </c>
      <c r="G31" s="2">
        <v>39240</v>
      </c>
      <c r="H31" s="2">
        <v>44281</v>
      </c>
      <c r="I31" s="2">
        <v>61271</v>
      </c>
    </row>
    <row r="32" spans="1:10" x14ac:dyDescent="0.3">
      <c r="A32" s="2" t="s">
        <v>0</v>
      </c>
      <c r="B32" s="2">
        <v>86830</v>
      </c>
      <c r="C32" s="2">
        <v>93580</v>
      </c>
      <c r="D32" s="2">
        <v>85320</v>
      </c>
      <c r="E32" s="2">
        <v>89950</v>
      </c>
      <c r="F32" s="2">
        <v>110360</v>
      </c>
      <c r="G32" s="2">
        <v>125843</v>
      </c>
      <c r="H32" s="2">
        <v>143015</v>
      </c>
      <c r="I32" s="2">
        <v>168088</v>
      </c>
    </row>
    <row r="33" spans="1:9" x14ac:dyDescent="0.3">
      <c r="A33" s="2" t="s">
        <v>161</v>
      </c>
      <c r="B33" s="5">
        <f>B31/B32</f>
        <v>0.25422089139698262</v>
      </c>
      <c r="C33" s="5">
        <f t="shared" ref="C33" si="10">C31/C32</f>
        <v>0.13029493481513144</v>
      </c>
      <c r="D33" s="5">
        <f>D31/D32</f>
        <v>0.2407290201593999</v>
      </c>
      <c r="E33" s="5">
        <f t="shared" ref="E33" si="11">E31/E32</f>
        <v>0.28336853807670931</v>
      </c>
      <c r="F33" s="5">
        <f>F31/F32</f>
        <v>0.15015404131931859</v>
      </c>
      <c r="G33" s="5">
        <f t="shared" ref="G33" si="12">G31/G32</f>
        <v>0.31181710544090652</v>
      </c>
      <c r="H33" s="5">
        <f t="shared" ref="H33" si="13">H31/H32</f>
        <v>0.30962486452470023</v>
      </c>
      <c r="I33" s="5">
        <f t="shared" ref="I33" si="14">I31/I32</f>
        <v>0.36451739564989766</v>
      </c>
    </row>
    <row r="34" spans="1:9" ht="16.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CB61-566A-46EA-8C0A-04F1F40B4E43}">
  <dimension ref="A1:F21"/>
  <sheetViews>
    <sheetView topLeftCell="A3" workbookViewId="0">
      <selection activeCell="H12" sqref="H12"/>
    </sheetView>
  </sheetViews>
  <sheetFormatPr defaultRowHeight="14.4" x14ac:dyDescent="0.3"/>
  <cols>
    <col min="1" max="1" width="15" style="18" bestFit="1" customWidth="1"/>
    <col min="2" max="2" width="10.88671875" style="18" bestFit="1" customWidth="1"/>
    <col min="3" max="3" width="10.109375" style="18" bestFit="1" customWidth="1"/>
    <col min="4" max="4" width="10" style="18" bestFit="1" customWidth="1"/>
    <col min="5" max="5" width="12.6640625" style="18" bestFit="1" customWidth="1"/>
    <col min="6" max="16384" width="8.88671875" style="18"/>
  </cols>
  <sheetData>
    <row r="1" spans="1:6" ht="15" x14ac:dyDescent="0.35">
      <c r="A1" s="88" t="s">
        <v>175</v>
      </c>
      <c r="B1" s="89"/>
      <c r="C1" s="89"/>
      <c r="D1" s="89"/>
      <c r="E1" s="89"/>
      <c r="F1" s="89"/>
    </row>
    <row r="2" spans="1:6" ht="15" x14ac:dyDescent="0.35">
      <c r="A2" s="89"/>
      <c r="B2" s="89"/>
      <c r="C2" s="89"/>
      <c r="D2" s="89"/>
      <c r="E2" s="89"/>
      <c r="F2" s="89"/>
    </row>
    <row r="3" spans="1:6" ht="15" x14ac:dyDescent="0.35">
      <c r="A3" s="90"/>
      <c r="B3" s="91" t="s">
        <v>168</v>
      </c>
      <c r="C3" s="91" t="s">
        <v>167</v>
      </c>
      <c r="D3" s="91" t="s">
        <v>166</v>
      </c>
      <c r="E3" s="91" t="s">
        <v>165</v>
      </c>
      <c r="F3" s="89"/>
    </row>
    <row r="4" spans="1:6" ht="15" x14ac:dyDescent="0.35">
      <c r="A4" s="92" t="s">
        <v>174</v>
      </c>
      <c r="B4" s="93">
        <v>34.224510813594229</v>
      </c>
      <c r="C4" s="93">
        <v>29.185430463576157</v>
      </c>
      <c r="D4" s="93">
        <v>26.774491682070238</v>
      </c>
      <c r="E4" s="93">
        <v>51.333333333333329</v>
      </c>
      <c r="F4" s="89"/>
    </row>
    <row r="5" spans="1:6" ht="15" x14ac:dyDescent="0.35">
      <c r="A5" s="92" t="s">
        <v>173</v>
      </c>
      <c r="B5" s="94">
        <v>43.72</v>
      </c>
      <c r="C5" s="94">
        <v>25.11</v>
      </c>
      <c r="D5" s="94">
        <v>16.510000000000002</v>
      </c>
      <c r="E5" s="94">
        <v>13.39</v>
      </c>
      <c r="F5" s="89"/>
    </row>
    <row r="6" spans="1:6" ht="15" x14ac:dyDescent="0.35">
      <c r="A6" s="89"/>
      <c r="B6" s="89"/>
      <c r="C6" s="89"/>
      <c r="D6" s="89"/>
      <c r="E6" s="89"/>
      <c r="F6" s="89"/>
    </row>
    <row r="7" spans="1:6" ht="15" x14ac:dyDescent="0.35">
      <c r="A7" s="89"/>
      <c r="B7" s="89"/>
      <c r="C7" s="89"/>
      <c r="D7" s="89"/>
      <c r="E7" s="89"/>
      <c r="F7" s="89"/>
    </row>
    <row r="8" spans="1:6" ht="16.2" x14ac:dyDescent="0.35">
      <c r="A8" s="95" t="s">
        <v>172</v>
      </c>
      <c r="B8" s="95"/>
      <c r="C8" s="96"/>
      <c r="D8" s="89"/>
      <c r="E8" s="89"/>
      <c r="F8" s="89"/>
    </row>
    <row r="9" spans="1:6" ht="15" x14ac:dyDescent="0.35">
      <c r="A9" s="89"/>
      <c r="B9" s="89"/>
      <c r="C9" s="89"/>
      <c r="D9" s="89"/>
      <c r="E9" s="89"/>
      <c r="F9" s="89"/>
    </row>
    <row r="10" spans="1:6" ht="15" x14ac:dyDescent="0.35">
      <c r="A10" s="90"/>
      <c r="B10" s="91" t="s">
        <v>168</v>
      </c>
      <c r="C10" s="91" t="s">
        <v>167</v>
      </c>
      <c r="D10" s="91" t="s">
        <v>166</v>
      </c>
      <c r="E10" s="91" t="s">
        <v>165</v>
      </c>
      <c r="F10" s="89"/>
    </row>
    <row r="11" spans="1:6" ht="15" x14ac:dyDescent="0.35">
      <c r="A11" s="92" t="s">
        <v>171</v>
      </c>
      <c r="B11" s="93">
        <v>15.579934364744492</v>
      </c>
      <c r="C11" s="93">
        <v>18.809999999999999</v>
      </c>
      <c r="D11" s="93">
        <v>7.6236842105263154</v>
      </c>
      <c r="E11" s="93">
        <v>12.23841059602649</v>
      </c>
      <c r="F11" s="89"/>
    </row>
    <row r="12" spans="1:6" ht="15" x14ac:dyDescent="0.35">
      <c r="A12" s="92" t="s">
        <v>170</v>
      </c>
      <c r="B12" s="94">
        <v>8.39</v>
      </c>
      <c r="C12" s="94">
        <v>9.83</v>
      </c>
      <c r="D12" s="94">
        <v>5.21</v>
      </c>
      <c r="E12" s="94">
        <v>6.16</v>
      </c>
      <c r="F12" s="89"/>
    </row>
    <row r="13" spans="1:6" ht="15" x14ac:dyDescent="0.35">
      <c r="A13" s="89"/>
      <c r="B13" s="89"/>
      <c r="C13" s="89"/>
      <c r="D13" s="89"/>
      <c r="E13" s="89"/>
      <c r="F13" s="89"/>
    </row>
    <row r="14" spans="1:6" ht="15" x14ac:dyDescent="0.35">
      <c r="A14" s="89"/>
      <c r="B14" s="89"/>
      <c r="C14" s="89"/>
      <c r="D14" s="89"/>
      <c r="E14" s="89"/>
      <c r="F14" s="89"/>
    </row>
    <row r="15" spans="1:6" ht="15" x14ac:dyDescent="0.35">
      <c r="A15" s="89"/>
      <c r="B15" s="89"/>
      <c r="C15" s="89"/>
      <c r="D15" s="89"/>
      <c r="E15" s="89"/>
      <c r="F15" s="89"/>
    </row>
    <row r="16" spans="1:6" ht="16.2" x14ac:dyDescent="0.35">
      <c r="A16" s="95" t="s">
        <v>169</v>
      </c>
      <c r="B16" s="95"/>
      <c r="C16" s="96"/>
      <c r="D16" s="89"/>
      <c r="E16" s="89"/>
      <c r="F16" s="89"/>
    </row>
    <row r="17" spans="1:6" ht="15" x14ac:dyDescent="0.35">
      <c r="A17" s="89"/>
      <c r="B17" s="89"/>
      <c r="C17" s="89"/>
      <c r="D17" s="89"/>
      <c r="E17" s="89"/>
      <c r="F17" s="89"/>
    </row>
    <row r="18" spans="1:6" ht="15" x14ac:dyDescent="0.35">
      <c r="A18" s="90"/>
      <c r="B18" s="91" t="s">
        <v>168</v>
      </c>
      <c r="C18" s="91" t="s">
        <v>167</v>
      </c>
      <c r="D18" s="91" t="s">
        <v>166</v>
      </c>
      <c r="E18" s="91" t="s">
        <v>165</v>
      </c>
      <c r="F18" s="89"/>
    </row>
    <row r="19" spans="1:6" ht="15" x14ac:dyDescent="0.35">
      <c r="A19" s="92" t="s">
        <v>164</v>
      </c>
      <c r="B19" s="93">
        <v>12.981249999999999</v>
      </c>
      <c r="C19" s="93">
        <v>7.8034528552456841</v>
      </c>
      <c r="D19" s="93">
        <v>8.1103023516237407</v>
      </c>
      <c r="E19" s="93">
        <v>3.6715213981626711</v>
      </c>
      <c r="F19" s="89"/>
    </row>
    <row r="20" spans="1:6" ht="15" x14ac:dyDescent="0.35">
      <c r="A20" s="92" t="s">
        <v>163</v>
      </c>
      <c r="B20" s="94">
        <v>7.14</v>
      </c>
      <c r="C20" s="94">
        <v>7.0536000000000003</v>
      </c>
      <c r="D20" s="94">
        <v>5.57</v>
      </c>
      <c r="E20" s="94">
        <v>1.63</v>
      </c>
      <c r="F20" s="89"/>
    </row>
    <row r="21" spans="1:6" ht="15" x14ac:dyDescent="0.35">
      <c r="A21" s="89"/>
      <c r="B21" s="89"/>
      <c r="C21" s="89"/>
      <c r="D21" s="89"/>
      <c r="E21" s="89"/>
      <c r="F21" s="89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Cash Flow Statement</vt:lpstr>
      <vt:lpstr>Balance Sheet</vt:lpstr>
      <vt:lpstr>Income Statement</vt:lpstr>
      <vt:lpstr>Profitability Ratio</vt:lpstr>
      <vt:lpstr>RELATIVE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endrias kassa</cp:lastModifiedBy>
  <dcterms:created xsi:type="dcterms:W3CDTF">2022-10-05T17:55:23Z</dcterms:created>
  <dcterms:modified xsi:type="dcterms:W3CDTF">2023-03-15T12:41:45Z</dcterms:modified>
</cp:coreProperties>
</file>