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comments6.xml" ContentType="application/vnd.openxmlformats-officedocument.spreadsheetml.comments+xml"/>
  <Override PartName="/xl/threadedComments/threadedComment6.xml" ContentType="application/vnd.ms-excel.threadedcomments+xml"/>
  <Override PartName="/xl/comments7.xml" ContentType="application/vnd.openxmlformats-officedocument.spreadsheetml.comments+xml"/>
  <Override PartName="/xl/threadedComments/threadedComment7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Radim\Desktop\Padevět_DP\"/>
    </mc:Choice>
  </mc:AlternateContent>
  <xr:revisionPtr revIDLastSave="0" documentId="8_{29E0C6FC-999E-4F84-A158-62FD163BE448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Hodnocení" sheetId="1" r:id="rId1"/>
    <sheet name="Krys Si" sheetId="7" r:id="rId2"/>
    <sheet name="Si HIT" sheetId="13" r:id="rId3"/>
    <sheet name="Cd-Te" sheetId="8" r:id="rId4"/>
    <sheet name="ThF Cd-Te" sheetId="12" r:id="rId5"/>
    <sheet name="ThF Si" sheetId="16" r:id="rId6"/>
    <sheet name="a-Si" sheetId="15" r:id="rId7"/>
    <sheet name="CIS.CIGS" sheetId="14" r:id="rId8"/>
    <sheet name="Organický PV" sheetId="5" r:id="rId9"/>
    <sheet name="Perovskitův PV" sheetId="4" r:id="rId10"/>
    <sheet name="Účinnost" sheetId="10" r:id="rId1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" i="1" l="1"/>
  <c r="B13" i="5" l="1"/>
  <c r="B12" i="5"/>
  <c r="J11" i="5"/>
  <c r="I11" i="5"/>
  <c r="H11" i="5"/>
  <c r="G11" i="5"/>
  <c r="I10" i="5"/>
  <c r="G10" i="5"/>
  <c r="D10" i="5"/>
  <c r="D7" i="5"/>
  <c r="I5" i="5"/>
  <c r="D5" i="5"/>
  <c r="I21" i="14"/>
  <c r="D21" i="14"/>
  <c r="D20" i="14"/>
  <c r="B14" i="14"/>
  <c r="B13" i="14"/>
  <c r="K12" i="14"/>
  <c r="J12" i="14"/>
  <c r="I12" i="14"/>
  <c r="G12" i="14"/>
  <c r="F12" i="14"/>
  <c r="I11" i="14"/>
  <c r="H11" i="14"/>
  <c r="G11" i="14"/>
  <c r="F11" i="14"/>
  <c r="D11" i="14"/>
  <c r="I9" i="14"/>
  <c r="D9" i="14"/>
  <c r="I8" i="14"/>
  <c r="D8" i="14"/>
  <c r="D7" i="14"/>
  <c r="I6" i="14"/>
  <c r="D6" i="14"/>
  <c r="I5" i="14"/>
  <c r="D5" i="14"/>
  <c r="I19" i="15"/>
  <c r="D19" i="15"/>
  <c r="B13" i="15"/>
  <c r="B12" i="15"/>
  <c r="K11" i="15"/>
  <c r="I11" i="15"/>
  <c r="G11" i="15"/>
  <c r="F11" i="15"/>
  <c r="I10" i="15"/>
  <c r="H10" i="15"/>
  <c r="G10" i="15"/>
  <c r="F10" i="15"/>
  <c r="E10" i="15"/>
  <c r="D10" i="15"/>
  <c r="D8" i="15"/>
  <c r="D7" i="15"/>
  <c r="I6" i="15"/>
  <c r="D6" i="15"/>
  <c r="I5" i="15"/>
  <c r="D5" i="15"/>
  <c r="B14" i="16"/>
  <c r="B13" i="16"/>
  <c r="K12" i="16"/>
  <c r="J12" i="16"/>
  <c r="I12" i="16"/>
  <c r="G12" i="16"/>
  <c r="F12" i="16"/>
  <c r="I11" i="16"/>
  <c r="H11" i="16"/>
  <c r="G11" i="16"/>
  <c r="F11" i="16"/>
  <c r="E11" i="16"/>
  <c r="D11" i="16"/>
  <c r="D8" i="16"/>
  <c r="D7" i="16"/>
  <c r="D6" i="16"/>
  <c r="D5" i="16"/>
  <c r="B14" i="12"/>
  <c r="B13" i="12"/>
  <c r="K12" i="12"/>
  <c r="I12" i="12"/>
  <c r="G12" i="12"/>
  <c r="F12" i="12"/>
  <c r="I11" i="12"/>
  <c r="H11" i="12"/>
  <c r="G11" i="12"/>
  <c r="F11" i="12"/>
  <c r="D11" i="12"/>
  <c r="I8" i="12"/>
  <c r="D8" i="12"/>
  <c r="D7" i="12"/>
  <c r="D6" i="12"/>
  <c r="I5" i="12"/>
  <c r="D5" i="12"/>
  <c r="B15" i="8"/>
  <c r="B14" i="8"/>
  <c r="K13" i="8"/>
  <c r="J13" i="8"/>
  <c r="I13" i="8"/>
  <c r="G13" i="8"/>
  <c r="F13" i="8"/>
  <c r="I12" i="8"/>
  <c r="H12" i="8"/>
  <c r="G12" i="8"/>
  <c r="F12" i="8"/>
  <c r="D12" i="8"/>
  <c r="I9" i="8"/>
  <c r="D9" i="8"/>
  <c r="I8" i="8"/>
  <c r="D8" i="8"/>
  <c r="I7" i="8"/>
  <c r="D7" i="8"/>
  <c r="I6" i="8"/>
  <c r="D6" i="8"/>
  <c r="B16" i="13"/>
  <c r="B15" i="13"/>
  <c r="K14" i="13"/>
  <c r="J14" i="13"/>
  <c r="I14" i="13"/>
  <c r="H14" i="13"/>
  <c r="G14" i="13"/>
  <c r="F14" i="13"/>
  <c r="I13" i="13"/>
  <c r="G13" i="13"/>
  <c r="F13" i="13"/>
  <c r="D13" i="13"/>
  <c r="I9" i="13"/>
  <c r="D9" i="13"/>
  <c r="D8" i="13"/>
  <c r="D7" i="13"/>
  <c r="D6" i="13"/>
  <c r="D5" i="13"/>
  <c r="K20" i="7"/>
  <c r="J20" i="7"/>
  <c r="B22" i="7" s="1"/>
  <c r="H20" i="7"/>
  <c r="H19" i="7"/>
  <c r="G19" i="7"/>
  <c r="F19" i="7"/>
  <c r="E19" i="7"/>
  <c r="D17" i="7"/>
  <c r="I16" i="7"/>
  <c r="D16" i="7"/>
  <c r="D15" i="7"/>
  <c r="I14" i="7"/>
  <c r="D14" i="7"/>
  <c r="I13" i="7"/>
  <c r="D13" i="7"/>
  <c r="I12" i="7"/>
  <c r="D12" i="7"/>
  <c r="D11" i="7"/>
  <c r="I10" i="7"/>
  <c r="D10" i="7"/>
  <c r="I9" i="7"/>
  <c r="D9" i="7"/>
  <c r="D8" i="7"/>
  <c r="D7" i="7"/>
  <c r="D6" i="7"/>
  <c r="I5" i="7"/>
  <c r="I19" i="7" s="1"/>
  <c r="D5" i="7"/>
  <c r="C36" i="1"/>
  <c r="G34" i="1"/>
  <c r="G28" i="1"/>
  <c r="G40" i="1" s="1"/>
  <c r="F28" i="1"/>
  <c r="F40" i="1" s="1"/>
  <c r="E28" i="1"/>
  <c r="E41" i="1" s="1"/>
  <c r="D28" i="1"/>
  <c r="C28" i="1"/>
  <c r="C41" i="1" s="1"/>
  <c r="B28" i="1"/>
  <c r="B40" i="1" s="1"/>
  <c r="G12" i="1"/>
  <c r="D12" i="1"/>
  <c r="H10" i="1"/>
  <c r="G10" i="1"/>
  <c r="F10" i="1"/>
  <c r="E10" i="1"/>
  <c r="D10" i="1"/>
  <c r="H9" i="1"/>
  <c r="G9" i="1"/>
  <c r="F9" i="1"/>
  <c r="E9" i="1"/>
  <c r="D9" i="1"/>
  <c r="H8" i="1"/>
  <c r="G8" i="1"/>
  <c r="F8" i="1"/>
  <c r="E8" i="1"/>
  <c r="D8" i="1"/>
  <c r="H7" i="1"/>
  <c r="G7" i="1"/>
  <c r="F7" i="1"/>
  <c r="E7" i="1"/>
  <c r="D7" i="1"/>
  <c r="H6" i="1"/>
  <c r="G6" i="1"/>
  <c r="F6" i="1"/>
  <c r="E6" i="1"/>
  <c r="D6" i="1"/>
  <c r="H5" i="1"/>
  <c r="G5" i="1"/>
  <c r="F5" i="1"/>
  <c r="E5" i="1"/>
  <c r="D5" i="1"/>
  <c r="H4" i="1"/>
  <c r="E4" i="1"/>
  <c r="C38" i="1" l="1"/>
  <c r="B33" i="1"/>
  <c r="C33" i="1"/>
  <c r="B35" i="1"/>
  <c r="B37" i="1"/>
  <c r="F39" i="1"/>
  <c r="G33" i="1"/>
  <c r="C35" i="1"/>
  <c r="F37" i="1"/>
  <c r="C40" i="1"/>
  <c r="F34" i="1"/>
  <c r="G35" i="1"/>
  <c r="G37" i="1"/>
  <c r="F41" i="1"/>
  <c r="E35" i="1"/>
  <c r="F36" i="1"/>
  <c r="C37" i="1"/>
  <c r="F38" i="1"/>
  <c r="B39" i="1"/>
  <c r="G39" i="1"/>
  <c r="E40" i="1"/>
  <c r="B41" i="1"/>
  <c r="G41" i="1"/>
  <c r="E36" i="1"/>
  <c r="E33" i="1"/>
  <c r="B34" i="1"/>
  <c r="F33" i="1"/>
  <c r="C34" i="1"/>
  <c r="F35" i="1"/>
  <c r="B36" i="1"/>
  <c r="G36" i="1"/>
  <c r="E37" i="1"/>
  <c r="B38" i="1"/>
  <c r="G38" i="1"/>
  <c r="C39" i="1"/>
  <c r="E38" i="1"/>
  <c r="E34" i="1"/>
  <c r="E39" i="1"/>
  <c r="D19" i="7"/>
  <c r="I20" i="7" s="1"/>
  <c r="H40" i="1" l="1"/>
  <c r="H37" i="1"/>
  <c r="H35" i="1"/>
  <c r="H36" i="1"/>
  <c r="H34" i="1"/>
  <c r="H41" i="1"/>
  <c r="H39" i="1"/>
  <c r="H38" i="1"/>
  <c r="H33" i="1"/>
  <c r="F20" i="7"/>
  <c r="F4" i="1" s="1"/>
  <c r="G20" i="7"/>
  <c r="I35" i="1" l="1"/>
  <c r="I41" i="1"/>
  <c r="I38" i="1"/>
  <c r="B21" i="7"/>
  <c r="D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tc={AABB0EEB-D822-40F2-98A7-225617AC5DF2}</author>
  </authors>
  <commentList>
    <comment ref="H4" authorId="0" shapeId="0" xr:uid="{AABB0EEB-D822-40F2-98A7-225617AC5DF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Garantovany linearni pokles vyrobcem, 80% puvodniho vykonu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tc={E72AA173-1198-4F59-AF82-8080C8DF375F}</author>
  </authors>
  <commentList>
    <comment ref="H4" authorId="0" shapeId="0" xr:uid="{E72AA173-1198-4F59-AF82-8080C8DF375F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Garantovany linearni pokles vyrobcem, 80% puvodniho vykonu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tc={6B7E16AD-8936-4E8F-9360-93AB2B4DA967}</author>
  </authors>
  <commentList>
    <comment ref="H4" authorId="0" shapeId="0" xr:uid="{6B7E16AD-8936-4E8F-9360-93AB2B4DA96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Garantovany linearni pokles vyrobcem, 80% puvodniho vykonu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tc={300BD956-A97B-46B3-8EE2-81B785AB4563}</author>
  </authors>
  <commentList>
    <comment ref="H4" authorId="0" shapeId="0" xr:uid="{300BD956-A97B-46B3-8EE2-81B785AB4563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Garantovany linearni pokles vyrobcem, 80% puvodniho vykonu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tc={A8098624-07C0-448D-8874-0A2A8E00861A}</author>
  </authors>
  <commentList>
    <comment ref="H4" authorId="0" shapeId="0" xr:uid="{A8098624-07C0-448D-8874-0A2A8E00861A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Garantovany linearni pokles vyrobcem, 80% puvodniho vykonu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tc={03B739D8-FC27-4F61-970A-D19BFFE18BD1}</author>
  </authors>
  <commentList>
    <comment ref="H4" authorId="0" shapeId="0" xr:uid="{03B739D8-FC27-4F61-970A-D19BFFE18BD1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Garantovany linearni pokles vyrobcem, 80% puvodniho vykonu</t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tc={1C4C34A9-07BA-4C43-A041-125BCCD0A91F}</author>
  </authors>
  <commentList>
    <comment ref="H3" authorId="0" shapeId="0" xr:uid="{1C4C34A9-07BA-4C43-A041-125BCCD0A91F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Garantovany linearni pokles vyrobcem, 80% puvodniho vykonu</t>
      </text>
    </comment>
  </commentList>
</comments>
</file>

<file path=xl/sharedStrings.xml><?xml version="1.0" encoding="utf-8"?>
<sst xmlns="http://schemas.openxmlformats.org/spreadsheetml/2006/main" count="381" uniqueCount="205">
  <si>
    <t>Vicekriteriální analýza PV panelů</t>
  </si>
  <si>
    <t>Technologie</t>
  </si>
  <si>
    <t>Organický článek</t>
  </si>
  <si>
    <t>Kritéria</t>
  </si>
  <si>
    <t>Výhody</t>
  </si>
  <si>
    <t>Nevýhody</t>
  </si>
  <si>
    <t>Použití</t>
  </si>
  <si>
    <t>Název</t>
  </si>
  <si>
    <t>Životnost (roky)</t>
  </si>
  <si>
    <t>Cena (Kč)</t>
  </si>
  <si>
    <t>Zdroj</t>
  </si>
  <si>
    <t>https://www.secondsol.com/en/anzeige/17933/solar-panel/thin-film/cdte/calyxo/cx3-80</t>
  </si>
  <si>
    <t>eur to cze</t>
  </si>
  <si>
    <t>Krystalické PV panely</t>
  </si>
  <si>
    <t>Nominální výkon (Wp)</t>
  </si>
  <si>
    <t>Délka (mm)</t>
  </si>
  <si>
    <t>Šířka (mm)</t>
  </si>
  <si>
    <t>Tloušťka (mm)</t>
  </si>
  <si>
    <t>Váha (kg)</t>
  </si>
  <si>
    <t>Canadian Solar CS3K-300</t>
  </si>
  <si>
    <t>https://www.secondsol.com/en/anzeige/22874//canadian-solar/cs3k-300-kublack</t>
  </si>
  <si>
    <t>Victron 360W-24V Mono</t>
  </si>
  <si>
    <t>https://www.europe-solarstore.com/solar-panels/manufacturer/victron/victron-360w-24v-mono.html</t>
  </si>
  <si>
    <t>https://www.europe-solarstore.com/download/victron/Victron-BlueSolar-Monocrystalline-solar_Panels-Data_sheet.pdf</t>
  </si>
  <si>
    <t>SunPower SPR-MAX3-400</t>
  </si>
  <si>
    <t>https://www.europe-solarstore.com/solar-panels/manufacturer/sunpower/sunpower-spr-max3-400.html</t>
  </si>
  <si>
    <t>Luxor SECURE LINE M60/300W</t>
  </si>
  <si>
    <t>https://www.europe-solarstore.com/download/luxor/lx_securelinet_m60_280-300_datasheet.pdf</t>
  </si>
  <si>
    <t>https://www.europe-solarstore.com/solar-panels/manufacturer/luxor/luxor-secure-line-m60-300w.html</t>
  </si>
  <si>
    <t>Trina HoneyBlack TSM-320DD06M.05(II)</t>
  </si>
  <si>
    <t>https://www.europe-solarstore.com/solar-panels/manufacturer/trina/trina-honeyblack-tsm-320dd06m-05-ii.html</t>
  </si>
  <si>
    <t>https://www.europe-solarstore.com/download/trina/Trina_HoneyBlack_TSM-320DD06M.05(II)_datasheet.pdf</t>
  </si>
  <si>
    <t>https://www.europe-solarstore.com/solar-panels/manufacturer/panasonic/panasonic-vbhn325kj01.html</t>
  </si>
  <si>
    <t>https://www.europe-solarstore.com/download/panasonic/Panasonic-VBHN320-325_KJ01-datasheet.pdf</t>
  </si>
  <si>
    <t>Panasonic VBHN325KJ01</t>
  </si>
  <si>
    <t>Sharp NU-RD310D</t>
  </si>
  <si>
    <t>https://www.europe-solarstore.com/download/sharp/Sharp_NURD310D_NURD300D_Mono_Black_Datasheet_EN.pdf</t>
  </si>
  <si>
    <t>https://www.europe-solarstore.com/solar-panels/manufacturer/sharp/sharp-nu-rd310d.html</t>
  </si>
  <si>
    <t>Průměr</t>
  </si>
  <si>
    <t>Plocha (m2)</t>
  </si>
  <si>
    <t>Celkem na m2</t>
  </si>
  <si>
    <t>Celkem Wp/Kč (Kč)</t>
  </si>
  <si>
    <t>https://www.enfsolar.com/pv/panel-datasheet/Thin-film/1000?utm_source=ENF&amp;utm_medium=panel_list&amp;utm_campaign=enquiry_product_directory&amp;utm_content=54822</t>
  </si>
  <si>
    <t>FLEX-03M-2.6M 340-370W CIGS Shandong Sinoltech International Co., Ltd.</t>
  </si>
  <si>
    <t>300w flexible CIGS solar module Runtech China Co., Ltd</t>
  </si>
  <si>
    <t>https://www.enfsolar.com/pv/panel-datasheet/Thin-film/1091?utm_source=ENF&amp;utm_medium=panel_list&amp;utm_campaign=enquiry_product_directory&amp;utm_content=9427</t>
  </si>
  <si>
    <t>https://cdn.enfsolar.com/Product/pdf/Crystalline/5dba9242079ff.pdf?_ga=2.939441.1298007911.1603807142-1334311188.1603807140&amp;_gac=1.262889912.1603815306.EAIaIQobChMIhpT8npPV7AIV0u5RCh1S0AOLEAMYAyAAEgJL2_D_BwE</t>
  </si>
  <si>
    <t>Calyxo CX3 80 Cd-Te</t>
  </si>
  <si>
    <t>Organické PV panely</t>
  </si>
  <si>
    <t>https://infinitypv.com/shop/solar-panels/SOLO-18W360Vpanel</t>
  </si>
  <si>
    <t>Infinity PV SOLO 18W360V</t>
  </si>
  <si>
    <t>https://infinitypv.com/brochures/SOLO%20V1.2.pdf</t>
  </si>
  <si>
    <t>First Solar FS-6450 Cd-Te</t>
  </si>
  <si>
    <t>http://www.firstsolar.com/-/media/First-Solar/Technical-Documents/Series-6-Datasheets/Series-6-Datasheet.ashx</t>
  </si>
  <si>
    <t>Tandem PV</t>
  </si>
  <si>
    <t>https://www.tandempv.com</t>
  </si>
  <si>
    <t>Mikroquanta Semi</t>
  </si>
  <si>
    <t>http://www.microquanta.com/en/</t>
  </si>
  <si>
    <t>flexibilní</t>
  </si>
  <si>
    <t>vysoká životnost, vysoký výkon</t>
  </si>
  <si>
    <t>váha, neohebné</t>
  </si>
  <si>
    <t>Tenkovrstvé CIGS</t>
  </si>
  <si>
    <t>https://www.solar-eshop.cz/p/fv-panel-renogy-160wp/</t>
  </si>
  <si>
    <t>vysoký výkon, flexibilní</t>
  </si>
  <si>
    <t>levné, vysoká životnost</t>
  </si>
  <si>
    <t>drahé, nižší životnost</t>
  </si>
  <si>
    <t>Cena</t>
  </si>
  <si>
    <t>Životnost</t>
  </si>
  <si>
    <t>Flexibilita</t>
  </si>
  <si>
    <t>Hmotnost</t>
  </si>
  <si>
    <t>Celkem</t>
  </si>
  <si>
    <t>Perovskitův článek</t>
  </si>
  <si>
    <t>Perovskitův PV panel</t>
  </si>
  <si>
    <t>Bodovací stupnice</t>
  </si>
  <si>
    <t>Cena 1 Wp (Kč)</t>
  </si>
  <si>
    <t>Hmotnost (kg/m2)</t>
  </si>
  <si>
    <t>Vicekriteriální analýza - bodovací metoda</t>
  </si>
  <si>
    <t>1 - nejhorší, 5 - nejlepší</t>
  </si>
  <si>
    <t>Znormovaná kriteriální matice pronásobená váhami</t>
  </si>
  <si>
    <t>http://www2.ef.jcu.cz/~janaklic/oa/VHV_II.pdf</t>
  </si>
  <si>
    <t>Ohodnocená kriteria</t>
  </si>
  <si>
    <t>Váhy kritérií</t>
  </si>
  <si>
    <t>Účinnost</t>
  </si>
  <si>
    <t>Panely</t>
  </si>
  <si>
    <t>Výrobce</t>
  </si>
  <si>
    <t>Účinnost (%)</t>
  </si>
  <si>
    <t>Si monokrystal</t>
  </si>
  <si>
    <t>ISFH</t>
  </si>
  <si>
    <t>Si HIT články</t>
  </si>
  <si>
    <t>Kaneka</t>
  </si>
  <si>
    <t>Si koncentrátorové články</t>
  </si>
  <si>
    <t>Amonix</t>
  </si>
  <si>
    <t>GaAs monokrystal</t>
  </si>
  <si>
    <t>LG Electronics</t>
  </si>
  <si>
    <t>Si Thin-film články</t>
  </si>
  <si>
    <t>Solexel</t>
  </si>
  <si>
    <t>CdTe thin-film články</t>
  </si>
  <si>
    <t>First Solar</t>
  </si>
  <si>
    <t>CIGS thin-film články</t>
  </si>
  <si>
    <t>ZSW</t>
  </si>
  <si>
    <t>GaAs thin-film</t>
  </si>
  <si>
    <t>Alta Devices</t>
  </si>
  <si>
    <t>Organické články</t>
  </si>
  <si>
    <t>Hong Kong UST</t>
  </si>
  <si>
    <t>NREL</t>
  </si>
  <si>
    <t>Perovskitové články</t>
  </si>
  <si>
    <t>KRICT</t>
  </si>
  <si>
    <t>AIST</t>
  </si>
  <si>
    <t>QDSC panely</t>
  </si>
  <si>
    <t>Amorfní Si:H</t>
  </si>
  <si>
    <t>Účinnost jednotlivých technologií PV panelů</t>
  </si>
  <si>
    <t>Účinnost Wp/(1000*m2)</t>
  </si>
  <si>
    <t>Tenkovrstvé panely Cd-Te</t>
  </si>
  <si>
    <t>First Solar FS277</t>
  </si>
  <si>
    <t>https://www.secondsol.com/en/anzeige/8142//first-solar/fs-277</t>
  </si>
  <si>
    <t>Q.PEAK G4.1 310W</t>
  </si>
  <si>
    <t>https://www.pvxchange.com/Solar-Modules/Q-Cells/Q-PEAK-G4-1-310W_1-992500502-2</t>
  </si>
  <si>
    <t>Tlustovrstvé Si HIT články</t>
  </si>
  <si>
    <t>Tenkovrstvé CIGS PV panely</t>
  </si>
  <si>
    <t>Tlustovrstvé Cd-Te panely</t>
  </si>
  <si>
    <t>Panasonic (Sanyo) HIT-N235SE10</t>
  </si>
  <si>
    <t>https://www.pvxchange.com/Solar-Modules/Panasonic-Sanyo/HIT-N235SE10_1-992500459</t>
  </si>
  <si>
    <t>Sanyo HIT-H250E01</t>
  </si>
  <si>
    <t>https://www.pvxchange.com/Solar-Modules/Sanyo/HIT-H250E01_1-2107695</t>
  </si>
  <si>
    <t>Panasonic   HIT N250</t>
  </si>
  <si>
    <t>https://www.secondsol.com/en/anzeige/27581//panasonic/vbhn250sj25-72cell-hit-n250</t>
  </si>
  <si>
    <t>https://www.secondsol.com/en/anzeige/15290//calyxo/m-cx1-77w-fs-277-first-solar</t>
  </si>
  <si>
    <t>Calyxo M-CX1 77W</t>
  </si>
  <si>
    <t>https://www.enfsolar.com/pv/panel-datasheet/Thin-film/989?utm_source=ENF&amp;utm_medium=panel_list&amp;utm_campaign=enquiry_product_directory&amp;utm_content=54822</t>
  </si>
  <si>
    <t>https://www.enfsolar.com/pv/panel-datasheet/Thin-film/991?utm_source=ENF&amp;utm_medium=panel_list&amp;utm_campaign=enquiry_product_directory&amp;utm_content=54822</t>
  </si>
  <si>
    <t>Amorfní Si thin-film PV panely</t>
  </si>
  <si>
    <t>China Blue Solar 7v 2w thin film solar panel</t>
  </si>
  <si>
    <t>Amerisolar AS-DGF2 80W</t>
  </si>
  <si>
    <t>https://www.enfsolar.com/pv/panel-datasheet/Thin-film/613?utm_source=ENF&amp;utm_medium=panel_list&amp;utm_campaign=enquiry_product_directory&amp;utm_content=4777</t>
  </si>
  <si>
    <t>JustSolar JST 120TF</t>
  </si>
  <si>
    <t>ASV Thin-film 12Wp</t>
  </si>
  <si>
    <t>https://www.enfsolar.com/pv/panel-datasheet/Thin-film/249?utm_source=ENF&amp;utm_medium=panel_list&amp;utm_campaign=enquiry_product_directory&amp;utm_content=2239</t>
  </si>
  <si>
    <t>https://www.enfsolar.com/pv/panel-datasheet/Thin-film/1169?utm_source=ENF&amp;utm_medium=panel_list&amp;utm_campaign=enquiry_product_directory&amp;utm_content=14479</t>
  </si>
  <si>
    <t>Si HIT</t>
  </si>
  <si>
    <t>CdTe</t>
  </si>
  <si>
    <t>Thin-film CdTe</t>
  </si>
  <si>
    <t>Thin-film a-Si</t>
  </si>
  <si>
    <t>flesibilní, transparentní, barevný</t>
  </si>
  <si>
    <t>nížká životnost, účinnost</t>
  </si>
  <si>
    <t>Si krystal</t>
  </si>
  <si>
    <t>neohebné, nižší účinnost při horších podmínkách</t>
  </si>
  <si>
    <t>https://www.enfsolar.com/pv/panel-datasheet/Thin-film/1068</t>
  </si>
  <si>
    <t>nová technologie</t>
  </si>
  <si>
    <t>Celkem skupiny</t>
  </si>
  <si>
    <t>První skupina</t>
  </si>
  <si>
    <t>Druhá skupina</t>
  </si>
  <si>
    <t>Třetí skupina</t>
  </si>
  <si>
    <t>netrpí na přehřívání, flexibilní</t>
  </si>
  <si>
    <t>nižší účinnost</t>
  </si>
  <si>
    <t>Si thin-film PV panely</t>
  </si>
  <si>
    <t>toxicita, drahá výroba</t>
  </si>
  <si>
    <t>vysoká absorbce záření</t>
  </si>
  <si>
    <t>https://www.solar-eshop.cz/p/fv-panel-renogy-100wp/</t>
  </si>
  <si>
    <t>Thin-film mono Si</t>
  </si>
  <si>
    <t>SunPower X21-470-COM</t>
  </si>
  <si>
    <t>N</t>
  </si>
  <si>
    <t>Tepl. koef. výkonu (%/°C)</t>
  </si>
  <si>
    <t>https://us.sunpower.com/sites/default/files/sunpower-x-series-commercial-solar-panels-x21-470-com-datasheet-524935-revb_1.pdf</t>
  </si>
  <si>
    <t>SunPower SPR-A440-COM</t>
  </si>
  <si>
    <t>https://us.sunpower.com/sites/default/files/sp-a450-440-430-com-pv4s-gen42-ds-en-ltr-532726f.pdf</t>
  </si>
  <si>
    <t>https://sunpower.maxeon.com/au/sites/default/files/2019-07/max3-400-390-370-au_0.pdf</t>
  </si>
  <si>
    <t>Victron SPP 043302400</t>
  </si>
  <si>
    <t>https://www.victronenergy.cz/upload/documents/Datasheet-BlueSolar-Polycrystalline-Panels-EN.pdf</t>
  </si>
  <si>
    <t>https://static.csisolar.com/wp-content/uploads/2019/12/28165944/BiHiKu_CS3W-MB-AG_en.pdf</t>
  </si>
  <si>
    <t>Canadian Solar CS3W-455MB-AG</t>
  </si>
  <si>
    <t>Sanyo HIT-N240SE10</t>
  </si>
  <si>
    <t>Životnost (roky) 0,8 Pmin</t>
  </si>
  <si>
    <t>http://www.solaruk.com/pdf/DS%20-%20HIT235%20-%20HIT%20235%20SE10%20-%20datasheet.pdf</t>
  </si>
  <si>
    <t>Sanyo HIT-N230SE10</t>
  </si>
  <si>
    <t>First Solar FS-390</t>
  </si>
  <si>
    <t>https://www.agl.com.au/-/media/aglmedia/documents/about-agl/how-we-source-energy/nyngan-solar/other/2012/january/appendix-b-proposed-pv-modules.pdf?la=en&amp;hash=CB9F3F478D167DE3B42C1DC5FD841540</t>
  </si>
  <si>
    <t>https://www.firstsolar.com/-/media/First-Solar/Technical-Documents/Series-6-Datasheets/Series-6-Datasheet.ashx</t>
  </si>
  <si>
    <t>First Solar FS-6420</t>
  </si>
  <si>
    <t>Calyxo CX3pro</t>
  </si>
  <si>
    <t>http://calyxo.com/files/pro_construct/download/datasheet/2019/20190107_Onepager_TS_Solar_final.pdf</t>
  </si>
  <si>
    <t>Renogy RNG-300D</t>
  </si>
  <si>
    <t>https://www.renogy.com/template/files/Specifications/RNG-300D_spec.pdf</t>
  </si>
  <si>
    <t>FV panel Renogy 100DB-H</t>
  </si>
  <si>
    <t>FV panel Renogy 160DB-H</t>
  </si>
  <si>
    <t>Renogy 175DB-H</t>
  </si>
  <si>
    <t>https://store-fhnch.mybigcommerce.com/content/RNG-175DB-H/RNG-175DB-H-Datasheet.pdf</t>
  </si>
  <si>
    <t>https://www.renogy.com/175-watt-12-volt-flexible-monocrystalline-solar-panel/</t>
  </si>
  <si>
    <t>Renogy 50DB-H</t>
  </si>
  <si>
    <t>https://www.renogy.com/content/Specification/RNG-50DB-H%20spec.pdf</t>
  </si>
  <si>
    <t>Sinoltech SND44-288</t>
  </si>
  <si>
    <t>http://www.sinoltech.com/uploadfile/download/20181161412312239.pdf</t>
  </si>
  <si>
    <t>Sinoltech SND26-170</t>
  </si>
  <si>
    <t>http://www.sinolsolar.com/uploads/e6687938.pdf</t>
  </si>
  <si>
    <t>Stion STO-150</t>
  </si>
  <si>
    <t>https://www.rpc.com.au/pdf/stion_135-150W_datasheet.pdf</t>
  </si>
  <si>
    <t>Sinoltech FLEX-03NS 80W CIGS</t>
  </si>
  <si>
    <t>Sinoltech FLEX-03M-1,7M 240W CIGS</t>
  </si>
  <si>
    <t>MiaSolé 2,3W</t>
  </si>
  <si>
    <t>http://miasole.com/wp-content/uploads/2014/09/SolarCell_Datasheet_5.pdf</t>
  </si>
  <si>
    <t>Eterbright Solar Corporation CIGS-3650A1</t>
  </si>
  <si>
    <t>https://www.enfsolar.com/pv/panel-datasheet/Thin-film/935</t>
  </si>
  <si>
    <t>Konarka</t>
  </si>
  <si>
    <t>HeliaSol 436-2000</t>
  </si>
  <si>
    <t>https://www.heliatek.com/en/products/heliasol/</t>
  </si>
  <si>
    <t>https://www.enfsolar.com/pv/panel-datasheet/Thin-film/1013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</si>
</sst>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K_č_-;\-* #,##0.00\ _K_č_-;_-* &quot;-&quot;??\ _K_č_-;_-@_-"/>
    <numFmt numFmtId="165" formatCode="0.000"/>
    <numFmt numFmtId="166" formatCode="0.0"/>
    <numFmt numFmtId="167" formatCode="_-* #,##0_-;\-* #,##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u/>
      <sz val="11"/>
      <color theme="0" tint="-0.34998626667073579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4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u/>
      <sz val="11"/>
      <color theme="0" tint="-0.49998474074526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95B3D7"/>
      </left>
      <right style="medium">
        <color rgb="FF95B3D7"/>
      </right>
      <top/>
      <bottom style="medium">
        <color rgb="FF95B3D7"/>
      </bottom>
      <diagonal/>
    </border>
    <border>
      <left/>
      <right style="medium">
        <color rgb="FF95B3D7"/>
      </right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88">
    <xf numFmtId="0" fontId="0" fillId="0" borderId="0" xfId="0"/>
    <xf numFmtId="0" fontId="6" fillId="0" borderId="0" xfId="0" applyFont="1"/>
    <xf numFmtId="0" fontId="7" fillId="0" borderId="0" xfId="0" applyFont="1"/>
    <xf numFmtId="43" fontId="0" fillId="0" borderId="0" xfId="1" applyFont="1"/>
    <xf numFmtId="0" fontId="8" fillId="0" borderId="0" xfId="2"/>
    <xf numFmtId="2" fontId="0" fillId="0" borderId="0" xfId="0" applyNumberFormat="1"/>
    <xf numFmtId="0" fontId="5" fillId="0" borderId="0" xfId="0" applyFont="1"/>
    <xf numFmtId="43" fontId="5" fillId="0" borderId="0" xfId="1" applyFont="1"/>
    <xf numFmtId="2" fontId="5" fillId="0" borderId="0" xfId="0" applyNumberFormat="1" applyFont="1"/>
    <xf numFmtId="164" fontId="5" fillId="0" borderId="0" xfId="0" applyNumberFormat="1" applyFont="1"/>
    <xf numFmtId="0" fontId="5" fillId="2" borderId="0" xfId="0" applyFont="1" applyFill="1"/>
    <xf numFmtId="43" fontId="5" fillId="2" borderId="0" xfId="1" applyFont="1" applyFill="1"/>
    <xf numFmtId="0" fontId="0" fillId="2" borderId="0" xfId="0" applyFill="1"/>
    <xf numFmtId="43" fontId="0" fillId="2" borderId="0" xfId="1" applyFont="1" applyFill="1"/>
    <xf numFmtId="0" fontId="5" fillId="0" borderId="0" xfId="0" applyFont="1" applyFill="1"/>
    <xf numFmtId="43" fontId="5" fillId="0" borderId="0" xfId="1" applyFont="1" applyFill="1"/>
    <xf numFmtId="0" fontId="3" fillId="2" borderId="0" xfId="0" applyFont="1" applyFill="1"/>
    <xf numFmtId="43" fontId="9" fillId="0" borderId="0" xfId="1" applyFont="1"/>
    <xf numFmtId="0" fontId="9" fillId="0" borderId="0" xfId="0" applyFont="1"/>
    <xf numFmtId="0" fontId="10" fillId="0" borderId="0" xfId="2" applyFont="1"/>
    <xf numFmtId="0" fontId="0" fillId="0" borderId="0" xfId="0" applyFill="1"/>
    <xf numFmtId="165" fontId="0" fillId="0" borderId="0" xfId="0" applyNumberForma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3" fillId="0" borderId="0" xfId="0" applyFont="1" applyFill="1"/>
    <xf numFmtId="0" fontId="0" fillId="2" borderId="1" xfId="0" applyFill="1" applyBorder="1"/>
    <xf numFmtId="0" fontId="0" fillId="0" borderId="1" xfId="0" applyBorder="1"/>
    <xf numFmtId="166" fontId="0" fillId="0" borderId="1" xfId="0" applyNumberFormat="1" applyBorder="1"/>
    <xf numFmtId="167" fontId="0" fillId="0" borderId="1" xfId="0" applyNumberFormat="1" applyBorder="1"/>
    <xf numFmtId="166" fontId="0" fillId="0" borderId="1" xfId="1" applyNumberFormat="1" applyFont="1" applyBorder="1"/>
    <xf numFmtId="0" fontId="16" fillId="5" borderId="2" xfId="0" applyFont="1" applyFill="1" applyBorder="1" applyAlignment="1">
      <alignment horizontal="justify" vertical="center" wrapText="1"/>
    </xf>
    <xf numFmtId="0" fontId="15" fillId="5" borderId="3" xfId="0" applyFont="1" applyFill="1" applyBorder="1" applyAlignment="1">
      <alignment horizontal="justify" vertical="center" wrapText="1"/>
    </xf>
    <xf numFmtId="0" fontId="16" fillId="6" borderId="2" xfId="0" applyFont="1" applyFill="1" applyBorder="1" applyAlignment="1">
      <alignment horizontal="justify" vertical="center" wrapText="1"/>
    </xf>
    <xf numFmtId="0" fontId="15" fillId="6" borderId="3" xfId="0" applyFont="1" applyFill="1" applyBorder="1" applyAlignment="1">
      <alignment horizontal="justify" vertical="center" wrapText="1"/>
    </xf>
    <xf numFmtId="0" fontId="16" fillId="7" borderId="2" xfId="0" applyFont="1" applyFill="1" applyBorder="1" applyAlignment="1">
      <alignment horizontal="justify" vertical="center" wrapText="1"/>
    </xf>
    <xf numFmtId="0" fontId="15" fillId="7" borderId="3" xfId="0" applyFont="1" applyFill="1" applyBorder="1" applyAlignment="1">
      <alignment horizontal="justify" vertical="center" wrapText="1"/>
    </xf>
    <xf numFmtId="2" fontId="0" fillId="0" borderId="1" xfId="0" applyNumberFormat="1" applyBorder="1"/>
    <xf numFmtId="0" fontId="15" fillId="5" borderId="4" xfId="0" applyFont="1" applyFill="1" applyBorder="1" applyAlignment="1">
      <alignment horizontal="justify" vertical="center" wrapText="1"/>
    </xf>
    <xf numFmtId="0" fontId="15" fillId="6" borderId="4" xfId="0" applyFont="1" applyFill="1" applyBorder="1" applyAlignment="1">
      <alignment horizontal="justify" vertical="center" wrapText="1"/>
    </xf>
    <xf numFmtId="0" fontId="15" fillId="7" borderId="4" xfId="0" applyFont="1" applyFill="1" applyBorder="1" applyAlignment="1">
      <alignment horizontal="justify" vertical="center" wrapText="1"/>
    </xf>
    <xf numFmtId="2" fontId="13" fillId="0" borderId="0" xfId="0" applyNumberFormat="1" applyFont="1"/>
    <xf numFmtId="43" fontId="13" fillId="0" borderId="0" xfId="1" applyFont="1"/>
    <xf numFmtId="43" fontId="0" fillId="0" borderId="0" xfId="1" applyNumberFormat="1" applyFont="1"/>
    <xf numFmtId="43" fontId="0" fillId="0" borderId="0" xfId="0" applyNumberFormat="1"/>
    <xf numFmtId="43" fontId="8" fillId="0" borderId="0" xfId="2" applyNumberFormat="1"/>
    <xf numFmtId="0" fontId="0" fillId="4" borderId="1" xfId="0" applyFill="1" applyBorder="1"/>
    <xf numFmtId="0" fontId="0" fillId="8" borderId="1" xfId="0" applyFill="1" applyBorder="1"/>
    <xf numFmtId="0" fontId="5" fillId="9" borderId="1" xfId="0" applyFont="1" applyFill="1" applyBorder="1"/>
    <xf numFmtId="0" fontId="14" fillId="9" borderId="1" xfId="0" applyFont="1" applyFill="1" applyBorder="1"/>
    <xf numFmtId="0" fontId="5" fillId="0" borderId="5" xfId="0" applyFont="1" applyBorder="1"/>
    <xf numFmtId="43" fontId="5" fillId="0" borderId="5" xfId="1" applyFont="1" applyBorder="1"/>
    <xf numFmtId="43" fontId="2" fillId="0" borderId="5" xfId="1" applyFont="1" applyBorder="1"/>
    <xf numFmtId="0" fontId="2" fillId="0" borderId="0" xfId="0" applyFont="1"/>
    <xf numFmtId="0" fontId="2" fillId="0" borderId="5" xfId="0" applyFont="1" applyBorder="1"/>
    <xf numFmtId="2" fontId="13" fillId="0" borderId="1" xfId="0" applyNumberFormat="1" applyFont="1" applyBorder="1"/>
    <xf numFmtId="0" fontId="18" fillId="0" borderId="0" xfId="0" applyFont="1"/>
    <xf numFmtId="165" fontId="0" fillId="2" borderId="1" xfId="0" applyNumberFormat="1" applyFill="1" applyBorder="1"/>
    <xf numFmtId="165" fontId="0" fillId="4" borderId="1" xfId="0" applyNumberFormat="1" applyFill="1" applyBorder="1"/>
    <xf numFmtId="165" fontId="0" fillId="8" borderId="1" xfId="0" applyNumberFormat="1" applyFill="1" applyBorder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5" fillId="4" borderId="1" xfId="0" applyFont="1" applyFill="1" applyBorder="1"/>
    <xf numFmtId="0" fontId="5" fillId="3" borderId="1" xfId="0" applyFont="1" applyFill="1" applyBorder="1"/>
    <xf numFmtId="165" fontId="0" fillId="0" borderId="1" xfId="0" applyNumberFormat="1" applyBorder="1"/>
    <xf numFmtId="0" fontId="2" fillId="4" borderId="1" xfId="0" applyFont="1" applyFill="1" applyBorder="1"/>
    <xf numFmtId="0" fontId="2" fillId="0" borderId="1" xfId="0" applyFont="1" applyBorder="1"/>
    <xf numFmtId="166" fontId="2" fillId="0" borderId="1" xfId="0" applyNumberFormat="1" applyFont="1" applyBorder="1"/>
    <xf numFmtId="167" fontId="2" fillId="0" borderId="1" xfId="0" applyNumberFormat="1" applyFont="1" applyBorder="1"/>
    <xf numFmtId="2" fontId="17" fillId="0" borderId="1" xfId="0" applyNumberFormat="1" applyFont="1" applyBorder="1"/>
    <xf numFmtId="43" fontId="5" fillId="2" borderId="0" xfId="1" applyFont="1" applyFill="1" applyAlignment="1">
      <alignment wrapText="1"/>
    </xf>
    <xf numFmtId="43" fontId="5" fillId="0" borderId="0" xfId="1" applyFont="1" applyBorder="1"/>
    <xf numFmtId="43" fontId="1" fillId="2" borderId="0" xfId="1" applyFont="1" applyFill="1"/>
    <xf numFmtId="43" fontId="1" fillId="2" borderId="0" xfId="1" applyFont="1" applyFill="1" applyAlignment="1">
      <alignment wrapText="1"/>
    </xf>
    <xf numFmtId="0" fontId="0" fillId="2" borderId="0" xfId="0" applyFill="1" applyAlignment="1">
      <alignment wrapText="1"/>
    </xf>
    <xf numFmtId="0" fontId="22" fillId="0" borderId="0" xfId="0" applyFont="1" applyFill="1"/>
    <xf numFmtId="2" fontId="22" fillId="0" borderId="0" xfId="0" applyNumberFormat="1" applyFont="1" applyFill="1"/>
    <xf numFmtId="43" fontId="22" fillId="0" borderId="0" xfId="1" applyFont="1" applyFill="1"/>
    <xf numFmtId="0" fontId="23" fillId="0" borderId="0" xfId="2" applyFont="1" applyFill="1"/>
    <xf numFmtId="0" fontId="22" fillId="0" borderId="0" xfId="0" applyFont="1"/>
    <xf numFmtId="43" fontId="22" fillId="0" borderId="0" xfId="1" applyFont="1"/>
    <xf numFmtId="0" fontId="23" fillId="0" borderId="0" xfId="2" applyFont="1"/>
    <xf numFmtId="2" fontId="13" fillId="0" borderId="6" xfId="0" applyNumberFormat="1" applyFont="1" applyBorder="1"/>
    <xf numFmtId="165" fontId="5" fillId="0" borderId="0" xfId="0" applyNumberFormat="1" applyFont="1"/>
    <xf numFmtId="0" fontId="5" fillId="4" borderId="1" xfId="0" applyFont="1" applyFill="1" applyBorder="1" applyAlignment="1">
      <alignment wrapText="1"/>
    </xf>
    <xf numFmtId="0" fontId="16" fillId="9" borderId="1" xfId="0" applyFont="1" applyFill="1" applyBorder="1" applyAlignment="1">
      <alignment horizontal="justify" vertical="center" wrapText="1"/>
    </xf>
    <xf numFmtId="0" fontId="0" fillId="9" borderId="0" xfId="0" applyFill="1"/>
  </cellXfs>
  <cellStyles count="3">
    <cellStyle name="Čárka" xfId="1" builtinId="3"/>
    <cellStyle name="Hypertextový odkaz" xfId="2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Výsledné hodnocení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pieChart>
        <c:varyColors val="1"/>
        <c:ser>
          <c:idx val="2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48-6177-4EFE-9320-A0F15801CD2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49-6177-4EFE-9320-A0F15801CD2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4A-6177-4EFE-9320-A0F15801CD2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4B-6177-4EFE-9320-A0F15801CD2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4C-6177-4EFE-9320-A0F15801CD2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2D37-4DC0-A3B4-2598B5B191B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2D37-4DC0-A3B4-2598B5B191B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2D37-4DC0-A3B4-2598B5B191B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2D37-4DC0-A3B4-2598B5B191B4}"/>
              </c:ext>
            </c:extLst>
          </c:dPt>
          <c:dLbls>
            <c:dLbl>
              <c:idx val="0"/>
              <c:layout>
                <c:manualLayout>
                  <c:x val="-5.7660770423326117E-2"/>
                  <c:y val="0.20076466483505254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6177-4EFE-9320-A0F15801CD29}"/>
                </c:ext>
              </c:extLst>
            </c:dLbl>
            <c:dLbl>
              <c:idx val="2"/>
              <c:layout>
                <c:manualLayout>
                  <c:x val="-0.10293009685098246"/>
                  <c:y val="-6.493337284636922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6177-4EFE-9320-A0F15801CD29}"/>
                </c:ext>
              </c:extLst>
            </c:dLbl>
            <c:dLbl>
              <c:idx val="3"/>
              <c:layout>
                <c:manualLayout>
                  <c:x val="-7.8658009216263564E-2"/>
                  <c:y val="-0.20378033185110797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6177-4EFE-9320-A0F15801CD29}"/>
                </c:ext>
              </c:extLst>
            </c:dLbl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Hodnocení!$A$33:$A$41</c:f>
              <c:strCache>
                <c:ptCount val="9"/>
                <c:pt idx="0">
                  <c:v>Si krystal</c:v>
                </c:pt>
                <c:pt idx="1">
                  <c:v>Si HIT</c:v>
                </c:pt>
                <c:pt idx="2">
                  <c:v>CdTe</c:v>
                </c:pt>
                <c:pt idx="3">
                  <c:v>Thin-film CdTe</c:v>
                </c:pt>
                <c:pt idx="4">
                  <c:v>Thin-film mono Si</c:v>
                </c:pt>
                <c:pt idx="5">
                  <c:v>Thin-film a-Si</c:v>
                </c:pt>
                <c:pt idx="6">
                  <c:v>Tenkovrstvé CIGS</c:v>
                </c:pt>
                <c:pt idx="7">
                  <c:v>Perovskitův článek</c:v>
                </c:pt>
                <c:pt idx="8">
                  <c:v>Organický článek</c:v>
                </c:pt>
              </c:strCache>
            </c:strRef>
          </c:cat>
          <c:val>
            <c:numRef>
              <c:f>Hodnocení!$H$33:$H$41</c:f>
              <c:numCache>
                <c:formatCode>0.000</c:formatCode>
                <c:ptCount val="9"/>
                <c:pt idx="0">
                  <c:v>9.7465375038904442E-2</c:v>
                </c:pt>
                <c:pt idx="1">
                  <c:v>0.11271591970121382</c:v>
                </c:pt>
                <c:pt idx="2">
                  <c:v>0.11441798941798942</c:v>
                </c:pt>
                <c:pt idx="3">
                  <c:v>0.10771669779022719</c:v>
                </c:pt>
                <c:pt idx="4">
                  <c:v>9.373054777466544E-2</c:v>
                </c:pt>
                <c:pt idx="5">
                  <c:v>9.2145191409897298E-2</c:v>
                </c:pt>
                <c:pt idx="6">
                  <c:v>9.6823451602863361E-2</c:v>
                </c:pt>
                <c:pt idx="7">
                  <c:v>8.5930205415499519E-2</c:v>
                </c:pt>
                <c:pt idx="8">
                  <c:v>8.1407563025210086E-2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7-6177-4EFE-9320-A0F15801CD29}"/>
            </c:ext>
          </c:extLst>
        </c:ser>
        <c:ser>
          <c:idx val="3"/>
          <c:order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4E-6177-4EFE-9320-A0F15801CD2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4F-6177-4EFE-9320-A0F15801CD2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0-6177-4EFE-9320-A0F15801CD2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1-6177-4EFE-9320-A0F15801CD2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2-6177-4EFE-9320-A0F15801CD2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3-6177-4EFE-9320-A0F15801CD2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4-6177-4EFE-9320-A0F15801CD29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5-6177-4EFE-9320-A0F15801CD29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3-2D37-4DC0-A3B4-2598B5B191B4}"/>
              </c:ext>
            </c:extLst>
          </c:dPt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Hodnocení!$A$33:$A$41</c:f>
              <c:strCache>
                <c:ptCount val="9"/>
                <c:pt idx="0">
                  <c:v>Si krystal</c:v>
                </c:pt>
                <c:pt idx="1">
                  <c:v>Si HIT</c:v>
                </c:pt>
                <c:pt idx="2">
                  <c:v>CdTe</c:v>
                </c:pt>
                <c:pt idx="3">
                  <c:v>Thin-film CdTe</c:v>
                </c:pt>
                <c:pt idx="4">
                  <c:v>Thin-film mono Si</c:v>
                </c:pt>
                <c:pt idx="5">
                  <c:v>Thin-film a-Si</c:v>
                </c:pt>
                <c:pt idx="6">
                  <c:v>Tenkovrstvé CIGS</c:v>
                </c:pt>
                <c:pt idx="7">
                  <c:v>Perovskitův článek</c:v>
                </c:pt>
                <c:pt idx="8">
                  <c:v>Organický článek</c:v>
                </c:pt>
              </c:strCache>
            </c:strRef>
          </c:cat>
          <c:val>
            <c:numRef>
              <c:f>Hodnocení!$H$33:$H$41</c:f>
              <c:numCache>
                <c:formatCode>0.000</c:formatCode>
                <c:ptCount val="9"/>
                <c:pt idx="0">
                  <c:v>9.7465375038904442E-2</c:v>
                </c:pt>
                <c:pt idx="1">
                  <c:v>0.11271591970121382</c:v>
                </c:pt>
                <c:pt idx="2">
                  <c:v>0.11441798941798942</c:v>
                </c:pt>
                <c:pt idx="3">
                  <c:v>0.10771669779022719</c:v>
                </c:pt>
                <c:pt idx="4">
                  <c:v>9.373054777466544E-2</c:v>
                </c:pt>
                <c:pt idx="5">
                  <c:v>9.2145191409897298E-2</c:v>
                </c:pt>
                <c:pt idx="6">
                  <c:v>9.6823451602863361E-2</c:v>
                </c:pt>
                <c:pt idx="7">
                  <c:v>8.5930205415499519E-2</c:v>
                </c:pt>
                <c:pt idx="8">
                  <c:v>8.1407563025210086E-2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D-6177-4EFE-9320-A0F15801CD29}"/>
            </c:ext>
          </c:extLst>
        </c:ser>
        <c:ser>
          <c:idx val="1"/>
          <c:order val="2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5-6177-4EFE-9320-A0F15801CD2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7-6177-4EFE-9320-A0F15801CD2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9-6177-4EFE-9320-A0F15801CD2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B-6177-4EFE-9320-A0F15801CD2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D-6177-4EFE-9320-A0F15801CD2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F-6177-4EFE-9320-A0F15801CD2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1-6177-4EFE-9320-A0F15801CD29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3-6177-4EFE-9320-A0F15801CD29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5-2D37-4DC0-A3B4-2598B5B191B4}"/>
              </c:ext>
            </c:extLst>
          </c:dPt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Hodnocení!$A$33:$A$41</c:f>
              <c:strCache>
                <c:ptCount val="9"/>
                <c:pt idx="0">
                  <c:v>Si krystal</c:v>
                </c:pt>
                <c:pt idx="1">
                  <c:v>Si HIT</c:v>
                </c:pt>
                <c:pt idx="2">
                  <c:v>CdTe</c:v>
                </c:pt>
                <c:pt idx="3">
                  <c:v>Thin-film CdTe</c:v>
                </c:pt>
                <c:pt idx="4">
                  <c:v>Thin-film mono Si</c:v>
                </c:pt>
                <c:pt idx="5">
                  <c:v>Thin-film a-Si</c:v>
                </c:pt>
                <c:pt idx="6">
                  <c:v>Tenkovrstvé CIGS</c:v>
                </c:pt>
                <c:pt idx="7">
                  <c:v>Perovskitův článek</c:v>
                </c:pt>
                <c:pt idx="8">
                  <c:v>Organický článek</c:v>
                </c:pt>
              </c:strCache>
            </c:strRef>
          </c:cat>
          <c:val>
            <c:numRef>
              <c:f>Hodnocení!$H$33:$H$41</c:f>
              <c:numCache>
                <c:formatCode>0.000</c:formatCode>
                <c:ptCount val="9"/>
                <c:pt idx="0">
                  <c:v>9.7465375038904442E-2</c:v>
                </c:pt>
                <c:pt idx="1">
                  <c:v>0.11271591970121382</c:v>
                </c:pt>
                <c:pt idx="2">
                  <c:v>0.11441798941798942</c:v>
                </c:pt>
                <c:pt idx="3">
                  <c:v>0.10771669779022719</c:v>
                </c:pt>
                <c:pt idx="4">
                  <c:v>9.373054777466544E-2</c:v>
                </c:pt>
                <c:pt idx="5">
                  <c:v>9.2145191409897298E-2</c:v>
                </c:pt>
                <c:pt idx="6">
                  <c:v>9.6823451602863361E-2</c:v>
                </c:pt>
                <c:pt idx="7">
                  <c:v>8.5930205415499519E-2</c:v>
                </c:pt>
                <c:pt idx="8">
                  <c:v>8.1407563025210086E-2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6177-4EFE-9320-A0F15801CD29}"/>
            </c:ext>
          </c:extLst>
        </c:ser>
        <c:ser>
          <c:idx val="0"/>
          <c:order val="3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7-6177-4EFE-9320-A0F15801CD2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9-6177-4EFE-9320-A0F15801CD2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B-6177-4EFE-9320-A0F15801CD2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D-6177-4EFE-9320-A0F15801CD2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F-6177-4EFE-9320-A0F15801CD2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41-6177-4EFE-9320-A0F15801CD2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43-6177-4EFE-9320-A0F15801CD29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45-6177-4EFE-9320-A0F15801CD29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47-2D37-4DC0-A3B4-2598B5B191B4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Hodnocení!$A$33:$A$41</c:f>
              <c:strCache>
                <c:ptCount val="9"/>
                <c:pt idx="0">
                  <c:v>Si krystal</c:v>
                </c:pt>
                <c:pt idx="1">
                  <c:v>Si HIT</c:v>
                </c:pt>
                <c:pt idx="2">
                  <c:v>CdTe</c:v>
                </c:pt>
                <c:pt idx="3">
                  <c:v>Thin-film CdTe</c:v>
                </c:pt>
                <c:pt idx="4">
                  <c:v>Thin-film mono Si</c:v>
                </c:pt>
                <c:pt idx="5">
                  <c:v>Thin-film a-Si</c:v>
                </c:pt>
                <c:pt idx="6">
                  <c:v>Tenkovrstvé CIGS</c:v>
                </c:pt>
                <c:pt idx="7">
                  <c:v>Perovskitův článek</c:v>
                </c:pt>
                <c:pt idx="8">
                  <c:v>Organický článek</c:v>
                </c:pt>
              </c:strCache>
            </c:strRef>
          </c:cat>
          <c:val>
            <c:numRef>
              <c:f>Hodnocení!$H$33:$H$41</c:f>
              <c:numCache>
                <c:formatCode>0.000</c:formatCode>
                <c:ptCount val="9"/>
                <c:pt idx="0">
                  <c:v>9.7465375038904442E-2</c:v>
                </c:pt>
                <c:pt idx="1">
                  <c:v>0.11271591970121382</c:v>
                </c:pt>
                <c:pt idx="2">
                  <c:v>0.11441798941798942</c:v>
                </c:pt>
                <c:pt idx="3">
                  <c:v>0.10771669779022719</c:v>
                </c:pt>
                <c:pt idx="4">
                  <c:v>9.373054777466544E-2</c:v>
                </c:pt>
                <c:pt idx="5">
                  <c:v>9.2145191409897298E-2</c:v>
                </c:pt>
                <c:pt idx="6">
                  <c:v>9.6823451602863361E-2</c:v>
                </c:pt>
                <c:pt idx="7">
                  <c:v>8.5930205415499519E-2</c:v>
                </c:pt>
                <c:pt idx="8">
                  <c:v>8.1407563025210086E-2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6-6177-4EFE-9320-A0F15801CD29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Celk</a:t>
            </a:r>
            <a:r>
              <a:rPr lang="cs-CZ"/>
              <a:t>ové</a:t>
            </a:r>
            <a:r>
              <a:rPr lang="cs-CZ" baseline="0"/>
              <a:t> ohodnocení</a:t>
            </a:r>
            <a:r>
              <a:rPr lang="en-US"/>
              <a:t> skupin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Hodnocení!$I$32</c:f>
              <c:strCache>
                <c:ptCount val="1"/>
                <c:pt idx="0">
                  <c:v>Celkem skupiny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9DB-48BB-8B5F-FDE523D52CC6}"/>
              </c:ext>
            </c:extLst>
          </c:dPt>
          <c:dPt>
            <c:idx val="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50B1-472A-A059-4BC1D55B7080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A-50B1-472A-A059-4BC1D55B7080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(Hodnocení!$J$33,Hodnocení!$J$36,Hodnocení!$J$39)</c:f>
              <c:strCache>
                <c:ptCount val="3"/>
                <c:pt idx="0">
                  <c:v>První skupina</c:v>
                </c:pt>
                <c:pt idx="1">
                  <c:v>Druhá skupina</c:v>
                </c:pt>
                <c:pt idx="2">
                  <c:v>Třetí skupina</c:v>
                </c:pt>
              </c:strCache>
            </c:strRef>
          </c:cat>
          <c:val>
            <c:numRef>
              <c:f>(Hodnocení!$I$35,Hodnocení!$I$38,Hodnocení!$I$41)</c:f>
              <c:numCache>
                <c:formatCode>0.000</c:formatCode>
                <c:ptCount val="3"/>
                <c:pt idx="0">
                  <c:v>0.10819976138603589</c:v>
                </c:pt>
                <c:pt idx="1">
                  <c:v>9.7864145658263305E-2</c:v>
                </c:pt>
                <c:pt idx="2">
                  <c:v>8.8053740014524318E-2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0B1-472A-A059-4BC1D55B708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0904946184031317"/>
          <c:y val="0.338585596846744"/>
          <c:w val="0.22299299140113527"/>
          <c:h val="0.46176294011915947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41</xdr:row>
      <xdr:rowOff>245783</xdr:rowOff>
    </xdr:from>
    <xdr:to>
      <xdr:col>3</xdr:col>
      <xdr:colOff>560293</xdr:colOff>
      <xdr:row>53</xdr:row>
      <xdr:rowOff>30629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A49CBFDE-5F68-4C9C-96A7-E278085A5A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564590</xdr:colOff>
      <xdr:row>42</xdr:row>
      <xdr:rowOff>9899</xdr:rowOff>
    </xdr:from>
    <xdr:to>
      <xdr:col>7</xdr:col>
      <xdr:colOff>1154206</xdr:colOff>
      <xdr:row>53</xdr:row>
      <xdr:rowOff>38100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5C72B654-85B6-4DD7-A7FB-037BF962C5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Padevět Radim" id="{30D4B0E0-5AEE-4133-8097-6EF032365D48}" userId="Padevět Radim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4" dT="2020-10-27T15:19:01.22" personId="{30D4B0E0-5AEE-4133-8097-6EF032365D48}" id="{AABB0EEB-D822-40F2-98A7-225617AC5DF2}">
    <text>Garantovany linearni pokles vyrobcem, 80% puvodniho vykonu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H4" dT="2020-10-27T15:19:01.22" personId="{30D4B0E0-5AEE-4133-8097-6EF032365D48}" id="{E72AA173-1198-4F59-AF82-8080C8DF375F}">
    <text>Garantovany linearni pokles vyrobcem, 80% puvodniho vykonu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H4" dT="2020-10-27T15:19:01.22" personId="{30D4B0E0-5AEE-4133-8097-6EF032365D48}" id="{6B7E16AD-8936-4E8F-9360-93AB2B4DA967}">
    <text>Garantovany linearni pokles vyrobcem, 80% puvodniho vykonu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H4" dT="2020-10-27T15:19:01.22" personId="{30D4B0E0-5AEE-4133-8097-6EF032365D48}" id="{300BD956-A97B-46B3-8EE2-81B785AB4563}">
    <text>Garantovany linearni pokles vyrobcem, 80% puvodniho vykonu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H4" dT="2020-10-27T15:19:01.22" personId="{30D4B0E0-5AEE-4133-8097-6EF032365D48}" id="{A8098624-07C0-448D-8874-0A2A8E00861A}">
    <text>Garantovany linearni pokles vyrobcem, 80% puvodniho vykonu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H4" dT="2020-10-27T15:19:01.22" personId="{30D4B0E0-5AEE-4133-8097-6EF032365D48}" id="{03B739D8-FC27-4F61-970A-D19BFFE18BD1}">
    <text>Garantovany linearni pokles vyrobcem, 80% puvodniho vykonu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H3" dT="2020-10-27T15:19:01.22" personId="{30D4B0E0-5AEE-4133-8097-6EF032365D48}" id="{1C4C34A9-07BA-4C43-A041-125BCCD0A91F}">
    <text>Garantovany linearni pokles vyrobcem, 80% puvodniho vykonu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2.ef.jcu.cz/~janaklic/oa/VHV_II.pdf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hyperlink" Target="https://www.tandempv.com/" TargetMode="External"/><Relationship Id="rId1" Type="http://schemas.openxmlformats.org/officeDocument/2006/relationships/hyperlink" Target="http://www.microquanta.com/en/" TargetMode="External"/><Relationship Id="rId5" Type="http://schemas.microsoft.com/office/2017/10/relationships/threadedComment" Target="../threadedComments/threadedComment7.xml"/><Relationship Id="rId4" Type="http://schemas.openxmlformats.org/officeDocument/2006/relationships/comments" Target="../comments7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https://us.sunpower.com/sites/default/files/sunpower-x-series-commercial-solar-panels-x21-470-com-datasheet-524935-revb_1.pdf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us.sunpower.com/sites/default/files/sp-a450-440-430-com-pv4s-gen42-ds-en-ltr-532726f.pdf" TargetMode="External"/><Relationship Id="rId1" Type="http://schemas.openxmlformats.org/officeDocument/2006/relationships/hyperlink" Target="https://www.secondsol.com/en/anzeige/22874/canadian-solar/cs3k-300-kublack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sunpower.maxeon.com/au/sites/default/files/2019-07/max3-400-390-370-au_0.pdf" TargetMode="External"/><Relationship Id="rId4" Type="http://schemas.openxmlformats.org/officeDocument/2006/relationships/hyperlink" Target="https://static.csisolar.com/wp-content/uploads/2019/12/28165944/BiHiKu_CS3W-MB-AG_en.pdf" TargetMode="External"/><Relationship Id="rId9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olaruk.com/pdf/DS%20-%20HIT235%20-%20HIT%20235%20SE10%20-%20datasheet.pdf" TargetMode="External"/><Relationship Id="rId1" Type="http://schemas.openxmlformats.org/officeDocument/2006/relationships/hyperlink" Target="https://www.pvxchange.com/Panasonic-Sanyo_1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hyperlink" Target="http://www.firstsolar.com/-/media/First-Solar/Technical-Documents/Series-6-Datasheets/Series-6-Datasheet.ashx" TargetMode="External"/><Relationship Id="rId1" Type="http://schemas.openxmlformats.org/officeDocument/2006/relationships/hyperlink" Target="https://www.secondsol.com/en/anzeige/17933/solar-panel/thin-film/cdte/calyxo/cx3-80" TargetMode="External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hyperlink" Target="https://www.enfsolar.com/pv/panel-datasheet/Thin-film/613?utm_source=ENF&amp;utm_medium=panel_list&amp;utm_campaign=enquiry_product_directory&amp;utm_content=4777" TargetMode="External"/><Relationship Id="rId1" Type="http://schemas.openxmlformats.org/officeDocument/2006/relationships/hyperlink" Target="https://www.secondsol.com/en/anzeige/8142/first-solar/fs-277" TargetMode="External"/><Relationship Id="rId5" Type="http://schemas.microsoft.com/office/2017/10/relationships/threadedComment" Target="../threadedComments/threadedComment3.xml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solar-eshop.cz/p/fv-panel-renogy-160wp/" TargetMode="External"/><Relationship Id="rId1" Type="http://schemas.openxmlformats.org/officeDocument/2006/relationships/hyperlink" Target="https://www.solar-eshop.cz/p/fv-panel-renogy-100wp/" TargetMode="External"/><Relationship Id="rId6" Type="http://schemas.microsoft.com/office/2017/10/relationships/threadedComment" Target="../threadedComments/threadedComment4.xml"/><Relationship Id="rId5" Type="http://schemas.openxmlformats.org/officeDocument/2006/relationships/comments" Target="../comments4.xml"/><Relationship Id="rId4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hyperlink" Target="https://www.enfsolar.com/pv/panel-datasheet/Thin-film/1169?utm_source=ENF&amp;utm_medium=panel_list&amp;utm_campaign=enquiry_product_directory&amp;utm_content=14479" TargetMode="External"/><Relationship Id="rId1" Type="http://schemas.openxmlformats.org/officeDocument/2006/relationships/hyperlink" Target="https://www.enfsolar.com/pv/panel-datasheet/Thin-film/249?utm_source=ENF&amp;utm_medium=panel_list&amp;utm_campaign=enquiry_product_directory&amp;utm_content=2239" TargetMode="External"/><Relationship Id="rId5" Type="http://schemas.microsoft.com/office/2017/10/relationships/threadedComment" Target="../threadedComments/threadedComment5.xml"/><Relationship Id="rId4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nfsolar.com/pv/panel-datasheet/Thin-film/989?utm_source=ENF&amp;utm_medium=panel_list&amp;utm_campaign=enquiry_product_directory&amp;utm_content=54822" TargetMode="External"/><Relationship Id="rId2" Type="http://schemas.openxmlformats.org/officeDocument/2006/relationships/hyperlink" Target="https://www.enfsolar.com/pv/panel-datasheet/Thin-film/1091?utm_source=ENF&amp;utm_medium=panel_list&amp;utm_campaign=enquiry_product_directory&amp;utm_content=9427" TargetMode="External"/><Relationship Id="rId1" Type="http://schemas.openxmlformats.org/officeDocument/2006/relationships/hyperlink" Target="https://www.enfsolar.com/pv/panel-datasheet/Thin-film/1000?utm_source=ENF&amp;utm_medium=panel_list&amp;utm_campaign=enquiry_product_directory&amp;utm_content=54822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s://www.enfsolar.com/pv/panel-datasheet/Thin-film/991?utm_source=ENF&amp;utm_medium=panel_list&amp;utm_campaign=enquiry_product_directory&amp;utm_content=54822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hyperlink" Target="https://infinitypv.com/shop/solar-panels/SOLO-18W360Vpanel" TargetMode="External"/><Relationship Id="rId4" Type="http://schemas.microsoft.com/office/2017/10/relationships/threadedComment" Target="../threadedComments/threadedComment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zoomScale="85" zoomScaleNormal="85" workbookViewId="0">
      <selection activeCell="I27" sqref="I27"/>
    </sheetView>
  </sheetViews>
  <sheetFormatPr defaultColWidth="25.26953125" defaultRowHeight="19.5" customHeight="1" x14ac:dyDescent="0.35"/>
  <cols>
    <col min="2" max="2" width="28.6328125" customWidth="1"/>
    <col min="3" max="3" width="28.7265625" customWidth="1"/>
    <col min="4" max="4" width="13.54296875" bestFit="1" customWidth="1"/>
    <col min="5" max="5" width="10.54296875" customWidth="1"/>
    <col min="6" max="6" width="16.453125" bestFit="1" customWidth="1"/>
    <col min="7" max="7" width="16.453125" customWidth="1"/>
    <col min="8" max="8" width="22.26953125" bestFit="1" customWidth="1"/>
    <col min="9" max="9" width="17.54296875" style="22" bestFit="1" customWidth="1"/>
  </cols>
  <sheetData>
    <row r="1" spans="1:9" s="2" customFormat="1" ht="25" customHeight="1" x14ac:dyDescent="0.45">
      <c r="A1" s="2" t="s">
        <v>0</v>
      </c>
      <c r="I1"/>
    </row>
    <row r="2" spans="1:9" ht="19.5" customHeight="1" x14ac:dyDescent="0.35">
      <c r="G2" s="5"/>
      <c r="I2"/>
    </row>
    <row r="3" spans="1:9" s="6" customFormat="1" ht="19.5" customHeight="1" x14ac:dyDescent="0.35">
      <c r="A3" s="48" t="s">
        <v>1</v>
      </c>
      <c r="B3" s="48" t="s">
        <v>4</v>
      </c>
      <c r="C3" s="48" t="s">
        <v>5</v>
      </c>
      <c r="D3" s="48" t="s">
        <v>74</v>
      </c>
      <c r="E3" s="48" t="s">
        <v>67</v>
      </c>
      <c r="F3" s="48" t="s">
        <v>75</v>
      </c>
      <c r="G3" s="49" t="s">
        <v>82</v>
      </c>
      <c r="H3" s="49" t="s">
        <v>161</v>
      </c>
      <c r="I3"/>
    </row>
    <row r="4" spans="1:9" ht="19.5" customHeight="1" x14ac:dyDescent="0.35">
      <c r="A4" s="26" t="s">
        <v>144</v>
      </c>
      <c r="B4" s="27" t="s">
        <v>59</v>
      </c>
      <c r="C4" s="27" t="s">
        <v>145</v>
      </c>
      <c r="D4" s="28">
        <f>'Krys Si'!B21</f>
        <v>14.947758620689653</v>
      </c>
      <c r="E4" s="29">
        <f>'Krys Si'!H20</f>
        <v>26.111111111111111</v>
      </c>
      <c r="F4" s="28">
        <f>'Krys Si'!F20</f>
        <v>11.575186607761825</v>
      </c>
      <c r="G4" s="83">
        <f>'Krys Si'!B22</f>
        <v>0.20928000000000002</v>
      </c>
      <c r="H4" s="37">
        <f>'Krys Si'!K20</f>
        <v>-0.35666666666666663</v>
      </c>
      <c r="I4"/>
    </row>
    <row r="5" spans="1:9" ht="19.5" customHeight="1" x14ac:dyDescent="0.35">
      <c r="A5" s="26" t="s">
        <v>138</v>
      </c>
      <c r="B5" s="27"/>
      <c r="C5" s="27"/>
      <c r="D5" s="28">
        <f>'Si HIT'!B15</f>
        <v>16.553445295674447</v>
      </c>
      <c r="E5" s="29">
        <f>'Si HIT'!H14</f>
        <v>25</v>
      </c>
      <c r="F5" s="28">
        <f>'Si HIT'!F14</f>
        <v>11.89815182041723</v>
      </c>
      <c r="G5" s="55">
        <f>'Si HIT'!B16</f>
        <v>0.18600000000000003</v>
      </c>
      <c r="H5" s="55">
        <f>'Si HIT'!K14</f>
        <v>-0.3</v>
      </c>
      <c r="I5"/>
    </row>
    <row r="6" spans="1:9" ht="19.5" customHeight="1" x14ac:dyDescent="0.35">
      <c r="A6" s="26" t="s">
        <v>139</v>
      </c>
      <c r="B6" s="27" t="s">
        <v>64</v>
      </c>
      <c r="C6" s="27" t="s">
        <v>60</v>
      </c>
      <c r="D6" s="28">
        <f>'Cd-Te'!B14</f>
        <v>6.7810103106809105</v>
      </c>
      <c r="E6" s="29">
        <f>'Cd-Te'!H12</f>
        <v>25</v>
      </c>
      <c r="F6" s="28">
        <f>'Cd-Te'!F13</f>
        <v>14.553589760282033</v>
      </c>
      <c r="G6" s="55">
        <f>'Cd-Te'!B15</f>
        <v>0.17600000000000002</v>
      </c>
      <c r="H6" s="55">
        <f>'Cd-Te'!K13</f>
        <v>-0.32</v>
      </c>
      <c r="I6"/>
    </row>
    <row r="7" spans="1:9" ht="19.5" customHeight="1" x14ac:dyDescent="0.35">
      <c r="A7" s="46" t="s">
        <v>140</v>
      </c>
      <c r="B7" s="27" t="s">
        <v>156</v>
      </c>
      <c r="C7" s="27" t="s">
        <v>155</v>
      </c>
      <c r="D7" s="28">
        <f>'ThF Cd-Te'!B13</f>
        <v>44.04842729970327</v>
      </c>
      <c r="E7" s="29">
        <f>'ThF Cd-Te'!H11</f>
        <v>23.333333333333332</v>
      </c>
      <c r="F7" s="28">
        <f>'ThF Cd-Te'!F12</f>
        <v>16.666666666666668</v>
      </c>
      <c r="G7" s="55">
        <f>'ThF Cd-Te'!B14</f>
        <v>0.1170138888888889</v>
      </c>
      <c r="H7" s="55">
        <f>'ThF Cd-Te'!K12</f>
        <v>-0.22500000000000001</v>
      </c>
      <c r="I7"/>
    </row>
    <row r="8" spans="1:9" s="53" customFormat="1" ht="19.5" customHeight="1" x14ac:dyDescent="0.35">
      <c r="A8" s="66" t="s">
        <v>158</v>
      </c>
      <c r="B8" s="67"/>
      <c r="C8" s="67"/>
      <c r="D8" s="68">
        <f>'ThF Si'!B13</f>
        <v>57.344329896907219</v>
      </c>
      <c r="E8" s="69">
        <f>'ThF Si'!H11</f>
        <v>15</v>
      </c>
      <c r="F8" s="68">
        <f>'ThF Si'!F12</f>
        <v>2.8861503266325985</v>
      </c>
      <c r="G8" s="70">
        <f>'ThF Si'!B14</f>
        <v>0.19607500000000003</v>
      </c>
      <c r="H8" s="70">
        <f>'ThF Si'!K12</f>
        <v>-0.42</v>
      </c>
      <c r="I8"/>
    </row>
    <row r="9" spans="1:9" ht="19.5" customHeight="1" x14ac:dyDescent="0.35">
      <c r="A9" s="46" t="s">
        <v>141</v>
      </c>
      <c r="B9" s="27" t="s">
        <v>152</v>
      </c>
      <c r="C9" s="27" t="s">
        <v>153</v>
      </c>
      <c r="D9" s="28">
        <f>'a-Si'!B12</f>
        <v>3.6031728813559325</v>
      </c>
      <c r="E9" s="29">
        <f>'a-Si'!H10</f>
        <v>17.5</v>
      </c>
      <c r="F9" s="28">
        <f>'a-Si'!F11</f>
        <v>4.2309737900319613</v>
      </c>
      <c r="G9" s="55">
        <f>'a-Si'!B13</f>
        <v>7.0383680529667023E-2</v>
      </c>
      <c r="H9" s="55">
        <f>'a-Si'!K11</f>
        <v>-0.21</v>
      </c>
      <c r="I9"/>
    </row>
    <row r="10" spans="1:9" ht="19.5" customHeight="1" x14ac:dyDescent="0.35">
      <c r="A10" s="47" t="s">
        <v>61</v>
      </c>
      <c r="B10" s="27" t="s">
        <v>58</v>
      </c>
      <c r="C10" s="27" t="s">
        <v>65</v>
      </c>
      <c r="D10" s="28">
        <f>'CIS.CIGS'!B13</f>
        <v>19.620085338752375</v>
      </c>
      <c r="E10" s="29">
        <f>'CIS.CIGS'!H11</f>
        <v>25</v>
      </c>
      <c r="F10" s="28">
        <f>'CIS.CIGS'!F12</f>
        <v>2.4234501392009697</v>
      </c>
      <c r="G10" s="55">
        <f>'CIS.CIGS'!B14</f>
        <v>0.16579999999999998</v>
      </c>
      <c r="H10" s="55">
        <f>'CIS.CIGS'!K12</f>
        <v>-0.374</v>
      </c>
      <c r="I10"/>
    </row>
    <row r="11" spans="1:9" ht="19.5" customHeight="1" x14ac:dyDescent="0.35">
      <c r="A11" s="47" t="s">
        <v>71</v>
      </c>
      <c r="B11" s="27" t="s">
        <v>63</v>
      </c>
      <c r="C11" s="27" t="s">
        <v>147</v>
      </c>
      <c r="D11" s="28" t="s">
        <v>160</v>
      </c>
      <c r="E11" s="28" t="s">
        <v>160</v>
      </c>
      <c r="F11" s="28" t="s">
        <v>160</v>
      </c>
      <c r="G11" s="28" t="s">
        <v>160</v>
      </c>
      <c r="H11" s="28" t="s">
        <v>160</v>
      </c>
      <c r="I11"/>
    </row>
    <row r="12" spans="1:9" ht="19.5" customHeight="1" x14ac:dyDescent="0.35">
      <c r="A12" s="47" t="s">
        <v>2</v>
      </c>
      <c r="B12" s="27" t="s">
        <v>142</v>
      </c>
      <c r="C12" s="27" t="s">
        <v>143</v>
      </c>
      <c r="D12" s="30">
        <f>'Organický PV'!B12</f>
        <v>547.19999999999993</v>
      </c>
      <c r="E12" s="28" t="s">
        <v>160</v>
      </c>
      <c r="F12" s="28" t="s">
        <v>160</v>
      </c>
      <c r="G12" s="55">
        <f>'Organický PV'!B13</f>
        <v>9.5115734362083218E-2</v>
      </c>
      <c r="H12" s="28" t="s">
        <v>160</v>
      </c>
      <c r="I12"/>
    </row>
    <row r="13" spans="1:9" ht="19.5" customHeight="1" x14ac:dyDescent="0.35">
      <c r="G13" s="41"/>
      <c r="H13" s="41"/>
      <c r="I13"/>
    </row>
    <row r="14" spans="1:9" ht="19.5" customHeight="1" x14ac:dyDescent="0.35">
      <c r="I14"/>
    </row>
    <row r="15" spans="1:9" ht="19.5" customHeight="1" x14ac:dyDescent="0.35">
      <c r="A15" s="14" t="s">
        <v>76</v>
      </c>
    </row>
    <row r="16" spans="1:9" ht="29" x14ac:dyDescent="0.35">
      <c r="A16" s="63" t="s">
        <v>1</v>
      </c>
      <c r="B16" s="63" t="s">
        <v>66</v>
      </c>
      <c r="C16" s="63" t="s">
        <v>67</v>
      </c>
      <c r="D16" s="63" t="s">
        <v>68</v>
      </c>
      <c r="E16" s="63" t="s">
        <v>69</v>
      </c>
      <c r="F16" s="63" t="s">
        <v>82</v>
      </c>
      <c r="G16" s="85" t="s">
        <v>161</v>
      </c>
      <c r="I16" s="23"/>
    </row>
    <row r="17" spans="1:13" ht="19.5" customHeight="1" x14ac:dyDescent="0.35">
      <c r="A17" s="26" t="s">
        <v>144</v>
      </c>
      <c r="B17" s="27">
        <v>3</v>
      </c>
      <c r="C17" s="27">
        <v>5</v>
      </c>
      <c r="D17" s="27">
        <v>1</v>
      </c>
      <c r="E17" s="27">
        <v>1</v>
      </c>
      <c r="F17" s="27">
        <v>5</v>
      </c>
      <c r="G17" s="27">
        <v>2</v>
      </c>
    </row>
    <row r="18" spans="1:13" ht="19.5" customHeight="1" x14ac:dyDescent="0.35">
      <c r="A18" s="26" t="s">
        <v>138</v>
      </c>
      <c r="B18" s="27">
        <v>2</v>
      </c>
      <c r="C18" s="27">
        <v>5</v>
      </c>
      <c r="D18" s="27">
        <v>1</v>
      </c>
      <c r="E18" s="27">
        <v>1</v>
      </c>
      <c r="F18" s="27">
        <v>5</v>
      </c>
      <c r="G18" s="27">
        <v>4</v>
      </c>
    </row>
    <row r="19" spans="1:13" ht="19.5" customHeight="1" x14ac:dyDescent="0.35">
      <c r="A19" s="26" t="s">
        <v>139</v>
      </c>
      <c r="B19" s="27">
        <v>4</v>
      </c>
      <c r="C19" s="27">
        <v>5</v>
      </c>
      <c r="D19" s="27">
        <v>1</v>
      </c>
      <c r="E19" s="27">
        <v>2</v>
      </c>
      <c r="F19" s="27">
        <v>4</v>
      </c>
      <c r="G19" s="27">
        <v>4</v>
      </c>
    </row>
    <row r="20" spans="1:13" ht="19.5" customHeight="1" x14ac:dyDescent="0.35">
      <c r="A20" s="46" t="s">
        <v>140</v>
      </c>
      <c r="B20" s="27">
        <v>2</v>
      </c>
      <c r="C20" s="27">
        <v>3</v>
      </c>
      <c r="D20" s="27">
        <v>3</v>
      </c>
      <c r="E20" s="27">
        <v>3</v>
      </c>
      <c r="F20" s="27">
        <v>3</v>
      </c>
      <c r="G20" s="27">
        <v>5</v>
      </c>
    </row>
    <row r="21" spans="1:13" ht="19.5" customHeight="1" x14ac:dyDescent="0.35">
      <c r="A21" s="46" t="s">
        <v>158</v>
      </c>
      <c r="B21" s="27">
        <v>1</v>
      </c>
      <c r="C21" s="27">
        <v>1</v>
      </c>
      <c r="D21" s="27">
        <v>3</v>
      </c>
      <c r="E21" s="27">
        <v>5</v>
      </c>
      <c r="F21" s="27">
        <v>5</v>
      </c>
      <c r="G21" s="27">
        <v>1</v>
      </c>
    </row>
    <row r="22" spans="1:13" ht="19.5" customHeight="1" x14ac:dyDescent="0.35">
      <c r="A22" s="46" t="s">
        <v>141</v>
      </c>
      <c r="B22" s="27">
        <v>4</v>
      </c>
      <c r="C22" s="27">
        <v>2</v>
      </c>
      <c r="D22" s="27">
        <v>3</v>
      </c>
      <c r="E22" s="27">
        <v>2</v>
      </c>
      <c r="F22" s="27">
        <v>2</v>
      </c>
      <c r="G22" s="27">
        <v>5</v>
      </c>
    </row>
    <row r="23" spans="1:13" ht="19.5" customHeight="1" x14ac:dyDescent="0.35">
      <c r="A23" s="47" t="s">
        <v>61</v>
      </c>
      <c r="B23" s="27">
        <v>3</v>
      </c>
      <c r="C23" s="27">
        <v>3</v>
      </c>
      <c r="D23" s="27">
        <v>5</v>
      </c>
      <c r="E23" s="27">
        <v>5</v>
      </c>
      <c r="F23" s="27">
        <v>3</v>
      </c>
      <c r="G23" s="27">
        <v>2</v>
      </c>
    </row>
    <row r="24" spans="1:13" ht="19.5" customHeight="1" x14ac:dyDescent="0.35">
      <c r="A24" s="47" t="s">
        <v>71</v>
      </c>
      <c r="B24" s="27">
        <v>4</v>
      </c>
      <c r="C24" s="27">
        <v>3</v>
      </c>
      <c r="D24" s="27">
        <v>4</v>
      </c>
      <c r="E24" s="27">
        <v>3</v>
      </c>
      <c r="F24" s="27">
        <v>3</v>
      </c>
      <c r="G24" s="27">
        <v>2</v>
      </c>
    </row>
    <row r="25" spans="1:13" ht="19.5" customHeight="1" x14ac:dyDescent="0.35">
      <c r="A25" s="47" t="s">
        <v>2</v>
      </c>
      <c r="B25" s="27">
        <v>4</v>
      </c>
      <c r="C25" s="27">
        <v>1</v>
      </c>
      <c r="D25" s="27">
        <v>5</v>
      </c>
      <c r="E25" s="27">
        <v>5</v>
      </c>
      <c r="F25" s="27">
        <v>2</v>
      </c>
      <c r="G25" s="27">
        <v>2</v>
      </c>
    </row>
    <row r="26" spans="1:13" ht="19.5" customHeight="1" x14ac:dyDescent="0.35">
      <c r="A26" s="20"/>
    </row>
    <row r="27" spans="1:13" s="6" customFormat="1" ht="19.5" customHeight="1" x14ac:dyDescent="0.35">
      <c r="A27" s="14" t="s">
        <v>80</v>
      </c>
      <c r="B27" s="6">
        <v>1</v>
      </c>
      <c r="C27" s="6">
        <v>2</v>
      </c>
      <c r="D27" s="6">
        <v>2</v>
      </c>
      <c r="E27" s="6">
        <v>3</v>
      </c>
      <c r="F27" s="6">
        <v>5</v>
      </c>
      <c r="G27" s="6">
        <v>4</v>
      </c>
      <c r="J27" s="6">
        <v>2</v>
      </c>
      <c r="K27" s="6">
        <v>3</v>
      </c>
      <c r="L27" s="6">
        <v>2</v>
      </c>
      <c r="M27" s="6">
        <v>5</v>
      </c>
    </row>
    <row r="28" spans="1:13" s="22" customFormat="1" ht="19.5" customHeight="1" x14ac:dyDescent="0.35">
      <c r="A28" s="25" t="s">
        <v>81</v>
      </c>
      <c r="B28" s="24">
        <f t="shared" ref="B28:G28" si="0">B27/SUM($B$27:$G$27)</f>
        <v>5.8823529411764705E-2</v>
      </c>
      <c r="C28" s="24">
        <f t="shared" si="0"/>
        <v>0.11764705882352941</v>
      </c>
      <c r="D28" s="24">
        <f t="shared" si="0"/>
        <v>0.11764705882352941</v>
      </c>
      <c r="E28" s="24">
        <f t="shared" si="0"/>
        <v>0.17647058823529413</v>
      </c>
      <c r="F28" s="24">
        <f t="shared" si="0"/>
        <v>0.29411764705882354</v>
      </c>
      <c r="G28" s="24">
        <f t="shared" si="0"/>
        <v>0.23529411764705882</v>
      </c>
    </row>
    <row r="29" spans="1:13" ht="19.5" customHeight="1" x14ac:dyDescent="0.35">
      <c r="A29" s="20" t="s">
        <v>73</v>
      </c>
      <c r="B29" t="s">
        <v>77</v>
      </c>
    </row>
    <row r="31" spans="1:13" ht="19.5" customHeight="1" x14ac:dyDescent="0.35">
      <c r="A31" t="s">
        <v>78</v>
      </c>
    </row>
    <row r="32" spans="1:13" ht="19.5" customHeight="1" x14ac:dyDescent="0.35">
      <c r="A32" s="64" t="s">
        <v>1</v>
      </c>
      <c r="B32" s="64" t="s">
        <v>66</v>
      </c>
      <c r="C32" s="64" t="s">
        <v>67</v>
      </c>
      <c r="D32" s="64"/>
      <c r="E32" s="64" t="s">
        <v>69</v>
      </c>
      <c r="F32" s="64" t="s">
        <v>82</v>
      </c>
      <c r="G32" s="64" t="s">
        <v>161</v>
      </c>
      <c r="H32" s="14" t="s">
        <v>70</v>
      </c>
      <c r="I32" s="56" t="s">
        <v>148</v>
      </c>
    </row>
    <row r="33" spans="1:10" ht="19.5" customHeight="1" x14ac:dyDescent="0.35">
      <c r="A33" s="26" t="s">
        <v>144</v>
      </c>
      <c r="B33" s="65">
        <f>B17/SUM(B$17:B$25)*B$28</f>
        <v>6.5359477124183E-3</v>
      </c>
      <c r="C33" s="65">
        <f>C17/SUM(C$17:C$25)*C$28</f>
        <v>2.100840336134454E-2</v>
      </c>
      <c r="D33" s="65"/>
      <c r="E33" s="65">
        <f>E17/SUM(E$17:E$25)*E$28</f>
        <v>6.5359477124183009E-3</v>
      </c>
      <c r="F33" s="65">
        <f>F17/SUM(F$17:F$25)*F$28</f>
        <v>4.595588235294118E-2</v>
      </c>
      <c r="G33" s="65">
        <f>G17/SUM(G$17:G$25)*G$28</f>
        <v>1.7429193899782133E-2</v>
      </c>
      <c r="H33" s="84">
        <f t="shared" ref="H33:H40" si="1">SUM(B33:G33)</f>
        <v>9.7465375038904442E-2</v>
      </c>
      <c r="I33" s="26"/>
      <c r="J33" s="60" t="s">
        <v>149</v>
      </c>
    </row>
    <row r="34" spans="1:10" ht="19.5" customHeight="1" x14ac:dyDescent="0.35">
      <c r="A34" s="26" t="s">
        <v>138</v>
      </c>
      <c r="B34" s="65">
        <f>B18/SUM(B$17:B$25)*B$28</f>
        <v>4.3572984749455333E-3</v>
      </c>
      <c r="C34" s="65">
        <f>C18/SUM(C$17:C$25)*C$28</f>
        <v>2.100840336134454E-2</v>
      </c>
      <c r="D34" s="65"/>
      <c r="E34" s="65">
        <f>E18/SUM(E$17:E$25)*E$28</f>
        <v>6.5359477124183009E-3</v>
      </c>
      <c r="F34" s="65">
        <f>F18/SUM(F$17:F$25)*F$28</f>
        <v>4.595588235294118E-2</v>
      </c>
      <c r="G34" s="65">
        <f>G18/SUM(G$17:G$25)*G$28</f>
        <v>3.4858387799564267E-2</v>
      </c>
      <c r="H34" s="84">
        <f t="shared" si="1"/>
        <v>0.11271591970121382</v>
      </c>
      <c r="I34" s="26"/>
    </row>
    <row r="35" spans="1:10" ht="19.5" customHeight="1" x14ac:dyDescent="0.35">
      <c r="A35" s="26" t="s">
        <v>139</v>
      </c>
      <c r="B35" s="65">
        <f>B19/SUM(B$17:B$25)*B$28</f>
        <v>8.7145969498910666E-3</v>
      </c>
      <c r="C35" s="65">
        <f>C19/SUM(C$17:C$25)*C$28</f>
        <v>2.100840336134454E-2</v>
      </c>
      <c r="D35" s="65"/>
      <c r="E35" s="65">
        <f>E19/SUM(E$17:E$25)*E$28</f>
        <v>1.3071895424836602E-2</v>
      </c>
      <c r="F35" s="65">
        <f>F19/SUM(F$17:F$25)*F$28</f>
        <v>3.6764705882352942E-2</v>
      </c>
      <c r="G35" s="65">
        <f>G19/SUM(G$17:G$25)*G$28</f>
        <v>3.4858387799564267E-2</v>
      </c>
      <c r="H35" s="84">
        <f t="shared" si="1"/>
        <v>0.11441798941798942</v>
      </c>
      <c r="I35" s="57">
        <f>AVERAGE(H33:H35)</f>
        <v>0.10819976138603589</v>
      </c>
    </row>
    <row r="36" spans="1:10" ht="19.5" customHeight="1" x14ac:dyDescent="0.35">
      <c r="A36" s="46" t="s">
        <v>140</v>
      </c>
      <c r="B36" s="65">
        <f>B20/SUM(B$17:B$25)*B$28</f>
        <v>4.3572984749455333E-3</v>
      </c>
      <c r="C36" s="65">
        <f>C20/SUM(C$17:C$25)*C$28</f>
        <v>1.2605042016806721E-2</v>
      </c>
      <c r="D36" s="65"/>
      <c r="E36" s="65">
        <f>E20/SUM(E$17:E$25)*E$28</f>
        <v>1.9607843137254902E-2</v>
      </c>
      <c r="F36" s="65">
        <f>F20/SUM(F$17:F$25)*F$28</f>
        <v>2.7573529411764705E-2</v>
      </c>
      <c r="G36" s="65">
        <f>G20/SUM(G$17:G$25)*G$28</f>
        <v>4.3572984749455333E-2</v>
      </c>
      <c r="H36" s="84">
        <f t="shared" si="1"/>
        <v>0.10771669779022719</v>
      </c>
      <c r="I36" s="46"/>
      <c r="J36" s="61" t="s">
        <v>150</v>
      </c>
    </row>
    <row r="37" spans="1:10" ht="19.5" customHeight="1" x14ac:dyDescent="0.35">
      <c r="A37" s="46" t="s">
        <v>158</v>
      </c>
      <c r="B37" s="65">
        <f>B21/SUM(B$17:B$25)*B$28</f>
        <v>2.1786492374727667E-3</v>
      </c>
      <c r="C37" s="65">
        <f>C21/SUM(C$17:C$25)*C$28</f>
        <v>4.2016806722689074E-3</v>
      </c>
      <c r="D37" s="65"/>
      <c r="E37" s="65">
        <f>E21/SUM(E$17:E$25)*E$28</f>
        <v>3.2679738562091505E-2</v>
      </c>
      <c r="F37" s="65">
        <f>F21/SUM(F$17:F$25)*F$28</f>
        <v>4.595588235294118E-2</v>
      </c>
      <c r="G37" s="65">
        <f>G21/SUM(G$17:G$25)*G$28</f>
        <v>8.7145969498910666E-3</v>
      </c>
      <c r="H37" s="84">
        <f t="shared" si="1"/>
        <v>9.373054777466544E-2</v>
      </c>
      <c r="I37" s="46"/>
      <c r="J37" s="61"/>
    </row>
    <row r="38" spans="1:10" ht="19.5" customHeight="1" x14ac:dyDescent="0.35">
      <c r="A38" s="46" t="s">
        <v>141</v>
      </c>
      <c r="B38" s="65">
        <f>B22/SUM(B$17:B$25)*B$28</f>
        <v>8.7145969498910666E-3</v>
      </c>
      <c r="C38" s="65">
        <f>C22/SUM(C$17:C$25)*C$28</f>
        <v>8.4033613445378148E-3</v>
      </c>
      <c r="D38" s="65"/>
      <c r="E38" s="65">
        <f>E22/SUM(E$17:E$25)*E$28</f>
        <v>1.3071895424836602E-2</v>
      </c>
      <c r="F38" s="65">
        <f>F22/SUM(F$17:F$25)*F$28</f>
        <v>1.8382352941176471E-2</v>
      </c>
      <c r="G38" s="65">
        <f>G22/SUM(G$17:G$25)*G$28</f>
        <v>4.3572984749455333E-2</v>
      </c>
      <c r="H38" s="84">
        <f t="shared" si="1"/>
        <v>9.2145191409897298E-2</v>
      </c>
      <c r="I38" s="58">
        <f>AVERAGE(H36:H38)</f>
        <v>9.7864145658263305E-2</v>
      </c>
    </row>
    <row r="39" spans="1:10" ht="19.5" customHeight="1" x14ac:dyDescent="0.35">
      <c r="A39" s="47" t="s">
        <v>61</v>
      </c>
      <c r="B39" s="65">
        <f>B23/SUM(B$17:B$25)*B$28</f>
        <v>6.5359477124183E-3</v>
      </c>
      <c r="C39" s="65">
        <f>C23/SUM(C$17:C$25)*C$28</f>
        <v>1.2605042016806721E-2</v>
      </c>
      <c r="D39" s="65"/>
      <c r="E39" s="65">
        <f>E23/SUM(E$17:E$25)*E$28</f>
        <v>3.2679738562091505E-2</v>
      </c>
      <c r="F39" s="65">
        <f>F23/SUM(F$17:F$25)*F$28</f>
        <v>2.7573529411764705E-2</v>
      </c>
      <c r="G39" s="65">
        <f>G23/SUM(G$17:G$25)*G$28</f>
        <v>1.7429193899782133E-2</v>
      </c>
      <c r="H39" s="84">
        <f t="shared" si="1"/>
        <v>9.6823451602863361E-2</v>
      </c>
      <c r="I39" s="47"/>
      <c r="J39" s="62" t="s">
        <v>151</v>
      </c>
    </row>
    <row r="40" spans="1:10" ht="19.5" customHeight="1" x14ac:dyDescent="0.35">
      <c r="A40" s="47" t="s">
        <v>71</v>
      </c>
      <c r="B40" s="65">
        <f>B24/SUM(B$17:B$25)*B$28</f>
        <v>8.7145969498910666E-3</v>
      </c>
      <c r="C40" s="65">
        <f>C24/SUM(C$17:C$25)*C$28</f>
        <v>1.2605042016806721E-2</v>
      </c>
      <c r="D40" s="65"/>
      <c r="E40" s="65">
        <f>E24/SUM(E$17:E$25)*E$28</f>
        <v>1.9607843137254902E-2</v>
      </c>
      <c r="F40" s="65">
        <f>F24/SUM(F$17:F$25)*F$28</f>
        <v>2.7573529411764705E-2</v>
      </c>
      <c r="G40" s="65">
        <f>G24/SUM(G$17:G$25)*G$28</f>
        <v>1.7429193899782133E-2</v>
      </c>
      <c r="H40" s="84">
        <f t="shared" si="1"/>
        <v>8.5930205415499519E-2</v>
      </c>
      <c r="I40" s="47"/>
    </row>
    <row r="41" spans="1:10" ht="19.5" customHeight="1" x14ac:dyDescent="0.35">
      <c r="A41" s="47" t="s">
        <v>2</v>
      </c>
      <c r="B41" s="65">
        <f>B25/SUM(B$17:B$25)*B$28</f>
        <v>8.7145969498910666E-3</v>
      </c>
      <c r="C41" s="65">
        <f>C25/SUM(C$17:C$25)*C$28</f>
        <v>4.2016806722689074E-3</v>
      </c>
      <c r="D41" s="65"/>
      <c r="E41" s="65">
        <f>E25/SUM(E$17:E$25)*E$28</f>
        <v>3.2679738562091505E-2</v>
      </c>
      <c r="F41" s="65">
        <f>F25/SUM(F$17:F$25)*F$28</f>
        <v>1.8382352941176471E-2</v>
      </c>
      <c r="G41" s="65">
        <f>G25/SUM(G$17:G$25)*G$28</f>
        <v>1.7429193899782133E-2</v>
      </c>
      <c r="H41" s="84">
        <f>SUM(B41:G41)</f>
        <v>8.1407563025210086E-2</v>
      </c>
      <c r="I41" s="59">
        <f>AVERAGE(H39:H41)</f>
        <v>8.8053740014524318E-2</v>
      </c>
    </row>
    <row r="44" spans="1:10" ht="19.5" customHeight="1" x14ac:dyDescent="0.35">
      <c r="A44" s="4" t="s">
        <v>79</v>
      </c>
    </row>
  </sheetData>
  <hyperlinks>
    <hyperlink ref="A44" r:id="rId1" xr:uid="{DCABD7D3-3F07-413E-AA42-24480F8042EA}"/>
  </hyperlinks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69B1B267-51CE-45F1-A43A-6336693C1FC9}">
            <x14:iconSet iconSet="3Triangle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H33:H41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B9024-4D72-4A5A-BE48-71A221E2066C}">
  <dimension ref="A1:K6"/>
  <sheetViews>
    <sheetView workbookViewId="0">
      <selection activeCell="G16" sqref="G16"/>
    </sheetView>
  </sheetViews>
  <sheetFormatPr defaultRowHeight="14.5" x14ac:dyDescent="0.35"/>
  <cols>
    <col min="1" max="1" width="21.90625" bestFit="1" customWidth="1"/>
    <col min="2" max="2" width="10.54296875" bestFit="1" customWidth="1"/>
    <col min="3" max="3" width="9.90625" bestFit="1" customWidth="1"/>
    <col min="4" max="4" width="10.7265625" bestFit="1" customWidth="1"/>
    <col min="5" max="5" width="13.08984375" bestFit="1" customWidth="1"/>
    <col min="7" max="7" width="19.6328125" bestFit="1" customWidth="1"/>
    <col min="8" max="8" width="14.26953125" bestFit="1" customWidth="1"/>
    <col min="9" max="9" width="9.90625" bestFit="1" customWidth="1"/>
    <col min="10" max="10" width="6.54296875" bestFit="1" customWidth="1"/>
  </cols>
  <sheetData>
    <row r="1" spans="1:11" ht="23.5" customHeight="1" x14ac:dyDescent="0.45">
      <c r="A1" s="1" t="s">
        <v>72</v>
      </c>
    </row>
    <row r="2" spans="1:11" ht="15.5" customHeight="1" x14ac:dyDescent="0.35"/>
    <row r="3" spans="1:11" s="10" customFormat="1" ht="20" customHeight="1" x14ac:dyDescent="0.35">
      <c r="A3" s="10" t="s">
        <v>7</v>
      </c>
      <c r="B3" s="10" t="s">
        <v>15</v>
      </c>
      <c r="C3" s="10" t="s">
        <v>16</v>
      </c>
      <c r="D3" s="10" t="s">
        <v>39</v>
      </c>
      <c r="E3" s="10" t="s">
        <v>17</v>
      </c>
      <c r="F3" s="10" t="s">
        <v>18</v>
      </c>
      <c r="G3" s="10" t="s">
        <v>14</v>
      </c>
      <c r="H3" s="10" t="s">
        <v>8</v>
      </c>
      <c r="I3" s="11" t="s">
        <v>9</v>
      </c>
      <c r="J3" s="10" t="s">
        <v>6</v>
      </c>
      <c r="K3" s="10" t="s">
        <v>10</v>
      </c>
    </row>
    <row r="4" spans="1:11" s="14" customFormat="1" ht="14.5" customHeight="1" x14ac:dyDescent="0.35">
      <c r="I4" s="15"/>
    </row>
    <row r="5" spans="1:11" x14ac:dyDescent="0.35">
      <c r="A5" t="s">
        <v>54</v>
      </c>
      <c r="K5" s="4" t="s">
        <v>55</v>
      </c>
    </row>
    <row r="6" spans="1:11" x14ac:dyDescent="0.35">
      <c r="A6" t="s">
        <v>56</v>
      </c>
      <c r="K6" s="4" t="s">
        <v>57</v>
      </c>
    </row>
  </sheetData>
  <hyperlinks>
    <hyperlink ref="K6" r:id="rId1" xr:uid="{8088B86C-0DA1-4D6A-9959-377A9C15B5A0}"/>
    <hyperlink ref="K5" r:id="rId2" xr:uid="{E10A9F03-80F8-4AAC-94FE-3D5739517E6E}"/>
  </hyperlinks>
  <pageMargins left="0.7" right="0.7" top="0.78740157499999996" bottom="0.78740157499999996" header="0.3" footer="0.3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F3E22-D4F9-46FD-8BB5-DFBB7F65632C}">
  <dimension ref="A1:C14"/>
  <sheetViews>
    <sheetView workbookViewId="0">
      <selection activeCell="G8" sqref="G8"/>
    </sheetView>
  </sheetViews>
  <sheetFormatPr defaultRowHeight="29" customHeight="1" x14ac:dyDescent="0.35"/>
  <cols>
    <col min="1" max="1" width="35.1796875" customWidth="1"/>
    <col min="2" max="2" width="20.453125" bestFit="1" customWidth="1"/>
    <col min="3" max="3" width="19.90625" customWidth="1"/>
    <col min="4" max="4" width="17.7265625" customWidth="1"/>
  </cols>
  <sheetData>
    <row r="1" spans="1:3" ht="29" customHeight="1" x14ac:dyDescent="0.35">
      <c r="A1" t="s">
        <v>110</v>
      </c>
    </row>
    <row r="2" spans="1:3" s="87" customFormat="1" ht="29" customHeight="1" x14ac:dyDescent="0.35">
      <c r="A2" s="86" t="s">
        <v>83</v>
      </c>
      <c r="B2" s="86" t="s">
        <v>84</v>
      </c>
      <c r="C2" s="86" t="s">
        <v>85</v>
      </c>
    </row>
    <row r="3" spans="1:3" ht="29" customHeight="1" thickBot="1" x14ac:dyDescent="0.4">
      <c r="A3" s="31" t="s">
        <v>86</v>
      </c>
      <c r="B3" s="32" t="s">
        <v>87</v>
      </c>
      <c r="C3" s="38">
        <v>26.1</v>
      </c>
    </row>
    <row r="4" spans="1:3" ht="29" customHeight="1" thickBot="1" x14ac:dyDescent="0.4">
      <c r="A4" s="31" t="s">
        <v>88</v>
      </c>
      <c r="B4" s="32" t="s">
        <v>89</v>
      </c>
      <c r="C4" s="38">
        <v>26.6</v>
      </c>
    </row>
    <row r="5" spans="1:3" ht="29" customHeight="1" thickBot="1" x14ac:dyDescent="0.4">
      <c r="A5" s="31" t="s">
        <v>90</v>
      </c>
      <c r="B5" s="32" t="s">
        <v>91</v>
      </c>
      <c r="C5" s="38">
        <v>27.6</v>
      </c>
    </row>
    <row r="6" spans="1:3" ht="29" customHeight="1" thickBot="1" x14ac:dyDescent="0.4">
      <c r="A6" s="31" t="s">
        <v>92</v>
      </c>
      <c r="B6" s="32" t="s">
        <v>93</v>
      </c>
      <c r="C6" s="38">
        <v>27.8</v>
      </c>
    </row>
    <row r="7" spans="1:3" ht="29" customHeight="1" thickBot="1" x14ac:dyDescent="0.4">
      <c r="A7" s="33" t="s">
        <v>108</v>
      </c>
      <c r="B7" s="34" t="s">
        <v>104</v>
      </c>
      <c r="C7" s="39">
        <v>13.4</v>
      </c>
    </row>
    <row r="8" spans="1:3" ht="29" customHeight="1" thickBot="1" x14ac:dyDescent="0.4">
      <c r="A8" s="33" t="s">
        <v>109</v>
      </c>
      <c r="B8" s="34" t="s">
        <v>107</v>
      </c>
      <c r="C8" s="39">
        <v>34</v>
      </c>
    </row>
    <row r="9" spans="1:3" ht="29" customHeight="1" thickBot="1" x14ac:dyDescent="0.4">
      <c r="A9" s="33" t="s">
        <v>94</v>
      </c>
      <c r="B9" s="34" t="s">
        <v>95</v>
      </c>
      <c r="C9" s="39">
        <v>21.2</v>
      </c>
    </row>
    <row r="10" spans="1:3" ht="29" customHeight="1" thickBot="1" x14ac:dyDescent="0.4">
      <c r="A10" s="33" t="s">
        <v>96</v>
      </c>
      <c r="B10" s="34" t="s">
        <v>97</v>
      </c>
      <c r="C10" s="39">
        <v>22.1</v>
      </c>
    </row>
    <row r="11" spans="1:3" ht="29" customHeight="1" thickBot="1" x14ac:dyDescent="0.4">
      <c r="A11" s="35" t="s">
        <v>102</v>
      </c>
      <c r="B11" s="36" t="s">
        <v>103</v>
      </c>
      <c r="C11" s="40">
        <v>11.5</v>
      </c>
    </row>
    <row r="12" spans="1:3" ht="29" customHeight="1" thickBot="1" x14ac:dyDescent="0.4">
      <c r="A12" s="35" t="s">
        <v>105</v>
      </c>
      <c r="B12" s="36" t="s">
        <v>106</v>
      </c>
      <c r="C12" s="40">
        <v>22.7</v>
      </c>
    </row>
    <row r="13" spans="1:3" ht="29" customHeight="1" thickBot="1" x14ac:dyDescent="0.4">
      <c r="A13" s="35" t="s">
        <v>98</v>
      </c>
      <c r="B13" s="36" t="s">
        <v>99</v>
      </c>
      <c r="C13" s="40">
        <v>22.6</v>
      </c>
    </row>
    <row r="14" spans="1:3" ht="29" customHeight="1" thickBot="1" x14ac:dyDescent="0.4">
      <c r="A14" s="35" t="s">
        <v>100</v>
      </c>
      <c r="B14" s="36" t="s">
        <v>101</v>
      </c>
      <c r="C14" s="40">
        <v>28.8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EED62-2C15-4476-AA58-76B2E7221B83}">
  <sheetPr>
    <tabColor theme="4" tint="0.79998168889431442"/>
  </sheetPr>
  <dimension ref="A1:M22"/>
  <sheetViews>
    <sheetView workbookViewId="0">
      <selection activeCell="D20" sqref="D20"/>
    </sheetView>
  </sheetViews>
  <sheetFormatPr defaultColWidth="15.6328125" defaultRowHeight="14.5" x14ac:dyDescent="0.35"/>
  <cols>
    <col min="1" max="1" width="34.6328125" bestFit="1" customWidth="1"/>
    <col min="2" max="2" width="10.453125" bestFit="1" customWidth="1"/>
    <col min="3" max="3" width="9.81640625" bestFit="1" customWidth="1"/>
    <col min="4" max="4" width="10.6328125" bestFit="1" customWidth="1"/>
    <col min="5" max="5" width="13" bestFit="1" customWidth="1"/>
    <col min="6" max="6" width="11.08984375" customWidth="1"/>
    <col min="7" max="7" width="19.54296875" bestFit="1" customWidth="1"/>
    <col min="8" max="8" width="13.90625" bestFit="1" customWidth="1"/>
    <col min="9" max="9" width="10.81640625" style="3" customWidth="1"/>
    <col min="10" max="10" width="13.1796875" style="3" bestFit="1" customWidth="1"/>
    <col min="11" max="11" width="13.1796875" style="3" customWidth="1"/>
  </cols>
  <sheetData>
    <row r="1" spans="1:13" ht="18.5" x14ac:dyDescent="0.45">
      <c r="A1" s="1" t="s">
        <v>13</v>
      </c>
      <c r="B1" s="1"/>
      <c r="C1" s="1"/>
      <c r="D1" s="1"/>
      <c r="E1" s="1"/>
      <c r="F1" s="1"/>
    </row>
    <row r="2" spans="1:13" x14ac:dyDescent="0.35">
      <c r="L2" t="s">
        <v>12</v>
      </c>
      <c r="M2">
        <v>27.36</v>
      </c>
    </row>
    <row r="3" spans="1:13" x14ac:dyDescent="0.35">
      <c r="A3" t="s">
        <v>3</v>
      </c>
    </row>
    <row r="4" spans="1:13" s="10" customFormat="1" ht="29" x14ac:dyDescent="0.35">
      <c r="A4" s="10" t="s">
        <v>7</v>
      </c>
      <c r="B4" s="10" t="s">
        <v>15</v>
      </c>
      <c r="C4" s="10" t="s">
        <v>16</v>
      </c>
      <c r="D4" s="10" t="s">
        <v>39</v>
      </c>
      <c r="E4" s="10" t="s">
        <v>17</v>
      </c>
      <c r="F4" s="10" t="s">
        <v>18</v>
      </c>
      <c r="G4" s="10" t="s">
        <v>14</v>
      </c>
      <c r="H4" s="10" t="s">
        <v>8</v>
      </c>
      <c r="I4" s="11" t="s">
        <v>9</v>
      </c>
      <c r="J4" s="11" t="s">
        <v>85</v>
      </c>
      <c r="K4" s="71" t="s">
        <v>161</v>
      </c>
      <c r="L4" s="10" t="s">
        <v>10</v>
      </c>
    </row>
    <row r="5" spans="1:13" x14ac:dyDescent="0.35">
      <c r="A5" t="s">
        <v>19</v>
      </c>
      <c r="B5">
        <v>1675</v>
      </c>
      <c r="C5">
        <v>992</v>
      </c>
      <c r="D5" s="5">
        <f>B5*C5/1000000</f>
        <v>1.6616</v>
      </c>
      <c r="E5">
        <v>35</v>
      </c>
      <c r="F5">
        <v>18.5</v>
      </c>
      <c r="G5">
        <v>300</v>
      </c>
      <c r="I5" s="3">
        <f>87*M2</f>
        <v>2380.3200000000002</v>
      </c>
      <c r="L5" s="4" t="s">
        <v>20</v>
      </c>
    </row>
    <row r="6" spans="1:13" x14ac:dyDescent="0.35">
      <c r="A6" t="s">
        <v>169</v>
      </c>
      <c r="B6">
        <v>2132</v>
      </c>
      <c r="C6">
        <v>1048</v>
      </c>
      <c r="D6" s="5">
        <f>B6*C6/1000000</f>
        <v>2.2343359999999999</v>
      </c>
      <c r="E6">
        <v>30</v>
      </c>
      <c r="F6">
        <v>28.4</v>
      </c>
      <c r="G6">
        <v>455</v>
      </c>
      <c r="H6">
        <v>30</v>
      </c>
      <c r="J6" s="3">
        <v>20.399999999999999</v>
      </c>
      <c r="K6" s="3">
        <v>-0.35</v>
      </c>
      <c r="L6" s="4" t="s">
        <v>168</v>
      </c>
    </row>
    <row r="7" spans="1:13" x14ac:dyDescent="0.35">
      <c r="A7" t="s">
        <v>163</v>
      </c>
      <c r="B7">
        <v>1999</v>
      </c>
      <c r="C7">
        <v>1016</v>
      </c>
      <c r="D7" s="5">
        <f>B7*C7/1000000</f>
        <v>2.0309840000000001</v>
      </c>
      <c r="E7">
        <v>40</v>
      </c>
      <c r="F7">
        <v>21.6</v>
      </c>
      <c r="G7">
        <v>440</v>
      </c>
      <c r="H7">
        <v>25</v>
      </c>
      <c r="I7" s="3" t="s">
        <v>160</v>
      </c>
      <c r="J7" s="3">
        <v>21.7</v>
      </c>
      <c r="K7" s="3">
        <v>-0.28999999999999998</v>
      </c>
      <c r="L7" s="4" t="s">
        <v>164</v>
      </c>
    </row>
    <row r="8" spans="1:13" x14ac:dyDescent="0.35">
      <c r="A8" t="s">
        <v>159</v>
      </c>
      <c r="B8">
        <v>2067</v>
      </c>
      <c r="C8">
        <v>1046</v>
      </c>
      <c r="D8" s="5">
        <f>B8*C8/1000000</f>
        <v>2.1620819999999998</v>
      </c>
      <c r="E8">
        <v>46</v>
      </c>
      <c r="F8">
        <v>25.4</v>
      </c>
      <c r="G8">
        <v>470</v>
      </c>
      <c r="H8">
        <v>25</v>
      </c>
      <c r="I8" s="3" t="s">
        <v>160</v>
      </c>
      <c r="J8" s="3">
        <v>21.7</v>
      </c>
      <c r="K8" s="3">
        <v>-0.28999999999999998</v>
      </c>
      <c r="L8" s="4" t="s">
        <v>162</v>
      </c>
    </row>
    <row r="9" spans="1:13" x14ac:dyDescent="0.35">
      <c r="A9" t="s">
        <v>24</v>
      </c>
      <c r="B9">
        <v>1690</v>
      </c>
      <c r="C9">
        <v>1046</v>
      </c>
      <c r="D9" s="5">
        <f>B9*C9/1000000</f>
        <v>1.7677400000000001</v>
      </c>
      <c r="E9">
        <v>40</v>
      </c>
      <c r="F9">
        <v>19</v>
      </c>
      <c r="G9">
        <v>400</v>
      </c>
      <c r="H9">
        <v>25</v>
      </c>
      <c r="I9" s="3">
        <f>334*M2</f>
        <v>9138.24</v>
      </c>
      <c r="J9" s="3">
        <v>22.6</v>
      </c>
      <c r="K9" s="3">
        <v>-0.28999999999999998</v>
      </c>
      <c r="L9" t="s">
        <v>25</v>
      </c>
      <c r="M9" s="4" t="s">
        <v>165</v>
      </c>
    </row>
    <row r="10" spans="1:13" x14ac:dyDescent="0.35">
      <c r="A10" t="s">
        <v>21</v>
      </c>
      <c r="B10">
        <v>1956</v>
      </c>
      <c r="C10">
        <v>992</v>
      </c>
      <c r="D10" s="5">
        <f t="shared" ref="D10:D17" si="0">B10*C10/1000000</f>
        <v>1.9403520000000001</v>
      </c>
      <c r="E10">
        <v>40</v>
      </c>
      <c r="F10">
        <v>22</v>
      </c>
      <c r="G10">
        <v>360</v>
      </c>
      <c r="H10">
        <v>25</v>
      </c>
      <c r="I10" s="3">
        <f>225*M2</f>
        <v>6156</v>
      </c>
      <c r="L10" t="s">
        <v>22</v>
      </c>
      <c r="M10" t="s">
        <v>23</v>
      </c>
    </row>
    <row r="11" spans="1:13" x14ac:dyDescent="0.35">
      <c r="A11" t="s">
        <v>166</v>
      </c>
      <c r="B11">
        <v>1956</v>
      </c>
      <c r="C11">
        <v>992</v>
      </c>
      <c r="D11" s="5">
        <f t="shared" si="0"/>
        <v>1.9403520000000001</v>
      </c>
      <c r="E11">
        <v>40</v>
      </c>
      <c r="F11">
        <v>22.5</v>
      </c>
      <c r="G11">
        <v>330</v>
      </c>
      <c r="H11">
        <v>25</v>
      </c>
      <c r="I11" s="3" t="s">
        <v>160</v>
      </c>
      <c r="K11" s="3">
        <v>-0.45</v>
      </c>
      <c r="L11" t="s">
        <v>167</v>
      </c>
    </row>
    <row r="12" spans="1:13" x14ac:dyDescent="0.35">
      <c r="A12" t="s">
        <v>26</v>
      </c>
      <c r="B12">
        <v>1682</v>
      </c>
      <c r="C12">
        <v>1000</v>
      </c>
      <c r="D12" s="5">
        <f t="shared" si="0"/>
        <v>1.6819999999999999</v>
      </c>
      <c r="E12">
        <v>40</v>
      </c>
      <c r="F12">
        <v>23</v>
      </c>
      <c r="G12">
        <v>300</v>
      </c>
      <c r="H12">
        <v>35</v>
      </c>
      <c r="I12" s="3">
        <f>198*M2</f>
        <v>5417.28</v>
      </c>
      <c r="L12" t="s">
        <v>28</v>
      </c>
      <c r="M12" t="s">
        <v>27</v>
      </c>
    </row>
    <row r="13" spans="1:13" x14ac:dyDescent="0.35">
      <c r="A13" t="s">
        <v>29</v>
      </c>
      <c r="B13">
        <v>1698</v>
      </c>
      <c r="C13">
        <v>1004</v>
      </c>
      <c r="D13" s="5">
        <f t="shared" si="0"/>
        <v>1.7047920000000001</v>
      </c>
      <c r="E13">
        <v>35</v>
      </c>
      <c r="F13">
        <v>18.7</v>
      </c>
      <c r="G13">
        <v>340</v>
      </c>
      <c r="H13">
        <v>25</v>
      </c>
      <c r="I13" s="3">
        <f>130*M2</f>
        <v>3556.7999999999997</v>
      </c>
      <c r="L13" t="s">
        <v>30</v>
      </c>
      <c r="M13" t="s">
        <v>31</v>
      </c>
    </row>
    <row r="14" spans="1:13" x14ac:dyDescent="0.35">
      <c r="A14" t="s">
        <v>34</v>
      </c>
      <c r="B14">
        <v>1590</v>
      </c>
      <c r="C14">
        <v>1053</v>
      </c>
      <c r="D14" s="5">
        <f t="shared" si="0"/>
        <v>1.6742699999999999</v>
      </c>
      <c r="E14">
        <v>40</v>
      </c>
      <c r="F14">
        <v>19</v>
      </c>
      <c r="G14">
        <v>325</v>
      </c>
      <c r="H14">
        <v>25</v>
      </c>
      <c r="I14" s="3">
        <f>221*M2</f>
        <v>6046.5599999999995</v>
      </c>
      <c r="L14" t="s">
        <v>32</v>
      </c>
      <c r="M14" t="s">
        <v>33</v>
      </c>
    </row>
    <row r="15" spans="1:13" x14ac:dyDescent="0.35">
      <c r="A15" t="s">
        <v>180</v>
      </c>
      <c r="B15">
        <v>1650</v>
      </c>
      <c r="C15">
        <v>997</v>
      </c>
      <c r="D15" s="5">
        <f>B15*C15/1000000</f>
        <v>1.6450499999999999</v>
      </c>
      <c r="E15">
        <v>40</v>
      </c>
      <c r="F15">
        <v>19.399999999999999</v>
      </c>
      <c r="G15">
        <v>300</v>
      </c>
      <c r="H15">
        <v>25</v>
      </c>
      <c r="J15" s="3">
        <v>18.239999999999998</v>
      </c>
      <c r="K15" s="3">
        <v>-0.47</v>
      </c>
      <c r="L15" s="4" t="s">
        <v>181</v>
      </c>
    </row>
    <row r="16" spans="1:13" x14ac:dyDescent="0.35">
      <c r="A16" t="s">
        <v>35</v>
      </c>
      <c r="B16">
        <v>1640</v>
      </c>
      <c r="C16">
        <v>992</v>
      </c>
      <c r="D16" s="5">
        <f t="shared" si="0"/>
        <v>1.6268800000000001</v>
      </c>
      <c r="E16">
        <v>35</v>
      </c>
      <c r="F16">
        <v>18.5</v>
      </c>
      <c r="G16">
        <v>310</v>
      </c>
      <c r="H16">
        <v>25</v>
      </c>
      <c r="I16" s="3">
        <f>170*M2</f>
        <v>4651.2</v>
      </c>
      <c r="L16" t="s">
        <v>37</v>
      </c>
      <c r="M16" t="s">
        <v>36</v>
      </c>
    </row>
    <row r="17" spans="1:12" x14ac:dyDescent="0.35">
      <c r="A17" t="s">
        <v>115</v>
      </c>
      <c r="B17">
        <v>1670</v>
      </c>
      <c r="C17">
        <v>1000</v>
      </c>
      <c r="D17" s="5">
        <f t="shared" si="0"/>
        <v>1.67</v>
      </c>
      <c r="E17">
        <v>32</v>
      </c>
      <c r="F17">
        <v>18.8</v>
      </c>
      <c r="G17">
        <v>310</v>
      </c>
      <c r="H17" t="s">
        <v>160</v>
      </c>
      <c r="I17" s="3" t="s">
        <v>160</v>
      </c>
      <c r="L17" t="s">
        <v>116</v>
      </c>
    </row>
    <row r="19" spans="1:12" s="50" customFormat="1" x14ac:dyDescent="0.35">
      <c r="A19" s="50" t="s">
        <v>38</v>
      </c>
      <c r="B19" s="51"/>
      <c r="C19" s="51"/>
      <c r="D19" s="52">
        <f t="shared" ref="D19:I19" si="1">AVERAGE(D5:D17)</f>
        <v>1.8261875384615389</v>
      </c>
      <c r="E19" s="52">
        <f t="shared" si="1"/>
        <v>37.92307692307692</v>
      </c>
      <c r="F19" s="52">
        <f t="shared" si="1"/>
        <v>21.138461538461538</v>
      </c>
      <c r="G19" s="52">
        <f t="shared" si="1"/>
        <v>356.92307692307691</v>
      </c>
      <c r="H19" s="52">
        <f t="shared" si="1"/>
        <v>26.363636363636363</v>
      </c>
      <c r="I19" s="52">
        <f t="shared" si="1"/>
        <v>5335.1999999999989</v>
      </c>
    </row>
    <row r="20" spans="1:12" s="6" customFormat="1" x14ac:dyDescent="0.35">
      <c r="A20" s="6" t="s">
        <v>40</v>
      </c>
      <c r="D20" s="8"/>
      <c r="F20" s="8">
        <f>F19/D19</f>
        <v>11.575186607761825</v>
      </c>
      <c r="G20" s="8">
        <f>G19/D19</f>
        <v>195.44711011650242</v>
      </c>
      <c r="H20" s="7">
        <f>AVERAGE(H8:H18)</f>
        <v>26.111111111111111</v>
      </c>
      <c r="I20" s="7">
        <f>I19/D19</f>
        <v>2921.4962251328288</v>
      </c>
      <c r="J20" s="72">
        <f>AVERAGE(J5:J17)</f>
        <v>20.928000000000001</v>
      </c>
      <c r="K20" s="72">
        <f>AVERAGE(K5:K17)</f>
        <v>-0.35666666666666663</v>
      </c>
    </row>
    <row r="21" spans="1:12" s="6" customFormat="1" x14ac:dyDescent="0.35">
      <c r="A21" s="6" t="s">
        <v>41</v>
      </c>
      <c r="B21" s="9">
        <f>I20/G20</f>
        <v>14.947758620689653</v>
      </c>
      <c r="I21" s="7"/>
      <c r="J21" s="7"/>
      <c r="K21" s="7"/>
    </row>
    <row r="22" spans="1:12" x14ac:dyDescent="0.35">
      <c r="A22" s="6" t="s">
        <v>111</v>
      </c>
      <c r="B22" s="21">
        <f>J20/100</f>
        <v>0.20928000000000002</v>
      </c>
    </row>
  </sheetData>
  <hyperlinks>
    <hyperlink ref="L5" r:id="rId1" xr:uid="{8EF9EBFB-5425-462A-BD6E-BD291971FB73}"/>
    <hyperlink ref="L7" r:id="rId2" xr:uid="{FB735889-CA9E-4A8B-A57D-D845A19F665E}"/>
    <hyperlink ref="L8" r:id="rId3" xr:uid="{60B2DACF-CA05-496B-BA19-06E5C8FD5065}"/>
    <hyperlink ref="L6" r:id="rId4" xr:uid="{582246B2-8ABF-436A-AA81-7AB206B26096}"/>
    <hyperlink ref="M9" r:id="rId5" xr:uid="{5D8E686C-D677-403F-B7CB-77545197AB65}"/>
  </hyperlinks>
  <pageMargins left="0.7" right="0.7" top="0.78740157499999996" bottom="0.78740157499999996" header="0.3" footer="0.3"/>
  <pageSetup paperSize="9" orientation="portrait" r:id="rId6"/>
  <legacyDrawing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449A9-5ECE-4438-B288-E86575C51C38}">
  <sheetPr>
    <tabColor theme="4" tint="0.79998168889431442"/>
  </sheetPr>
  <dimension ref="A1:M21"/>
  <sheetViews>
    <sheetView workbookViewId="0">
      <selection activeCell="I19" sqref="I19"/>
    </sheetView>
  </sheetViews>
  <sheetFormatPr defaultRowHeight="14.5" x14ac:dyDescent="0.35"/>
  <cols>
    <col min="1" max="1" width="46.1796875" customWidth="1"/>
    <col min="2" max="2" width="10.453125" bestFit="1" customWidth="1"/>
    <col min="3" max="3" width="9.81640625" bestFit="1" customWidth="1"/>
    <col min="4" max="4" width="10.7265625" bestFit="1" customWidth="1"/>
    <col min="5" max="5" width="13" bestFit="1" customWidth="1"/>
    <col min="6" max="6" width="8.54296875" bestFit="1" customWidth="1"/>
    <col min="7" max="7" width="19.54296875" bestFit="1" customWidth="1"/>
    <col min="8" max="8" width="14.453125" bestFit="1" customWidth="1"/>
    <col min="9" max="9" width="11.1796875" style="3" bestFit="1" customWidth="1"/>
    <col min="10" max="10" width="13.08984375" style="3" bestFit="1" customWidth="1"/>
    <col min="11" max="11" width="13.81640625" style="3" customWidth="1"/>
  </cols>
  <sheetData>
    <row r="1" spans="1:13" ht="18.5" x14ac:dyDescent="0.45">
      <c r="A1" s="1" t="s">
        <v>117</v>
      </c>
    </row>
    <row r="2" spans="1:13" x14ac:dyDescent="0.35">
      <c r="L2" t="s">
        <v>12</v>
      </c>
      <c r="M2">
        <v>27.36</v>
      </c>
    </row>
    <row r="4" spans="1:13" s="12" customFormat="1" ht="29" x14ac:dyDescent="0.35">
      <c r="A4" s="12" t="s">
        <v>7</v>
      </c>
      <c r="B4" s="12" t="s">
        <v>15</v>
      </c>
      <c r="C4" s="12" t="s">
        <v>16</v>
      </c>
      <c r="D4" s="16" t="s">
        <v>39</v>
      </c>
      <c r="E4" s="12" t="s">
        <v>17</v>
      </c>
      <c r="F4" s="12" t="s">
        <v>18</v>
      </c>
      <c r="G4" s="12" t="s">
        <v>14</v>
      </c>
      <c r="H4" s="75" t="s">
        <v>171</v>
      </c>
      <c r="I4" s="13" t="s">
        <v>9</v>
      </c>
      <c r="J4" s="73" t="s">
        <v>85</v>
      </c>
      <c r="K4" s="74" t="s">
        <v>161</v>
      </c>
      <c r="L4" s="12" t="s">
        <v>10</v>
      </c>
    </row>
    <row r="5" spans="1:13" x14ac:dyDescent="0.35">
      <c r="A5" t="s">
        <v>120</v>
      </c>
      <c r="B5">
        <v>1580</v>
      </c>
      <c r="C5">
        <v>798</v>
      </c>
      <c r="D5" s="5">
        <f>B5*C5/1000000</f>
        <v>1.26084</v>
      </c>
      <c r="E5">
        <v>35</v>
      </c>
      <c r="F5">
        <v>15</v>
      </c>
      <c r="G5">
        <v>235</v>
      </c>
      <c r="L5" s="4" t="s">
        <v>121</v>
      </c>
    </row>
    <row r="6" spans="1:13" x14ac:dyDescent="0.35">
      <c r="A6" t="s">
        <v>122</v>
      </c>
      <c r="B6">
        <v>1610</v>
      </c>
      <c r="C6">
        <v>861</v>
      </c>
      <c r="D6" s="5">
        <f>B6*C6/1000000</f>
        <v>1.3862099999999999</v>
      </c>
      <c r="E6">
        <v>35</v>
      </c>
      <c r="F6">
        <v>16.5</v>
      </c>
      <c r="G6">
        <v>250</v>
      </c>
      <c r="L6" t="s">
        <v>123</v>
      </c>
    </row>
    <row r="7" spans="1:13" x14ac:dyDescent="0.35">
      <c r="A7" t="s">
        <v>170</v>
      </c>
      <c r="B7">
        <v>1580</v>
      </c>
      <c r="C7">
        <v>798</v>
      </c>
      <c r="D7" s="5">
        <f>B7*C7/1000000</f>
        <v>1.26084</v>
      </c>
      <c r="E7">
        <v>35</v>
      </c>
      <c r="F7">
        <v>15</v>
      </c>
      <c r="G7">
        <v>240</v>
      </c>
      <c r="H7">
        <v>25</v>
      </c>
      <c r="J7" s="3">
        <v>19</v>
      </c>
      <c r="K7" s="3">
        <v>-0.3</v>
      </c>
      <c r="L7" s="4" t="s">
        <v>172</v>
      </c>
    </row>
    <row r="8" spans="1:13" x14ac:dyDescent="0.35">
      <c r="A8" t="s">
        <v>173</v>
      </c>
      <c r="B8">
        <v>1580</v>
      </c>
      <c r="C8">
        <v>798</v>
      </c>
      <c r="D8" s="5">
        <f>B8*C8/1000000</f>
        <v>1.26084</v>
      </c>
      <c r="E8">
        <v>35</v>
      </c>
      <c r="F8">
        <v>15</v>
      </c>
      <c r="G8">
        <v>230</v>
      </c>
      <c r="H8">
        <v>25</v>
      </c>
      <c r="J8" s="3">
        <v>18.2</v>
      </c>
      <c r="K8" s="3">
        <v>-0.3</v>
      </c>
    </row>
    <row r="9" spans="1:13" s="24" customFormat="1" x14ac:dyDescent="0.35">
      <c r="A9" s="24" t="s">
        <v>124</v>
      </c>
      <c r="B9" s="24">
        <v>1580</v>
      </c>
      <c r="C9" s="24">
        <v>798</v>
      </c>
      <c r="D9" s="41">
        <f>B9*C9/1000000</f>
        <v>1.26084</v>
      </c>
      <c r="E9" s="24">
        <v>35</v>
      </c>
      <c r="F9" s="24">
        <v>15</v>
      </c>
      <c r="G9" s="24">
        <v>250</v>
      </c>
      <c r="I9" s="42">
        <f>187.5*$M$2</f>
        <v>5130</v>
      </c>
      <c r="J9" s="42"/>
      <c r="K9" s="42"/>
      <c r="L9" s="24" t="s">
        <v>125</v>
      </c>
    </row>
    <row r="10" spans="1:13" s="24" customFormat="1" x14ac:dyDescent="0.35"/>
    <row r="11" spans="1:13" x14ac:dyDescent="0.35">
      <c r="D11" s="5"/>
    </row>
    <row r="13" spans="1:13" s="54" customFormat="1" x14ac:dyDescent="0.35">
      <c r="A13" s="50" t="s">
        <v>38</v>
      </c>
      <c r="B13" s="52"/>
      <c r="C13" s="52"/>
      <c r="D13" s="52">
        <f>AVERAGE(D5:D11)</f>
        <v>1.285914</v>
      </c>
      <c r="E13" s="52"/>
      <c r="F13" s="52">
        <f>AVERAGE(F5:F11)</f>
        <v>15.3</v>
      </c>
      <c r="G13" s="52">
        <f>AVERAGE(G5:G11)</f>
        <v>241</v>
      </c>
      <c r="I13" s="52">
        <f>AVERAGE(I5:I11)</f>
        <v>5130</v>
      </c>
      <c r="J13" s="52"/>
      <c r="K13" s="52"/>
      <c r="L13" s="52"/>
    </row>
    <row r="14" spans="1:13" s="6" customFormat="1" x14ac:dyDescent="0.35">
      <c r="A14" s="6" t="s">
        <v>40</v>
      </c>
      <c r="F14" s="6">
        <f>F13/D13</f>
        <v>11.89815182041723</v>
      </c>
      <c r="G14" s="8">
        <f>G13/D13</f>
        <v>187.41533259611452</v>
      </c>
      <c r="H14" s="51">
        <f>AVERAGE(H5:H11)</f>
        <v>25</v>
      </c>
      <c r="I14" s="8">
        <f>I13/D13</f>
        <v>3989.3803162575414</v>
      </c>
      <c r="J14" s="8">
        <f>AVERAGE(J5:J11)</f>
        <v>18.600000000000001</v>
      </c>
      <c r="K14" s="8">
        <f>AVERAGE(K5:K11)</f>
        <v>-0.3</v>
      </c>
      <c r="L14" s="7"/>
    </row>
    <row r="15" spans="1:13" s="6" customFormat="1" x14ac:dyDescent="0.35">
      <c r="A15" s="6" t="s">
        <v>41</v>
      </c>
      <c r="B15" s="9">
        <f>I14/G13</f>
        <v>16.553445295674447</v>
      </c>
      <c r="L15" s="7"/>
    </row>
    <row r="16" spans="1:13" x14ac:dyDescent="0.35">
      <c r="A16" s="6" t="s">
        <v>111</v>
      </c>
      <c r="B16" s="21">
        <f>J14/100</f>
        <v>0.18600000000000003</v>
      </c>
      <c r="L16" s="3"/>
    </row>
    <row r="21" spans="9:13" s="18" customFormat="1" x14ac:dyDescent="0.35">
      <c r="I21" s="17"/>
      <c r="J21" s="17"/>
      <c r="K21" s="17"/>
      <c r="M21" s="19"/>
    </row>
  </sheetData>
  <hyperlinks>
    <hyperlink ref="A5" r:id="rId1" tooltip="Panasonic (Sanyo)" display="https://www.pvxchange.com/Panasonic-Sanyo_1" xr:uid="{0F157ABA-1E55-447D-82DA-CDC1F7B3ABD1}"/>
    <hyperlink ref="L7" r:id="rId2" xr:uid="{ACDA246D-18DD-4B69-AD42-3CEA26C08A72}"/>
  </hyperlinks>
  <pageMargins left="0.7" right="0.7" top="0.78740157499999996" bottom="0.78740157499999996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027D4-BE35-488F-A737-24B4D02483A5}">
  <sheetPr>
    <tabColor theme="4" tint="0.79998168889431442"/>
  </sheetPr>
  <dimension ref="A1:M15"/>
  <sheetViews>
    <sheetView workbookViewId="0">
      <selection activeCell="I19" sqref="I19"/>
    </sheetView>
  </sheetViews>
  <sheetFormatPr defaultRowHeight="14.5" x14ac:dyDescent="0.35"/>
  <cols>
    <col min="1" max="1" width="28.1796875" bestFit="1" customWidth="1"/>
    <col min="2" max="2" width="10.54296875" bestFit="1" customWidth="1"/>
    <col min="3" max="3" width="9.90625" bestFit="1" customWidth="1"/>
    <col min="4" max="4" width="10.7265625" bestFit="1" customWidth="1"/>
    <col min="5" max="5" width="13.08984375" bestFit="1" customWidth="1"/>
    <col min="7" max="7" width="19.6328125" bestFit="1" customWidth="1"/>
    <col min="8" max="8" width="14.26953125" bestFit="1" customWidth="1"/>
    <col min="9" max="9" width="9.90625" bestFit="1" customWidth="1"/>
    <col min="10" max="10" width="13.1796875" bestFit="1" customWidth="1"/>
    <col min="11" max="11" width="12.90625" customWidth="1"/>
  </cols>
  <sheetData>
    <row r="1" spans="1:13" ht="18.5" x14ac:dyDescent="0.45">
      <c r="A1" s="1" t="s">
        <v>119</v>
      </c>
      <c r="B1" s="1"/>
      <c r="C1" s="1"/>
      <c r="D1" s="1"/>
      <c r="E1" s="1"/>
      <c r="F1" s="1"/>
      <c r="I1" s="3"/>
      <c r="J1" s="3"/>
      <c r="K1" s="3"/>
    </row>
    <row r="2" spans="1:13" x14ac:dyDescent="0.35">
      <c r="I2" s="3"/>
      <c r="J2" s="3"/>
      <c r="K2" s="3"/>
      <c r="L2" t="s">
        <v>12</v>
      </c>
      <c r="M2">
        <v>27.36</v>
      </c>
    </row>
    <row r="3" spans="1:13" x14ac:dyDescent="0.35">
      <c r="A3" t="s">
        <v>3</v>
      </c>
      <c r="I3" s="3"/>
      <c r="J3" s="3"/>
      <c r="K3" s="3"/>
    </row>
    <row r="4" spans="1:13" s="10" customFormat="1" ht="29" x14ac:dyDescent="0.35">
      <c r="A4" s="10" t="s">
        <v>7</v>
      </c>
      <c r="B4" s="10" t="s">
        <v>15</v>
      </c>
      <c r="C4" s="10" t="s">
        <v>16</v>
      </c>
      <c r="D4" s="10" t="s">
        <v>39</v>
      </c>
      <c r="E4" s="10" t="s">
        <v>17</v>
      </c>
      <c r="F4" s="10" t="s">
        <v>18</v>
      </c>
      <c r="G4" s="10" t="s">
        <v>14</v>
      </c>
      <c r="H4" s="10" t="s">
        <v>8</v>
      </c>
      <c r="I4" s="11" t="s">
        <v>9</v>
      </c>
      <c r="J4" s="11" t="s">
        <v>85</v>
      </c>
      <c r="K4" s="71" t="s">
        <v>161</v>
      </c>
      <c r="L4" s="10" t="s">
        <v>10</v>
      </c>
    </row>
    <row r="6" spans="1:13" x14ac:dyDescent="0.35">
      <c r="A6" t="s">
        <v>52</v>
      </c>
      <c r="B6">
        <v>2009</v>
      </c>
      <c r="C6">
        <v>1232</v>
      </c>
      <c r="D6" s="5">
        <f>B6*C6/1000000</f>
        <v>2.475088</v>
      </c>
      <c r="E6">
        <v>49</v>
      </c>
      <c r="F6">
        <v>34.5</v>
      </c>
      <c r="G6">
        <v>450</v>
      </c>
      <c r="H6">
        <v>25</v>
      </c>
      <c r="I6" s="43">
        <f>0.21*G6*$M$2</f>
        <v>2585.52</v>
      </c>
      <c r="J6" s="3">
        <v>18.2</v>
      </c>
      <c r="K6" s="3">
        <v>-0.32</v>
      </c>
      <c r="L6" s="4" t="s">
        <v>53</v>
      </c>
      <c r="M6" t="s">
        <v>204</v>
      </c>
    </row>
    <row r="7" spans="1:13" x14ac:dyDescent="0.35">
      <c r="A7" t="s">
        <v>177</v>
      </c>
      <c r="B7">
        <v>2009</v>
      </c>
      <c r="C7">
        <v>1232</v>
      </c>
      <c r="D7" s="5">
        <f>B7*C7/1000000</f>
        <v>2.475088</v>
      </c>
      <c r="E7">
        <v>49</v>
      </c>
      <c r="F7">
        <v>34.5</v>
      </c>
      <c r="G7">
        <v>420</v>
      </c>
      <c r="H7">
        <v>25</v>
      </c>
      <c r="I7" s="43">
        <f>0.21*G7*$M$2</f>
        <v>2413.152</v>
      </c>
      <c r="J7" s="3">
        <v>17</v>
      </c>
      <c r="K7" s="3">
        <v>-0.32</v>
      </c>
      <c r="L7" s="4" t="s">
        <v>176</v>
      </c>
      <c r="M7" t="s">
        <v>204</v>
      </c>
    </row>
    <row r="8" spans="1:13" x14ac:dyDescent="0.35">
      <c r="A8" t="s">
        <v>47</v>
      </c>
      <c r="B8">
        <v>1200</v>
      </c>
      <c r="C8">
        <v>600</v>
      </c>
      <c r="D8" s="5">
        <f>B8*C8/1000000</f>
        <v>0.72</v>
      </c>
      <c r="E8">
        <v>69</v>
      </c>
      <c r="F8">
        <v>12</v>
      </c>
      <c r="G8">
        <v>80</v>
      </c>
      <c r="I8" s="43">
        <f>120*M2</f>
        <v>3283.2</v>
      </c>
      <c r="J8" s="43"/>
      <c r="K8" s="43"/>
      <c r="L8" s="4" t="s">
        <v>11</v>
      </c>
    </row>
    <row r="9" spans="1:13" x14ac:dyDescent="0.35">
      <c r="A9" t="s">
        <v>127</v>
      </c>
      <c r="B9">
        <v>1200</v>
      </c>
      <c r="C9">
        <v>600</v>
      </c>
      <c r="D9" s="5">
        <f>B9*C9/1000000</f>
        <v>0.72</v>
      </c>
      <c r="E9">
        <v>70</v>
      </c>
      <c r="F9">
        <v>12</v>
      </c>
      <c r="G9">
        <v>77.5</v>
      </c>
      <c r="I9" s="44">
        <f>104.13*M2</f>
        <v>2848.9967999999999</v>
      </c>
      <c r="J9" s="44"/>
      <c r="K9" s="44"/>
      <c r="L9" t="s">
        <v>126</v>
      </c>
    </row>
    <row r="12" spans="1:13" s="54" customFormat="1" x14ac:dyDescent="0.35">
      <c r="A12" s="50" t="s">
        <v>38</v>
      </c>
      <c r="B12" s="52"/>
      <c r="C12" s="52"/>
      <c r="D12" s="52">
        <f>AVERAGE(D6:D10)</f>
        <v>1.5975439999999999</v>
      </c>
      <c r="E12" s="52"/>
      <c r="F12" s="52">
        <f>AVERAGE(F6:F10)</f>
        <v>23.25</v>
      </c>
      <c r="G12" s="52">
        <f>AVERAGE(G6:G10)</f>
        <v>256.875</v>
      </c>
      <c r="H12" s="52">
        <f>AVERAGE(H6:H10)</f>
        <v>25</v>
      </c>
      <c r="I12" s="52">
        <f>AVERAGE(I6:I10)</f>
        <v>2782.7172</v>
      </c>
      <c r="J12" s="52"/>
      <c r="K12" s="52"/>
    </row>
    <row r="13" spans="1:13" s="6" customFormat="1" x14ac:dyDescent="0.35">
      <c r="A13" s="6" t="s">
        <v>40</v>
      </c>
      <c r="F13" s="6">
        <f>F12/D12</f>
        <v>14.553589760282033</v>
      </c>
      <c r="G13" s="8">
        <f>G12/D12</f>
        <v>160.79369331924505</v>
      </c>
      <c r="H13" s="8"/>
      <c r="I13" s="8">
        <f>I12/D12</f>
        <v>1741.8720235561589</v>
      </c>
      <c r="J13" s="8">
        <f>AVERAGE(J5:J10)</f>
        <v>17.600000000000001</v>
      </c>
      <c r="K13" s="8">
        <f>AVERAGE(K5:K10)</f>
        <v>-0.32</v>
      </c>
    </row>
    <row r="14" spans="1:13" s="6" customFormat="1" x14ac:dyDescent="0.35">
      <c r="A14" s="6" t="s">
        <v>41</v>
      </c>
      <c r="B14" s="9">
        <f>I13/G12</f>
        <v>6.7810103106809105</v>
      </c>
    </row>
    <row r="15" spans="1:13" x14ac:dyDescent="0.35">
      <c r="A15" s="6" t="s">
        <v>111</v>
      </c>
      <c r="B15" s="21">
        <f>J13/100</f>
        <v>0.17600000000000002</v>
      </c>
      <c r="I15" s="3"/>
      <c r="J15" s="3"/>
      <c r="K15" s="3"/>
    </row>
  </sheetData>
  <hyperlinks>
    <hyperlink ref="L8" r:id="rId1" xr:uid="{CEF066DF-5822-42F3-8C1E-4A6A9FDECB0C}"/>
    <hyperlink ref="L6" r:id="rId2" xr:uid="{E0BE9A51-0ED2-4966-9874-83980D617C04}"/>
  </hyperlinks>
  <pageMargins left="0.7" right="0.7" top="0.78740157499999996" bottom="0.78740157499999996" header="0.3" footer="0.3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75117-8C84-4EBB-B9BE-1409D684DDDF}">
  <sheetPr>
    <tabColor theme="9" tint="0.79998168889431442"/>
  </sheetPr>
  <dimension ref="A1:M14"/>
  <sheetViews>
    <sheetView workbookViewId="0">
      <selection activeCell="B14" sqref="B14"/>
    </sheetView>
  </sheetViews>
  <sheetFormatPr defaultRowHeight="14.5" x14ac:dyDescent="0.35"/>
  <cols>
    <col min="1" max="1" width="21.453125" bestFit="1" customWidth="1"/>
    <col min="2" max="2" width="10.54296875" bestFit="1" customWidth="1"/>
    <col min="3" max="3" width="9.90625" bestFit="1" customWidth="1"/>
    <col min="4" max="4" width="10.7265625" bestFit="1" customWidth="1"/>
    <col min="5" max="5" width="13.08984375" bestFit="1" customWidth="1"/>
    <col min="6" max="6" width="10.81640625" bestFit="1" customWidth="1"/>
    <col min="7" max="7" width="19.6328125" bestFit="1" customWidth="1"/>
    <col min="8" max="8" width="14.26953125" bestFit="1" customWidth="1"/>
    <col min="9" max="9" width="9.90625" bestFit="1" customWidth="1"/>
    <col min="10" max="10" width="15.81640625" bestFit="1" customWidth="1"/>
    <col min="11" max="11" width="12.90625" customWidth="1"/>
  </cols>
  <sheetData>
    <row r="1" spans="1:13" ht="18.5" x14ac:dyDescent="0.45">
      <c r="A1" s="1" t="s">
        <v>112</v>
      </c>
      <c r="B1" s="1"/>
      <c r="C1" s="1"/>
      <c r="D1" s="1"/>
      <c r="E1" s="1"/>
      <c r="F1" s="1"/>
      <c r="I1" s="3"/>
      <c r="J1" s="3"/>
      <c r="K1" s="3"/>
    </row>
    <row r="2" spans="1:13" x14ac:dyDescent="0.35">
      <c r="I2" s="3"/>
      <c r="J2" s="3"/>
      <c r="K2" s="3"/>
      <c r="L2" t="s">
        <v>12</v>
      </c>
      <c r="M2">
        <v>27.36</v>
      </c>
    </row>
    <row r="3" spans="1:13" x14ac:dyDescent="0.35">
      <c r="A3" t="s">
        <v>3</v>
      </c>
      <c r="I3" s="3"/>
      <c r="J3" s="3"/>
      <c r="K3" s="3"/>
    </row>
    <row r="4" spans="1:13" s="10" customFormat="1" ht="29" x14ac:dyDescent="0.35">
      <c r="A4" s="10" t="s">
        <v>7</v>
      </c>
      <c r="B4" s="10" t="s">
        <v>15</v>
      </c>
      <c r="C4" s="10" t="s">
        <v>16</v>
      </c>
      <c r="D4" s="10" t="s">
        <v>39</v>
      </c>
      <c r="E4" s="10" t="s">
        <v>17</v>
      </c>
      <c r="F4" s="10" t="s">
        <v>18</v>
      </c>
      <c r="G4" s="10" t="s">
        <v>14</v>
      </c>
      <c r="H4" s="10" t="s">
        <v>8</v>
      </c>
      <c r="I4" s="11" t="s">
        <v>9</v>
      </c>
      <c r="J4" s="11" t="s">
        <v>85</v>
      </c>
      <c r="K4" s="71" t="s">
        <v>161</v>
      </c>
      <c r="L4" s="10" t="s">
        <v>10</v>
      </c>
    </row>
    <row r="5" spans="1:13" x14ac:dyDescent="0.35">
      <c r="A5" t="s">
        <v>113</v>
      </c>
      <c r="B5">
        <v>1200</v>
      </c>
      <c r="C5">
        <v>600</v>
      </c>
      <c r="D5">
        <f>B5*C5/1000000</f>
        <v>0.72</v>
      </c>
      <c r="E5">
        <v>7</v>
      </c>
      <c r="F5">
        <v>12</v>
      </c>
      <c r="G5">
        <v>77</v>
      </c>
      <c r="I5" s="3">
        <f>175*M2</f>
        <v>4788</v>
      </c>
      <c r="J5" s="3"/>
      <c r="K5" s="3"/>
      <c r="L5" s="4" t="s">
        <v>114</v>
      </c>
    </row>
    <row r="6" spans="1:13" x14ac:dyDescent="0.35">
      <c r="A6" t="s">
        <v>174</v>
      </c>
      <c r="B6">
        <v>1200</v>
      </c>
      <c r="C6">
        <v>600</v>
      </c>
      <c r="D6">
        <f>B6*C6/1000000</f>
        <v>0.72</v>
      </c>
      <c r="E6">
        <v>6.8</v>
      </c>
      <c r="F6">
        <v>12</v>
      </c>
      <c r="G6">
        <v>90</v>
      </c>
      <c r="H6">
        <v>25</v>
      </c>
      <c r="I6" s="3"/>
      <c r="J6" s="3"/>
      <c r="K6" s="3">
        <v>-0.25</v>
      </c>
      <c r="L6" s="4" t="s">
        <v>175</v>
      </c>
    </row>
    <row r="7" spans="1:13" x14ac:dyDescent="0.35">
      <c r="A7" t="s">
        <v>178</v>
      </c>
      <c r="B7">
        <v>1200</v>
      </c>
      <c r="C7">
        <v>600</v>
      </c>
      <c r="D7" s="5">
        <f>B7*C7/1000000</f>
        <v>0.72</v>
      </c>
      <c r="E7">
        <v>6.8</v>
      </c>
      <c r="F7">
        <v>12</v>
      </c>
      <c r="G7">
        <v>90</v>
      </c>
      <c r="H7">
        <v>25</v>
      </c>
      <c r="I7" s="43"/>
      <c r="J7" s="43"/>
      <c r="K7" s="43">
        <v>-0.2</v>
      </c>
      <c r="L7" s="4" t="s">
        <v>179</v>
      </c>
    </row>
    <row r="8" spans="1:13" x14ac:dyDescent="0.35">
      <c r="A8" t="s">
        <v>132</v>
      </c>
      <c r="B8">
        <v>1200</v>
      </c>
      <c r="C8">
        <v>600</v>
      </c>
      <c r="D8" s="5">
        <f>B8*C8/1000000</f>
        <v>0.72</v>
      </c>
      <c r="E8">
        <v>6.8</v>
      </c>
      <c r="F8">
        <v>12</v>
      </c>
      <c r="G8">
        <v>80</v>
      </c>
      <c r="H8">
        <v>20</v>
      </c>
      <c r="I8" s="44">
        <f>0.254*G8*M2</f>
        <v>555.95519999999999</v>
      </c>
      <c r="J8" s="44"/>
      <c r="K8" s="44"/>
      <c r="L8" s="4" t="s">
        <v>133</v>
      </c>
    </row>
    <row r="11" spans="1:13" s="54" customFormat="1" x14ac:dyDescent="0.35">
      <c r="A11" s="50" t="s">
        <v>38</v>
      </c>
      <c r="B11" s="52"/>
      <c r="C11" s="52"/>
      <c r="D11" s="52">
        <f>AVERAGE(D4:D9)</f>
        <v>0.72</v>
      </c>
      <c r="E11" s="52"/>
      <c r="F11" s="52">
        <f>AVERAGE(F4:F9)</f>
        <v>12</v>
      </c>
      <c r="G11" s="52">
        <f>AVERAGE(G4:G9)</f>
        <v>84.25</v>
      </c>
      <c r="H11" s="52">
        <f>AVERAGE(H4:H9)</f>
        <v>23.333333333333332</v>
      </c>
      <c r="I11" s="52">
        <f>AVERAGE(I4:I9)</f>
        <v>2671.9776000000002</v>
      </c>
      <c r="J11" s="52"/>
      <c r="K11" s="52"/>
    </row>
    <row r="12" spans="1:13" s="6" customFormat="1" x14ac:dyDescent="0.35">
      <c r="A12" s="6" t="s">
        <v>40</v>
      </c>
      <c r="F12" s="6">
        <f>F11/D11</f>
        <v>16.666666666666668</v>
      </c>
      <c r="G12" s="8">
        <f>G11/D11</f>
        <v>117.0138888888889</v>
      </c>
      <c r="H12" s="8"/>
      <c r="I12" s="8">
        <f>I11/D11</f>
        <v>3711.0800000000004</v>
      </c>
      <c r="J12" s="8"/>
      <c r="K12" s="8">
        <f>AVERAGE(K5:K9)</f>
        <v>-0.22500000000000001</v>
      </c>
    </row>
    <row r="13" spans="1:13" s="6" customFormat="1" x14ac:dyDescent="0.35">
      <c r="A13" s="6" t="s">
        <v>41</v>
      </c>
      <c r="B13" s="9">
        <f>I12/G11</f>
        <v>44.04842729970327</v>
      </c>
    </row>
    <row r="14" spans="1:13" x14ac:dyDescent="0.35">
      <c r="A14" s="6" t="s">
        <v>111</v>
      </c>
      <c r="B14" s="21">
        <f>G12/1000</f>
        <v>0.1170138888888889</v>
      </c>
      <c r="I14" s="3"/>
      <c r="J14" s="3"/>
      <c r="K14" s="3"/>
    </row>
  </sheetData>
  <hyperlinks>
    <hyperlink ref="L5" r:id="rId1" xr:uid="{7A8A9554-ABDC-436A-AB09-9B62636DBF58}"/>
    <hyperlink ref="L8" r:id="rId2" xr:uid="{B6964199-C88B-4099-96B0-5CDEE24407EB}"/>
  </hyperlinks>
  <pageMargins left="0.7" right="0.7" top="0.78740157499999996" bottom="0.78740157499999996" header="0.3" footer="0.3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55146-0AB0-480E-9ADC-AAEAC7D3A8D5}">
  <sheetPr>
    <tabColor theme="9" tint="0.79998168889431442"/>
  </sheetPr>
  <dimension ref="A1:M20"/>
  <sheetViews>
    <sheetView workbookViewId="0">
      <selection activeCell="B15" sqref="B15"/>
    </sheetView>
  </sheetViews>
  <sheetFormatPr defaultColWidth="15.6328125" defaultRowHeight="14.5" x14ac:dyDescent="0.35"/>
  <cols>
    <col min="1" max="1" width="37.08984375" bestFit="1" customWidth="1"/>
    <col min="2" max="2" width="10.453125" bestFit="1" customWidth="1"/>
    <col min="3" max="3" width="9.81640625" bestFit="1" customWidth="1"/>
    <col min="4" max="4" width="10.6328125" bestFit="1" customWidth="1"/>
    <col min="5" max="5" width="13" bestFit="1" customWidth="1"/>
    <col min="6" max="6" width="11.08984375" customWidth="1"/>
    <col min="7" max="7" width="19.54296875" bestFit="1" customWidth="1"/>
    <col min="8" max="8" width="13.90625" bestFit="1" customWidth="1"/>
    <col min="9" max="9" width="10.81640625" style="3" customWidth="1"/>
    <col min="10" max="10" width="13.1796875" style="3" bestFit="1" customWidth="1"/>
    <col min="11" max="11" width="12.81640625" style="3" customWidth="1"/>
    <col min="12" max="12" width="9" customWidth="1"/>
    <col min="13" max="13" width="8.7265625" customWidth="1"/>
  </cols>
  <sheetData>
    <row r="1" spans="1:13" ht="18.5" x14ac:dyDescent="0.45">
      <c r="A1" s="1" t="s">
        <v>154</v>
      </c>
      <c r="B1" s="1"/>
      <c r="C1" s="1"/>
      <c r="D1" s="1"/>
      <c r="E1" s="1"/>
      <c r="F1" s="1"/>
    </row>
    <row r="2" spans="1:13" x14ac:dyDescent="0.35">
      <c r="L2" t="s">
        <v>12</v>
      </c>
      <c r="M2">
        <v>27.36</v>
      </c>
    </row>
    <row r="3" spans="1:13" x14ac:dyDescent="0.35">
      <c r="A3" t="s">
        <v>3</v>
      </c>
    </row>
    <row r="4" spans="1:13" s="10" customFormat="1" ht="43.5" x14ac:dyDescent="0.35">
      <c r="A4" s="10" t="s">
        <v>7</v>
      </c>
      <c r="B4" s="10" t="s">
        <v>15</v>
      </c>
      <c r="C4" s="10" t="s">
        <v>16</v>
      </c>
      <c r="D4" s="10" t="s">
        <v>39</v>
      </c>
      <c r="E4" s="10" t="s">
        <v>17</v>
      </c>
      <c r="F4" s="10" t="s">
        <v>18</v>
      </c>
      <c r="G4" s="10" t="s">
        <v>14</v>
      </c>
      <c r="H4" s="10" t="s">
        <v>8</v>
      </c>
      <c r="I4" s="11" t="s">
        <v>9</v>
      </c>
      <c r="J4" s="11" t="s">
        <v>85</v>
      </c>
      <c r="K4" s="71" t="s">
        <v>161</v>
      </c>
      <c r="L4" s="10" t="s">
        <v>10</v>
      </c>
    </row>
    <row r="5" spans="1:13" x14ac:dyDescent="0.35">
      <c r="A5" t="s">
        <v>183</v>
      </c>
      <c r="B5">
        <v>1504</v>
      </c>
      <c r="C5">
        <v>673</v>
      </c>
      <c r="D5">
        <f>B5*C5/1000000</f>
        <v>1.012192</v>
      </c>
      <c r="E5">
        <v>2</v>
      </c>
      <c r="F5">
        <v>2.8</v>
      </c>
      <c r="G5">
        <v>160</v>
      </c>
      <c r="H5">
        <v>5</v>
      </c>
      <c r="I5" s="3">
        <v>8393</v>
      </c>
      <c r="J5" s="3">
        <v>21</v>
      </c>
      <c r="K5" s="3">
        <v>-0.42</v>
      </c>
      <c r="L5" s="4" t="s">
        <v>62</v>
      </c>
    </row>
    <row r="6" spans="1:13" x14ac:dyDescent="0.35">
      <c r="A6" t="s">
        <v>184</v>
      </c>
      <c r="B6">
        <v>1504</v>
      </c>
      <c r="C6">
        <v>673</v>
      </c>
      <c r="D6">
        <f>B6*C6/1000000</f>
        <v>1.012192</v>
      </c>
      <c r="E6">
        <v>2</v>
      </c>
      <c r="F6">
        <v>2.8</v>
      </c>
      <c r="G6">
        <v>175</v>
      </c>
      <c r="H6">
        <v>25</v>
      </c>
      <c r="I6" s="3">
        <v>6930</v>
      </c>
      <c r="J6" s="3">
        <v>21</v>
      </c>
      <c r="K6" s="3">
        <v>-0.42</v>
      </c>
      <c r="L6" s="4" t="s">
        <v>185</v>
      </c>
      <c r="M6" t="s">
        <v>186</v>
      </c>
    </row>
    <row r="7" spans="1:13" x14ac:dyDescent="0.35">
      <c r="A7" t="s">
        <v>182</v>
      </c>
      <c r="B7">
        <v>1216</v>
      </c>
      <c r="C7">
        <v>533</v>
      </c>
      <c r="D7">
        <f>B7*C7/1000000</f>
        <v>0.64812800000000004</v>
      </c>
      <c r="E7">
        <v>2</v>
      </c>
      <c r="F7">
        <v>1.8</v>
      </c>
      <c r="G7">
        <v>100</v>
      </c>
      <c r="H7">
        <v>5</v>
      </c>
      <c r="I7" s="3">
        <v>5536</v>
      </c>
      <c r="J7" s="3">
        <v>15.43</v>
      </c>
      <c r="K7" s="3">
        <v>-0.42</v>
      </c>
      <c r="L7" s="4" t="s">
        <v>157</v>
      </c>
    </row>
    <row r="8" spans="1:13" x14ac:dyDescent="0.35">
      <c r="A8" t="s">
        <v>187</v>
      </c>
      <c r="B8">
        <v>673</v>
      </c>
      <c r="C8">
        <v>508</v>
      </c>
      <c r="D8">
        <f>B8*C8/1000000</f>
        <v>0.34188400000000002</v>
      </c>
      <c r="E8">
        <v>4</v>
      </c>
      <c r="F8">
        <v>1.3</v>
      </c>
      <c r="G8">
        <v>50</v>
      </c>
      <c r="H8">
        <v>25</v>
      </c>
      <c r="J8" s="3">
        <v>21</v>
      </c>
      <c r="K8" s="3">
        <v>-0.42</v>
      </c>
      <c r="L8" t="s">
        <v>188</v>
      </c>
    </row>
    <row r="9" spans="1:13" x14ac:dyDescent="0.35">
      <c r="L9" s="4"/>
    </row>
    <row r="11" spans="1:13" s="54" customFormat="1" x14ac:dyDescent="0.35">
      <c r="A11" s="50" t="s">
        <v>38</v>
      </c>
      <c r="B11" s="52"/>
      <c r="C11" s="52"/>
      <c r="D11" s="52">
        <f t="shared" ref="D11:I11" si="0">AVERAGE(D5:D9)</f>
        <v>0.75359900000000002</v>
      </c>
      <c r="E11" s="52">
        <f t="shared" si="0"/>
        <v>2.5</v>
      </c>
      <c r="F11" s="52">
        <f t="shared" si="0"/>
        <v>2.1749999999999998</v>
      </c>
      <c r="G11" s="52">
        <f t="shared" si="0"/>
        <v>121.25</v>
      </c>
      <c r="H11" s="52">
        <f t="shared" si="0"/>
        <v>15</v>
      </c>
      <c r="I11" s="52">
        <f t="shared" si="0"/>
        <v>6953</v>
      </c>
      <c r="J11" s="52"/>
      <c r="K11" s="52"/>
    </row>
    <row r="12" spans="1:13" s="6" customFormat="1" x14ac:dyDescent="0.35">
      <c r="A12" s="6" t="s">
        <v>40</v>
      </c>
      <c r="F12" s="8">
        <f>F11/D11</f>
        <v>2.8861503266325985</v>
      </c>
      <c r="G12" s="8">
        <f>G11/D11</f>
        <v>160.89458717434604</v>
      </c>
      <c r="I12" s="7">
        <f>I11/D11</f>
        <v>9226.3922855523961</v>
      </c>
      <c r="J12" s="7">
        <f>AVERAGE(J5:J10)</f>
        <v>19.607500000000002</v>
      </c>
      <c r="K12" s="7">
        <f>AVERAGE(K5:K10)</f>
        <v>-0.42</v>
      </c>
    </row>
    <row r="13" spans="1:13" s="6" customFormat="1" x14ac:dyDescent="0.35">
      <c r="A13" s="6" t="s">
        <v>41</v>
      </c>
      <c r="B13" s="9">
        <f>I12/G12</f>
        <v>57.344329896907219</v>
      </c>
      <c r="I13" s="7"/>
      <c r="J13" s="7"/>
      <c r="K13" s="7"/>
    </row>
    <row r="14" spans="1:13" x14ac:dyDescent="0.35">
      <c r="A14" s="6" t="s">
        <v>111</v>
      </c>
      <c r="B14" s="21">
        <f>J12/100</f>
        <v>0.19607500000000003</v>
      </c>
    </row>
    <row r="20" spans="9:12" s="18" customFormat="1" x14ac:dyDescent="0.35">
      <c r="I20" s="17"/>
      <c r="J20" s="17"/>
      <c r="K20" s="17"/>
      <c r="L20" s="19"/>
    </row>
  </sheetData>
  <hyperlinks>
    <hyperlink ref="L7" r:id="rId1" xr:uid="{F290DD01-BF23-42AA-ABAC-2A2B4BE5EFB6}"/>
    <hyperlink ref="L5" r:id="rId2" xr:uid="{67D93950-1595-4CD9-844C-C457A6D0FA3E}"/>
  </hyperlinks>
  <pageMargins left="0.7" right="0.7" top="0.78740157499999996" bottom="0.78740157499999996" header="0.3" footer="0.3"/>
  <pageSetup paperSize="9" orientation="portrait" r:id="rId3"/>
  <legacy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358E8-F1AE-44A4-8D29-6A5F482786DC}">
  <sheetPr>
    <tabColor theme="9" tint="0.79998168889431442"/>
  </sheetPr>
  <dimension ref="A1:M19"/>
  <sheetViews>
    <sheetView workbookViewId="0">
      <selection activeCell="E16" sqref="E16"/>
    </sheetView>
  </sheetViews>
  <sheetFormatPr defaultColWidth="15.6328125" defaultRowHeight="14.5" x14ac:dyDescent="0.35"/>
  <cols>
    <col min="1" max="1" width="37.08984375" bestFit="1" customWidth="1"/>
    <col min="2" max="2" width="10.453125" bestFit="1" customWidth="1"/>
    <col min="3" max="3" width="9.81640625" bestFit="1" customWidth="1"/>
    <col min="4" max="4" width="10.6328125" bestFit="1" customWidth="1"/>
    <col min="5" max="5" width="13" bestFit="1" customWidth="1"/>
    <col min="6" max="6" width="11.08984375" customWidth="1"/>
    <col min="7" max="7" width="19.54296875" bestFit="1" customWidth="1"/>
    <col min="8" max="8" width="13.90625" bestFit="1" customWidth="1"/>
    <col min="9" max="9" width="10.81640625" style="3" customWidth="1"/>
    <col min="10" max="10" width="13.1796875" style="3" bestFit="1" customWidth="1"/>
    <col min="11" max="11" width="13.54296875" style="3" customWidth="1"/>
    <col min="12" max="12" width="9" customWidth="1"/>
    <col min="13" max="13" width="8.7265625" customWidth="1"/>
  </cols>
  <sheetData>
    <row r="1" spans="1:13" ht="18.5" x14ac:dyDescent="0.45">
      <c r="A1" s="1" t="s">
        <v>130</v>
      </c>
      <c r="B1" s="1"/>
      <c r="C1" s="1"/>
      <c r="D1" s="1"/>
      <c r="E1" s="1"/>
      <c r="F1" s="1"/>
    </row>
    <row r="2" spans="1:13" x14ac:dyDescent="0.35">
      <c r="L2" t="s">
        <v>12</v>
      </c>
      <c r="M2">
        <v>27.36</v>
      </c>
    </row>
    <row r="3" spans="1:13" x14ac:dyDescent="0.35">
      <c r="A3" t="s">
        <v>3</v>
      </c>
    </row>
    <row r="4" spans="1:13" s="10" customFormat="1" ht="29" x14ac:dyDescent="0.35">
      <c r="A4" s="10" t="s">
        <v>7</v>
      </c>
      <c r="B4" s="10" t="s">
        <v>15</v>
      </c>
      <c r="C4" s="10" t="s">
        <v>16</v>
      </c>
      <c r="D4" s="10" t="s">
        <v>39</v>
      </c>
      <c r="E4" s="10" t="s">
        <v>17</v>
      </c>
      <c r="F4" s="10" t="s">
        <v>18</v>
      </c>
      <c r="G4" s="10" t="s">
        <v>14</v>
      </c>
      <c r="H4" s="10" t="s">
        <v>8</v>
      </c>
      <c r="I4" s="11" t="s">
        <v>9</v>
      </c>
      <c r="J4" s="11" t="s">
        <v>85</v>
      </c>
      <c r="K4" s="71" t="s">
        <v>161</v>
      </c>
      <c r="L4" s="10" t="s">
        <v>10</v>
      </c>
    </row>
    <row r="5" spans="1:13" x14ac:dyDescent="0.35">
      <c r="A5" t="s">
        <v>131</v>
      </c>
      <c r="B5">
        <v>225</v>
      </c>
      <c r="C5">
        <v>135</v>
      </c>
      <c r="D5">
        <f>B5*C5/1000000</f>
        <v>3.0374999999999999E-2</v>
      </c>
      <c r="E5">
        <v>3.2</v>
      </c>
      <c r="G5">
        <v>2</v>
      </c>
      <c r="I5" s="3">
        <f>0.3*G5*M2</f>
        <v>16.416</v>
      </c>
      <c r="L5" s="4" t="s">
        <v>146</v>
      </c>
    </row>
    <row r="6" spans="1:13" x14ac:dyDescent="0.35">
      <c r="A6" t="s">
        <v>135</v>
      </c>
      <c r="B6">
        <v>925</v>
      </c>
      <c r="C6">
        <v>325</v>
      </c>
      <c r="D6">
        <f>B6*C6/1000000</f>
        <v>0.30062499999999998</v>
      </c>
      <c r="E6">
        <v>22</v>
      </c>
      <c r="F6">
        <v>3</v>
      </c>
      <c r="G6">
        <v>12</v>
      </c>
      <c r="H6">
        <v>15</v>
      </c>
      <c r="I6" s="3">
        <f>2.54*G6*M2</f>
        <v>833.93280000000004</v>
      </c>
      <c r="L6" s="4" t="s">
        <v>136</v>
      </c>
    </row>
    <row r="7" spans="1:13" x14ac:dyDescent="0.35">
      <c r="A7" t="s">
        <v>189</v>
      </c>
      <c r="B7">
        <v>5392</v>
      </c>
      <c r="C7">
        <v>740</v>
      </c>
      <c r="D7">
        <f>B7*C7/1000000</f>
        <v>3.9900799999999998</v>
      </c>
      <c r="E7">
        <v>2.5</v>
      </c>
      <c r="F7">
        <v>11.5</v>
      </c>
      <c r="G7">
        <v>288</v>
      </c>
      <c r="H7">
        <v>20</v>
      </c>
      <c r="K7" s="3">
        <v>-0.21</v>
      </c>
      <c r="L7" t="s">
        <v>190</v>
      </c>
    </row>
    <row r="8" spans="1:13" x14ac:dyDescent="0.35">
      <c r="A8" t="s">
        <v>191</v>
      </c>
      <c r="B8">
        <v>3223</v>
      </c>
      <c r="C8">
        <v>740</v>
      </c>
      <c r="D8">
        <f>B8*C8/1000000</f>
        <v>2.3850199999999999</v>
      </c>
      <c r="E8">
        <v>2.5</v>
      </c>
      <c r="F8">
        <v>6.78</v>
      </c>
      <c r="G8">
        <v>170</v>
      </c>
      <c r="L8" s="4" t="s">
        <v>192</v>
      </c>
    </row>
    <row r="10" spans="1:13" s="54" customFormat="1" x14ac:dyDescent="0.35">
      <c r="A10" s="50" t="s">
        <v>38</v>
      </c>
      <c r="B10" s="52"/>
      <c r="C10" s="52"/>
      <c r="D10" s="52">
        <f t="shared" ref="D10:I10" si="0">AVERAGE(D5:D8)</f>
        <v>1.676525</v>
      </c>
      <c r="E10" s="52">
        <f t="shared" si="0"/>
        <v>7.55</v>
      </c>
      <c r="F10" s="52">
        <f t="shared" si="0"/>
        <v>7.0933333333333337</v>
      </c>
      <c r="G10" s="52">
        <f t="shared" si="0"/>
        <v>118</v>
      </c>
      <c r="H10" s="52">
        <f t="shared" si="0"/>
        <v>17.5</v>
      </c>
      <c r="I10" s="52">
        <f t="shared" si="0"/>
        <v>425.17440000000005</v>
      </c>
      <c r="J10" s="52"/>
      <c r="K10" s="52"/>
    </row>
    <row r="11" spans="1:13" s="6" customFormat="1" x14ac:dyDescent="0.35">
      <c r="A11" s="6" t="s">
        <v>40</v>
      </c>
      <c r="F11" s="8">
        <f>F10/D10</f>
        <v>4.2309737900319613</v>
      </c>
      <c r="G11" s="8">
        <f>G10/D10</f>
        <v>70.383680529667018</v>
      </c>
      <c r="I11" s="7">
        <f>I10/D10</f>
        <v>253.60456897451576</v>
      </c>
      <c r="J11" s="7"/>
      <c r="K11" s="7">
        <f>AVERAGE(K7:K8)</f>
        <v>-0.21</v>
      </c>
    </row>
    <row r="12" spans="1:13" s="6" customFormat="1" x14ac:dyDescent="0.35">
      <c r="A12" s="6" t="s">
        <v>41</v>
      </c>
      <c r="B12" s="9">
        <f>I11/G11</f>
        <v>3.6031728813559325</v>
      </c>
      <c r="I12" s="7"/>
      <c r="J12" s="7"/>
      <c r="K12" s="7"/>
    </row>
    <row r="13" spans="1:13" x14ac:dyDescent="0.35">
      <c r="A13" s="6" t="s">
        <v>111</v>
      </c>
      <c r="B13" s="21">
        <f>G11/1000</f>
        <v>7.0383680529667023E-2</v>
      </c>
    </row>
    <row r="19" spans="1:12" s="80" customFormat="1" x14ac:dyDescent="0.35">
      <c r="A19" s="80" t="s">
        <v>134</v>
      </c>
      <c r="B19" s="80">
        <v>1300</v>
      </c>
      <c r="C19" s="80">
        <v>1100</v>
      </c>
      <c r="D19" s="80">
        <f>B19*C19/1000000</f>
        <v>1.43</v>
      </c>
      <c r="E19" s="80">
        <v>40</v>
      </c>
      <c r="F19" s="80">
        <v>26</v>
      </c>
      <c r="G19" s="80">
        <v>120</v>
      </c>
      <c r="I19" s="81">
        <f>0.847*G19*M2</f>
        <v>2780.8703999999998</v>
      </c>
      <c r="J19" s="81"/>
      <c r="K19" s="81"/>
      <c r="L19" s="82" t="s">
        <v>137</v>
      </c>
    </row>
  </sheetData>
  <hyperlinks>
    <hyperlink ref="L6" r:id="rId1" xr:uid="{A6B871CA-673F-4269-89B9-B39D1D471F48}"/>
    <hyperlink ref="L19" r:id="rId2" xr:uid="{7CF91966-1E8D-4532-80A3-C23DD3CCDC2F}"/>
  </hyperlinks>
  <pageMargins left="0.7" right="0.7" top="0.78740157499999996" bottom="0.78740157499999996" header="0.3" footer="0.3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DAEFB-6633-4805-B88C-87B3F616F14A}">
  <sheetPr>
    <tabColor theme="7" tint="0.79998168889431442"/>
  </sheetPr>
  <dimension ref="A1:N21"/>
  <sheetViews>
    <sheetView workbookViewId="0">
      <selection activeCell="B6" sqref="B6"/>
    </sheetView>
  </sheetViews>
  <sheetFormatPr defaultRowHeight="14.5" x14ac:dyDescent="0.35"/>
  <cols>
    <col min="1" max="1" width="46.1796875" customWidth="1"/>
    <col min="2" max="2" width="10.453125" bestFit="1" customWidth="1"/>
    <col min="3" max="3" width="9.81640625" bestFit="1" customWidth="1"/>
    <col min="4" max="4" width="10.7265625" bestFit="1" customWidth="1"/>
    <col min="5" max="5" width="13" bestFit="1" customWidth="1"/>
    <col min="6" max="6" width="8.54296875" bestFit="1" customWidth="1"/>
    <col min="7" max="7" width="19.54296875" bestFit="1" customWidth="1"/>
    <col min="8" max="8" width="13.90625" bestFit="1" customWidth="1"/>
    <col min="9" max="9" width="11.90625" style="3" customWidth="1"/>
    <col min="10" max="10" width="13.1796875" style="3" bestFit="1" customWidth="1"/>
    <col min="11" max="11" width="13" style="3" customWidth="1"/>
  </cols>
  <sheetData>
    <row r="1" spans="1:14" ht="18.5" x14ac:dyDescent="0.45">
      <c r="A1" s="1" t="s">
        <v>118</v>
      </c>
    </row>
    <row r="2" spans="1:14" x14ac:dyDescent="0.35">
      <c r="L2" t="s">
        <v>12</v>
      </c>
      <c r="M2">
        <v>27.36</v>
      </c>
    </row>
    <row r="4" spans="1:14" s="12" customFormat="1" ht="29" x14ac:dyDescent="0.35">
      <c r="A4" s="12" t="s">
        <v>7</v>
      </c>
      <c r="B4" s="12" t="s">
        <v>15</v>
      </c>
      <c r="C4" s="12" t="s">
        <v>16</v>
      </c>
      <c r="D4" s="16" t="s">
        <v>39</v>
      </c>
      <c r="E4" s="12" t="s">
        <v>17</v>
      </c>
      <c r="F4" s="12" t="s">
        <v>18</v>
      </c>
      <c r="G4" s="12" t="s">
        <v>14</v>
      </c>
      <c r="H4" s="12" t="s">
        <v>8</v>
      </c>
      <c r="I4" s="13" t="s">
        <v>9</v>
      </c>
      <c r="J4" s="73" t="s">
        <v>85</v>
      </c>
      <c r="K4" s="74" t="s">
        <v>161</v>
      </c>
      <c r="L4" s="12" t="s">
        <v>10</v>
      </c>
    </row>
    <row r="5" spans="1:14" x14ac:dyDescent="0.35">
      <c r="A5" t="s">
        <v>43</v>
      </c>
      <c r="B5">
        <v>2580</v>
      </c>
      <c r="C5">
        <v>973</v>
      </c>
      <c r="D5" s="5">
        <f>B5*C5/1000000</f>
        <v>2.5103399999999998</v>
      </c>
      <c r="E5">
        <v>2.5</v>
      </c>
      <c r="F5">
        <v>6</v>
      </c>
      <c r="G5">
        <v>370</v>
      </c>
      <c r="H5">
        <v>25</v>
      </c>
      <c r="I5" s="3">
        <f>1.48*G5*M2</f>
        <v>14982.336000000001</v>
      </c>
      <c r="J5" s="3">
        <v>16.3</v>
      </c>
      <c r="K5" s="3">
        <v>-0.4</v>
      </c>
      <c r="L5" s="4" t="s">
        <v>42</v>
      </c>
    </row>
    <row r="6" spans="1:14" x14ac:dyDescent="0.35">
      <c r="A6" t="s">
        <v>44</v>
      </c>
      <c r="B6">
        <v>5160</v>
      </c>
      <c r="C6">
        <v>889</v>
      </c>
      <c r="D6" s="5">
        <f>B6*C6/1000000</f>
        <v>4.5872400000000004</v>
      </c>
      <c r="E6">
        <v>1</v>
      </c>
      <c r="F6">
        <v>12</v>
      </c>
      <c r="G6">
        <v>300</v>
      </c>
      <c r="H6">
        <v>25</v>
      </c>
      <c r="I6" s="3">
        <f>0.152*G6*$M$2</f>
        <v>1247.616</v>
      </c>
      <c r="J6" s="3">
        <v>17</v>
      </c>
      <c r="K6" s="3">
        <v>-0.45</v>
      </c>
      <c r="L6" s="4" t="s">
        <v>45</v>
      </c>
      <c r="N6" t="s">
        <v>46</v>
      </c>
    </row>
    <row r="7" spans="1:14" x14ac:dyDescent="0.35">
      <c r="A7" t="s">
        <v>197</v>
      </c>
      <c r="B7">
        <v>312</v>
      </c>
      <c r="C7">
        <v>43</v>
      </c>
      <c r="D7" s="5">
        <f>B7*C7/1000000</f>
        <v>1.3416000000000001E-2</v>
      </c>
      <c r="E7">
        <v>0.3</v>
      </c>
      <c r="F7">
        <v>7.4999999999999997E-3</v>
      </c>
      <c r="G7">
        <v>2.2999999999999998</v>
      </c>
      <c r="J7" s="3">
        <v>17</v>
      </c>
      <c r="K7" s="3">
        <v>-0.38</v>
      </c>
      <c r="L7" s="4" t="s">
        <v>198</v>
      </c>
    </row>
    <row r="8" spans="1:14" s="24" customFormat="1" x14ac:dyDescent="0.35">
      <c r="A8" s="24" t="s">
        <v>195</v>
      </c>
      <c r="B8" s="24">
        <v>1710</v>
      </c>
      <c r="C8" s="24">
        <v>348</v>
      </c>
      <c r="D8" s="5">
        <f>B8*C8/1000000</f>
        <v>0.59508000000000005</v>
      </c>
      <c r="E8" s="24">
        <v>2.5</v>
      </c>
      <c r="F8" s="24">
        <v>1.3</v>
      </c>
      <c r="G8" s="24">
        <v>80</v>
      </c>
      <c r="I8" s="42">
        <f>1.48*G8*M2</f>
        <v>3239.424</v>
      </c>
      <c r="J8" s="42">
        <v>16.3</v>
      </c>
      <c r="K8" s="42">
        <v>-0.21</v>
      </c>
      <c r="L8" s="45" t="s">
        <v>128</v>
      </c>
    </row>
    <row r="9" spans="1:14" x14ac:dyDescent="0.35">
      <c r="A9" t="s">
        <v>196</v>
      </c>
      <c r="B9">
        <v>1710</v>
      </c>
      <c r="C9">
        <v>973</v>
      </c>
      <c r="D9" s="5">
        <f>B9*C9/1000000</f>
        <v>1.6638299999999999</v>
      </c>
      <c r="E9">
        <v>17</v>
      </c>
      <c r="F9">
        <v>3.4</v>
      </c>
      <c r="G9">
        <v>240</v>
      </c>
      <c r="I9" s="3">
        <f>1.48*G9*M2</f>
        <v>9718.271999999999</v>
      </c>
      <c r="J9" s="3">
        <v>16.3</v>
      </c>
      <c r="K9" s="3">
        <v>-0.43</v>
      </c>
      <c r="L9" s="4" t="s">
        <v>129</v>
      </c>
    </row>
    <row r="11" spans="1:14" s="54" customFormat="1" x14ac:dyDescent="0.35">
      <c r="A11" s="50" t="s">
        <v>38</v>
      </c>
      <c r="B11" s="52"/>
      <c r="C11" s="52"/>
      <c r="D11" s="52">
        <f>AVERAGE(D5:D9)</f>
        <v>1.8739812</v>
      </c>
      <c r="E11" s="52"/>
      <c r="F11" s="52">
        <f>AVERAGE(F5:F9)</f>
        <v>4.5415000000000001</v>
      </c>
      <c r="G11" s="52">
        <f>AVERAGE(G5:G9)</f>
        <v>198.45999999999998</v>
      </c>
      <c r="H11" s="52">
        <f>AVERAGE(H5:H9)</f>
        <v>25</v>
      </c>
      <c r="I11" s="52">
        <f>AVERAGE(I5:I9)</f>
        <v>7296.9120000000003</v>
      </c>
      <c r="J11" s="52"/>
      <c r="K11" s="52"/>
      <c r="L11" s="52"/>
    </row>
    <row r="12" spans="1:14" s="6" customFormat="1" x14ac:dyDescent="0.35">
      <c r="A12" s="6" t="s">
        <v>40</v>
      </c>
      <c r="F12" s="6">
        <f>F11/D11</f>
        <v>2.4234501392009697</v>
      </c>
      <c r="G12" s="8">
        <f>G11/D11</f>
        <v>105.90287672042814</v>
      </c>
      <c r="H12" s="8"/>
      <c r="I12" s="8">
        <f>I11/D11</f>
        <v>3893.8021363287958</v>
      </c>
      <c r="J12" s="8">
        <f>AVERAGE(J5:J9)</f>
        <v>16.579999999999998</v>
      </c>
      <c r="K12" s="8">
        <f>AVERAGE(K5:K9)</f>
        <v>-0.374</v>
      </c>
      <c r="L12" s="7"/>
    </row>
    <row r="13" spans="1:14" s="6" customFormat="1" x14ac:dyDescent="0.35">
      <c r="A13" s="6" t="s">
        <v>41</v>
      </c>
      <c r="B13" s="9">
        <f>I12/G11</f>
        <v>19.620085338752375</v>
      </c>
      <c r="L13" s="7"/>
    </row>
    <row r="14" spans="1:14" x14ac:dyDescent="0.35">
      <c r="A14" s="6" t="s">
        <v>111</v>
      </c>
      <c r="B14" s="21">
        <f>J12/100</f>
        <v>0.16579999999999998</v>
      </c>
      <c r="L14" s="3"/>
    </row>
    <row r="20" spans="1:12" s="76" customFormat="1" x14ac:dyDescent="0.35">
      <c r="A20" s="76" t="s">
        <v>193</v>
      </c>
      <c r="B20" s="76">
        <v>1656</v>
      </c>
      <c r="C20" s="76">
        <v>656</v>
      </c>
      <c r="D20" s="77">
        <f>B20*C20/1000000</f>
        <v>1.086336</v>
      </c>
      <c r="E20" s="76">
        <v>35</v>
      </c>
      <c r="F20" s="76">
        <v>16.8</v>
      </c>
      <c r="G20" s="76">
        <v>150</v>
      </c>
      <c r="H20" s="76">
        <v>20</v>
      </c>
      <c r="I20" s="78"/>
      <c r="J20" s="78">
        <v>13.8</v>
      </c>
      <c r="K20" s="78">
        <v>-0.26</v>
      </c>
      <c r="L20" s="79" t="s">
        <v>194</v>
      </c>
    </row>
    <row r="21" spans="1:12" s="76" customFormat="1" x14ac:dyDescent="0.35">
      <c r="A21" s="76" t="s">
        <v>199</v>
      </c>
      <c r="B21" s="76">
        <v>1901</v>
      </c>
      <c r="C21" s="76">
        <v>1237</v>
      </c>
      <c r="D21" s="77">
        <f>B21*C21/1000000</f>
        <v>2.351537</v>
      </c>
      <c r="E21" s="76">
        <v>45</v>
      </c>
      <c r="F21" s="76">
        <v>33.299999999999997</v>
      </c>
      <c r="G21" s="76">
        <v>365</v>
      </c>
      <c r="H21" s="76">
        <v>15</v>
      </c>
      <c r="I21" s="78">
        <f>0.22*G21*$M$2</f>
        <v>2197.0079999999998</v>
      </c>
      <c r="J21" s="78">
        <v>15.5</v>
      </c>
      <c r="K21" s="78">
        <v>-2.8000000000000001E-2</v>
      </c>
      <c r="L21" s="79" t="s">
        <v>200</v>
      </c>
    </row>
  </sheetData>
  <hyperlinks>
    <hyperlink ref="L5" r:id="rId1" xr:uid="{3CB8A738-4C24-472D-BF80-63464BB2BE34}"/>
    <hyperlink ref="L6" r:id="rId2" xr:uid="{93A390EA-0141-4FCF-BFE6-168E58653968}"/>
    <hyperlink ref="L8" r:id="rId3" xr:uid="{3F939453-14EA-402E-AA44-18119EC05159}"/>
    <hyperlink ref="L9" r:id="rId4" xr:uid="{62AA5422-A406-4E52-86BD-EBF30D26AEEE}"/>
  </hyperlinks>
  <pageMargins left="0.7" right="0.7" top="0.78740157499999996" bottom="0.78740157499999996" header="0.3" footer="0.3"/>
  <pageSetup paperSize="9" orientation="portrait" r:id="rId5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937AF-D3C5-46F7-8CE2-F9343746066E}">
  <sheetPr>
    <tabColor theme="7" tint="0.79998168889431442"/>
  </sheetPr>
  <dimension ref="A1:M13"/>
  <sheetViews>
    <sheetView workbookViewId="0">
      <selection activeCell="F18" sqref="F18"/>
    </sheetView>
  </sheetViews>
  <sheetFormatPr defaultRowHeight="14.5" x14ac:dyDescent="0.35"/>
  <cols>
    <col min="1" max="1" width="22.7265625" bestFit="1" customWidth="1"/>
    <col min="2" max="2" width="11.453125" bestFit="1" customWidth="1"/>
    <col min="3" max="3" width="9.90625" bestFit="1" customWidth="1"/>
    <col min="4" max="4" width="10.7265625" bestFit="1" customWidth="1"/>
    <col min="5" max="5" width="13.08984375" bestFit="1" customWidth="1"/>
    <col min="7" max="7" width="19.6328125" bestFit="1" customWidth="1"/>
    <col min="9" max="9" width="9.90625" style="3" bestFit="1" customWidth="1"/>
    <col min="10" max="10" width="13.1796875" bestFit="1" customWidth="1"/>
    <col min="11" max="11" width="12.90625" customWidth="1"/>
  </cols>
  <sheetData>
    <row r="1" spans="1:13" ht="18.5" x14ac:dyDescent="0.45">
      <c r="A1" s="1" t="s">
        <v>48</v>
      </c>
      <c r="B1" s="1"/>
      <c r="C1" s="1"/>
      <c r="D1" s="1"/>
      <c r="E1" s="1"/>
      <c r="F1" s="1"/>
    </row>
    <row r="2" spans="1:13" x14ac:dyDescent="0.35">
      <c r="L2" t="s">
        <v>12</v>
      </c>
      <c r="M2">
        <v>27.36</v>
      </c>
    </row>
    <row r="3" spans="1:13" x14ac:dyDescent="0.35">
      <c r="A3" t="s">
        <v>3</v>
      </c>
    </row>
    <row r="4" spans="1:13" s="10" customFormat="1" ht="29" x14ac:dyDescent="0.35">
      <c r="A4" s="10" t="s">
        <v>7</v>
      </c>
      <c r="B4" s="10" t="s">
        <v>15</v>
      </c>
      <c r="C4" s="10" t="s">
        <v>16</v>
      </c>
      <c r="D4" s="10" t="s">
        <v>39</v>
      </c>
      <c r="E4" s="10" t="s">
        <v>17</v>
      </c>
      <c r="F4" s="10" t="s">
        <v>18</v>
      </c>
      <c r="G4" s="10" t="s">
        <v>14</v>
      </c>
      <c r="H4" s="10" t="s">
        <v>8</v>
      </c>
      <c r="I4" s="11" t="s">
        <v>9</v>
      </c>
      <c r="J4" s="11" t="s">
        <v>85</v>
      </c>
      <c r="K4" s="71" t="s">
        <v>161</v>
      </c>
      <c r="L4" s="10" t="s">
        <v>10</v>
      </c>
    </row>
    <row r="5" spans="1:13" x14ac:dyDescent="0.35">
      <c r="A5" t="s">
        <v>50</v>
      </c>
      <c r="B5">
        <v>1450</v>
      </c>
      <c r="C5">
        <v>650</v>
      </c>
      <c r="D5">
        <f>B5*C5/1000000</f>
        <v>0.9425</v>
      </c>
      <c r="E5">
        <v>2</v>
      </c>
      <c r="G5">
        <v>18</v>
      </c>
      <c r="I5" s="3">
        <f>730*M2</f>
        <v>19972.8</v>
      </c>
      <c r="L5" s="4" t="s">
        <v>49</v>
      </c>
      <c r="M5" t="s">
        <v>51</v>
      </c>
    </row>
    <row r="6" spans="1:13" x14ac:dyDescent="0.35">
      <c r="A6" t="s">
        <v>201</v>
      </c>
      <c r="J6">
        <v>15</v>
      </c>
      <c r="L6" s="4"/>
    </row>
    <row r="7" spans="1:13" x14ac:dyDescent="0.35">
      <c r="A7" t="s">
        <v>202</v>
      </c>
      <c r="B7">
        <v>2000</v>
      </c>
      <c r="C7">
        <v>436</v>
      </c>
      <c r="D7">
        <f>B7*C7/1000000</f>
        <v>0.872</v>
      </c>
      <c r="E7">
        <v>1.8</v>
      </c>
      <c r="F7">
        <v>2</v>
      </c>
      <c r="G7">
        <v>55</v>
      </c>
      <c r="H7">
        <v>5</v>
      </c>
      <c r="L7" t="s">
        <v>203</v>
      </c>
    </row>
    <row r="10" spans="1:13" s="54" customFormat="1" x14ac:dyDescent="0.35">
      <c r="A10" s="50" t="s">
        <v>38</v>
      </c>
      <c r="B10" s="52"/>
      <c r="C10" s="52"/>
      <c r="D10" s="52">
        <f>AVERAGE(D5:D8)</f>
        <v>0.90725</v>
      </c>
      <c r="E10" s="52"/>
      <c r="F10" s="52"/>
      <c r="G10" s="52">
        <f>AVERAGE(G5:G8)</f>
        <v>36.5</v>
      </c>
      <c r="H10" s="52"/>
      <c r="I10" s="52">
        <f>AVERAGE(I5:I8)</f>
        <v>19972.8</v>
      </c>
      <c r="J10" s="52"/>
      <c r="K10" s="52"/>
    </row>
    <row r="11" spans="1:13" s="6" customFormat="1" x14ac:dyDescent="0.35">
      <c r="A11" s="6" t="s">
        <v>40</v>
      </c>
      <c r="G11" s="8">
        <f>G10/D10</f>
        <v>40.23146872416644</v>
      </c>
      <c r="H11" s="8">
        <f>AVERAGE(H5:H8)</f>
        <v>5</v>
      </c>
      <c r="I11" s="8">
        <f>I10/D10</f>
        <v>22014.659685863873</v>
      </c>
      <c r="J11" s="7">
        <f>AVERAGE(J5:J8)</f>
        <v>15</v>
      </c>
      <c r="K11" s="7"/>
    </row>
    <row r="12" spans="1:13" s="6" customFormat="1" x14ac:dyDescent="0.35">
      <c r="A12" s="6" t="s">
        <v>41</v>
      </c>
      <c r="B12" s="9">
        <f>I11/G11</f>
        <v>547.19999999999993</v>
      </c>
      <c r="J12" s="7"/>
      <c r="K12" s="7"/>
    </row>
    <row r="13" spans="1:13" x14ac:dyDescent="0.35">
      <c r="A13" s="6" t="s">
        <v>111</v>
      </c>
      <c r="B13" s="21">
        <f>AVERAGE(G11/1000,J11/100)</f>
        <v>9.5115734362083218E-2</v>
      </c>
      <c r="J13" s="3"/>
      <c r="K13" s="3"/>
    </row>
  </sheetData>
  <hyperlinks>
    <hyperlink ref="L5" r:id="rId1" xr:uid="{8C3A421F-65EF-4F44-A9F0-D5C8A14FA362}"/>
  </hyperlinks>
  <pageMargins left="0.7" right="0.7" top="0.78740157499999996" bottom="0.78740157499999996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Hodnocení</vt:lpstr>
      <vt:lpstr>Krys Si</vt:lpstr>
      <vt:lpstr>Si HIT</vt:lpstr>
      <vt:lpstr>Cd-Te</vt:lpstr>
      <vt:lpstr>ThF Cd-Te</vt:lpstr>
      <vt:lpstr>ThF Si</vt:lpstr>
      <vt:lpstr>a-Si</vt:lpstr>
      <vt:lpstr>CIS.CIGS</vt:lpstr>
      <vt:lpstr>Organický PV</vt:lpstr>
      <vt:lpstr>Perovskitův PV</vt:lpstr>
      <vt:lpstr>Účinnost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Radim</cp:lastModifiedBy>
  <dcterms:created xsi:type="dcterms:W3CDTF">2015-06-05T18:19:34Z</dcterms:created>
  <dcterms:modified xsi:type="dcterms:W3CDTF">2021-05-14T21:20:53Z</dcterms:modified>
</cp:coreProperties>
</file>