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im\Desktop\Padevět_DP\"/>
    </mc:Choice>
  </mc:AlternateContent>
  <xr:revisionPtr revIDLastSave="0" documentId="13_ncr:1_{35761B55-F70F-4D51-9402-FA5013509A30}" xr6:coauthVersionLast="45" xr6:coauthVersionMax="45" xr10:uidLastSave="{00000000-0000-0000-0000-000000000000}"/>
  <bookViews>
    <workbookView xWindow="28680" yWindow="-120" windowWidth="21840" windowHeight="13140" activeTab="2" xr2:uid="{5FC06B18-3D1B-4166-8A47-D2CC4D68E900}"/>
  </bookViews>
  <sheets>
    <sheet name="Superb" sheetId="1" r:id="rId1"/>
    <sheet name="T4" sheetId="2" r:id="rId2"/>
    <sheet name="Výpočty" sheetId="3" r:id="rId3"/>
    <sheet name="Ztráty" sheetId="4" r:id="rId4"/>
    <sheet name="kWh100km" sheetId="6" r:id="rId5"/>
    <sheet name="rok.den" sheetId="7" r:id="rId6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6" l="1"/>
  <c r="G3" i="3"/>
  <c r="B10" i="6" l="1"/>
  <c r="D9" i="4"/>
  <c r="B20" i="4"/>
  <c r="D2" i="4"/>
  <c r="D11" i="4" s="1"/>
  <c r="C2" i="4"/>
  <c r="C9" i="4" s="1"/>
  <c r="B2" i="4"/>
  <c r="B11" i="4" s="1"/>
  <c r="E25" i="3"/>
  <c r="E26" i="3"/>
  <c r="E27" i="3"/>
  <c r="E28" i="3"/>
  <c r="E29" i="3"/>
  <c r="E30" i="3"/>
  <c r="E24" i="3"/>
  <c r="E23" i="3"/>
  <c r="E22" i="3"/>
  <c r="E10" i="3"/>
  <c r="E11" i="3"/>
  <c r="E12" i="3"/>
  <c r="E13" i="3"/>
  <c r="E14" i="3"/>
  <c r="E15" i="3"/>
  <c r="E16" i="3"/>
  <c r="E9" i="3"/>
  <c r="E8" i="3"/>
  <c r="E7" i="3"/>
  <c r="D10" i="4" l="1"/>
  <c r="B10" i="4"/>
  <c r="D8" i="4"/>
  <c r="B8" i="4"/>
  <c r="B12" i="4" s="1"/>
  <c r="C10" i="4"/>
  <c r="C8" i="4"/>
  <c r="C12" i="4" s="1"/>
  <c r="B9" i="4"/>
  <c r="B13" i="4" s="1"/>
  <c r="C11" i="4"/>
  <c r="F20" i="7"/>
  <c r="F19" i="7"/>
  <c r="F18" i="7"/>
  <c r="F17" i="7"/>
  <c r="F16" i="7"/>
  <c r="F15" i="7"/>
  <c r="F14" i="7"/>
  <c r="F11" i="7"/>
  <c r="E11" i="7"/>
  <c r="F10" i="7"/>
  <c r="E10" i="7"/>
  <c r="F9" i="7"/>
  <c r="E9" i="7"/>
  <c r="F8" i="7"/>
  <c r="E8" i="7"/>
  <c r="J2" i="7"/>
  <c r="C20" i="4"/>
  <c r="D13" i="4"/>
  <c r="C13" i="4"/>
  <c r="D12" i="4"/>
  <c r="C30" i="3"/>
  <c r="J30" i="3" s="1"/>
  <c r="C29" i="3"/>
  <c r="J29" i="3" s="1"/>
  <c r="C28" i="3"/>
  <c r="J28" i="3" s="1"/>
  <c r="C27" i="3"/>
  <c r="J27" i="3" s="1"/>
  <c r="D26" i="3"/>
  <c r="C26" i="3"/>
  <c r="J26" i="3" s="1"/>
  <c r="C25" i="3"/>
  <c r="J25" i="3" s="1"/>
  <c r="D24" i="3"/>
  <c r="C24" i="3"/>
  <c r="H24" i="3" s="1"/>
  <c r="J23" i="3"/>
  <c r="C23" i="3"/>
  <c r="H23" i="3" s="1"/>
  <c r="D22" i="3"/>
  <c r="C22" i="3"/>
  <c r="H22" i="3" s="1"/>
  <c r="D17" i="3"/>
  <c r="C16" i="3"/>
  <c r="J16" i="3" s="1"/>
  <c r="C15" i="3"/>
  <c r="J15" i="3" s="1"/>
  <c r="C14" i="3"/>
  <c r="J14" i="3" s="1"/>
  <c r="C13" i="3"/>
  <c r="J13" i="3" s="1"/>
  <c r="C12" i="3"/>
  <c r="J12" i="3" s="1"/>
  <c r="C11" i="3"/>
  <c r="J11" i="3" s="1"/>
  <c r="C10" i="3"/>
  <c r="J10" i="3" s="1"/>
  <c r="C9" i="3"/>
  <c r="J9" i="3" s="1"/>
  <c r="J8" i="3"/>
  <c r="C8" i="3"/>
  <c r="H8" i="3" s="1"/>
  <c r="C7" i="3"/>
  <c r="H7" i="3" s="1"/>
  <c r="C8" i="1"/>
  <c r="C6" i="1"/>
  <c r="C4" i="1"/>
  <c r="I16" i="3" l="1"/>
  <c r="G22" i="3"/>
  <c r="J24" i="3"/>
  <c r="J7" i="3"/>
  <c r="J22" i="3"/>
  <c r="D31" i="3"/>
  <c r="F7" i="3"/>
  <c r="H10" i="3"/>
  <c r="I11" i="3"/>
  <c r="I15" i="3"/>
  <c r="F22" i="3"/>
  <c r="F31" i="3" s="1"/>
  <c r="I27" i="3"/>
  <c r="G7" i="3"/>
  <c r="G8" i="3"/>
  <c r="H9" i="3"/>
  <c r="I14" i="3"/>
  <c r="G23" i="3"/>
  <c r="G31" i="3" s="1"/>
  <c r="I25" i="3"/>
  <c r="I26" i="3"/>
  <c r="I30" i="3"/>
  <c r="H31" i="3"/>
  <c r="B5" i="6" s="1"/>
  <c r="B16" i="6" s="1"/>
  <c r="C16" i="6" s="1"/>
  <c r="I17" i="3" l="1"/>
  <c r="E6" i="6" s="1"/>
  <c r="E17" i="6" s="1"/>
  <c r="F17" i="6" s="1"/>
  <c r="D16" i="6"/>
  <c r="I31" i="3"/>
  <c r="F17" i="3"/>
  <c r="E3" i="6" s="1"/>
  <c r="E14" i="6" s="1"/>
  <c r="G17" i="3"/>
  <c r="E4" i="6" s="1"/>
  <c r="E15" i="6" s="1"/>
  <c r="F15" i="6" s="1"/>
  <c r="B4" i="6"/>
  <c r="B15" i="6" s="1"/>
  <c r="B3" i="6"/>
  <c r="B14" i="6" s="1"/>
  <c r="J31" i="3"/>
  <c r="H17" i="3"/>
  <c r="K8" i="3"/>
  <c r="K23" i="3"/>
  <c r="K24" i="3"/>
  <c r="K22" i="3"/>
  <c r="F14" i="6" l="1"/>
  <c r="J17" i="3"/>
  <c r="E5" i="6"/>
  <c r="E16" i="6" s="1"/>
  <c r="F16" i="6" s="1"/>
  <c r="B6" i="6"/>
  <c r="B17" i="6" s="1"/>
  <c r="K7" i="3"/>
  <c r="C15" i="6"/>
  <c r="D15" i="6"/>
  <c r="D14" i="6"/>
  <c r="C14" i="6"/>
  <c r="K10" i="3"/>
  <c r="K9" i="3"/>
  <c r="C17" i="6" l="1"/>
  <c r="D17" i="6"/>
</calcChain>
</file>

<file path=xl/sharedStrings.xml><?xml version="1.0" encoding="utf-8"?>
<sst xmlns="http://schemas.openxmlformats.org/spreadsheetml/2006/main" count="149" uniqueCount="116">
  <si>
    <t>Osvit pro Prahu za rok - Transporter</t>
  </si>
  <si>
    <t>Azimut 0°</t>
  </si>
  <si>
    <t>Roční osvit</t>
  </si>
  <si>
    <t>Plocha</t>
  </si>
  <si>
    <t>Účinnost PV</t>
  </si>
  <si>
    <t>Var1</t>
  </si>
  <si>
    <t>Var2</t>
  </si>
  <si>
    <t>Var3</t>
  </si>
  <si>
    <t>Var4</t>
  </si>
  <si>
    <t>Osvit*plocha</t>
  </si>
  <si>
    <t>% z celku</t>
  </si>
  <si>
    <t>Střecha 0deg</t>
  </si>
  <si>
    <t>Kapota 30deg</t>
  </si>
  <si>
    <t>Boky 90deg</t>
  </si>
  <si>
    <t>Zadní páté dveře -90deg</t>
  </si>
  <si>
    <t>Černění čelní sklo 35deg</t>
  </si>
  <si>
    <t>Černění boční skla</t>
  </si>
  <si>
    <t>Černění zadní sklo</t>
  </si>
  <si>
    <t>Boční skla střední 90</t>
  </si>
  <si>
    <t>Zadní boční skla 90deg</t>
  </si>
  <si>
    <t>Boční skla zadní 90deg</t>
  </si>
  <si>
    <t>Zadní sklo -90deg</t>
  </si>
  <si>
    <t>SUMA</t>
  </si>
  <si>
    <t>Osvit pro Prahu za rok - Superb</t>
  </si>
  <si>
    <t>Kapota 13,6deg</t>
  </si>
  <si>
    <t>Zadní sklo -30deg</t>
  </si>
  <si>
    <t>Černění čelní sklo 30deg</t>
  </si>
  <si>
    <t>Černění boční sklo</t>
  </si>
  <si>
    <t>Umístění</t>
  </si>
  <si>
    <t>Střecha</t>
  </si>
  <si>
    <t>Kapota</t>
  </si>
  <si>
    <t>Úhel</t>
  </si>
  <si>
    <t>Boky</t>
  </si>
  <si>
    <t>Zadní sklo</t>
  </si>
  <si>
    <t>Zadní boční skla</t>
  </si>
  <si>
    <t>Černění čelní sklo</t>
  </si>
  <si>
    <t>Plocha [m2]</t>
  </si>
  <si>
    <t>Technologie použité u variant</t>
  </si>
  <si>
    <t>1. varianta</t>
  </si>
  <si>
    <t>3. varianta</t>
  </si>
  <si>
    <t>Účinnost panelu [-]</t>
  </si>
  <si>
    <t>Celková účinnost</t>
  </si>
  <si>
    <t>Celková účinnost MPPT (Pb)</t>
  </si>
  <si>
    <t>Celková účinnost MPPT (Li-ion)</t>
  </si>
  <si>
    <t>Účinnost regulátoru MPPT</t>
  </si>
  <si>
    <t>Účinnost regulátoru PWM</t>
  </si>
  <si>
    <t>Účinnost nabíjení baterie Pb</t>
  </si>
  <si>
    <t>Účinnost nabíjení baterie Li-ion</t>
  </si>
  <si>
    <t>Účinnost měniče</t>
  </si>
  <si>
    <t>Palivo</t>
  </si>
  <si>
    <t>Benzín</t>
  </si>
  <si>
    <t>Nafta</t>
  </si>
  <si>
    <t>Výroba energie alternátorem</t>
  </si>
  <si>
    <t>Účinnost alternátoru</t>
  </si>
  <si>
    <t>Úč spalování</t>
  </si>
  <si>
    <t>nafta</t>
  </si>
  <si>
    <t>benzín 95</t>
  </si>
  <si>
    <t>Kolik kWh na 100 km</t>
  </si>
  <si>
    <t>2. varanta</t>
  </si>
  <si>
    <t>SUPERB</t>
  </si>
  <si>
    <t>VW</t>
  </si>
  <si>
    <t>4. varanata</t>
  </si>
  <si>
    <t>Den v roce</t>
  </si>
  <si>
    <t>Praha</t>
  </si>
  <si>
    <t>Brno</t>
  </si>
  <si>
    <t>Ústí nad Labem</t>
  </si>
  <si>
    <t>Nadmořská výška (n.m.)</t>
  </si>
  <si>
    <t>Zeměpisná šířka</t>
  </si>
  <si>
    <t>0 deg</t>
  </si>
  <si>
    <t>13,6 deg</t>
  </si>
  <si>
    <t>30 deg</t>
  </si>
  <si>
    <t>35 deg</t>
  </si>
  <si>
    <t>90 deg</t>
  </si>
  <si>
    <t>Úhly:</t>
  </si>
  <si>
    <t>Dny v roce:</t>
  </si>
  <si>
    <t xml:space="preserve"> -90 deg</t>
  </si>
  <si>
    <t xml:space="preserve"> -30 deg</t>
  </si>
  <si>
    <t>Pořadí den/rok</t>
  </si>
  <si>
    <t>Průměrný roční osvit v ČR</t>
  </si>
  <si>
    <t>Průměrný roční osvit ČR</t>
  </si>
  <si>
    <t>Černění boční skla 90</t>
  </si>
  <si>
    <t>Černění zadní sklo -90</t>
  </si>
  <si>
    <t>Černění boční sklo 90</t>
  </si>
  <si>
    <t>Černění zadní sklo -30</t>
  </si>
  <si>
    <t>Střešní křídlo 0</t>
  </si>
  <si>
    <t>Průměry:</t>
  </si>
  <si>
    <t>Průměrný roční osvit</t>
  </si>
  <si>
    <t>MPPT</t>
  </si>
  <si>
    <t>Účinnost variant:</t>
  </si>
  <si>
    <t>Skupiny</t>
  </si>
  <si>
    <t>1. skupina</t>
  </si>
  <si>
    <t>2. skupina</t>
  </si>
  <si>
    <t>3. skupina</t>
  </si>
  <si>
    <t>Účinnost nabíjení baterie (Pb)</t>
  </si>
  <si>
    <t>Ztráty účinnost MPPT</t>
  </si>
  <si>
    <t>Ztráty účinnost MPPT (Pb)</t>
  </si>
  <si>
    <t>Ztráty účinnost MPPT (Li-ion)</t>
  </si>
  <si>
    <t>Ztráty účinnost PWM</t>
  </si>
  <si>
    <t>Ztráty:</t>
  </si>
  <si>
    <t>alternátor</t>
  </si>
  <si>
    <t>Běžná spotřeba (1l/100km):</t>
  </si>
  <si>
    <t>zážehový motor</t>
  </si>
  <si>
    <t>enerige (kWh/km) za alternátorem</t>
  </si>
  <si>
    <t>Roční osvit panelu (kWh/rok)</t>
  </si>
  <si>
    <t>Cena (Kč)</t>
  </si>
  <si>
    <t>Energie (kWh/l)</t>
  </si>
  <si>
    <t>úspora (Kč/rok)</t>
  </si>
  <si>
    <t>TRANSPORTER</t>
  </si>
  <si>
    <t>Ušetřené kilometry za rok (km/rok)</t>
  </si>
  <si>
    <t>vznětový</t>
  </si>
  <si>
    <t xml:space="preserve">VW Transporter T4 2,5 TDI </t>
  </si>
  <si>
    <t>Škoda Superb Combi 2,0 TSI 140 kW</t>
  </si>
  <si>
    <t>Snížení produkce CO2 (g/km)</t>
  </si>
  <si>
    <t>Snížení produkce CO2 (g)</t>
  </si>
  <si>
    <t>Superb Combi plocha</t>
  </si>
  <si>
    <t>VW Transporter T4 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</si>
</sst>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8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2" tint="-0.249977111117893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2" fillId="0" borderId="0" xfId="0" applyFont="1"/>
    <xf numFmtId="0" fontId="0" fillId="0" borderId="1" xfId="0" applyBorder="1"/>
    <xf numFmtId="9" fontId="0" fillId="0" borderId="0" xfId="1" applyFont="1"/>
    <xf numFmtId="0" fontId="1" fillId="0" borderId="1" xfId="0" applyFont="1" applyBorder="1"/>
    <xf numFmtId="0" fontId="5" fillId="0" borderId="1" xfId="0" applyFont="1" applyBorder="1"/>
    <xf numFmtId="0" fontId="6" fillId="0" borderId="1" xfId="0" applyFont="1" applyBorder="1"/>
    <xf numFmtId="1" fontId="2" fillId="0" borderId="1" xfId="0" applyNumberFormat="1" applyFont="1" applyBorder="1"/>
    <xf numFmtId="1" fontId="3" fillId="0" borderId="1" xfId="0" applyNumberFormat="1" applyFont="1" applyBorder="1"/>
    <xf numFmtId="1" fontId="7" fillId="0" borderId="1" xfId="0" applyNumberFormat="1" applyFont="1" applyBorder="1"/>
    <xf numFmtId="1" fontId="0" fillId="0" borderId="0" xfId="0" applyNumberFormat="1"/>
    <xf numFmtId="2" fontId="0" fillId="0" borderId="1" xfId="0" applyNumberFormat="1" applyBorder="1"/>
    <xf numFmtId="9" fontId="0" fillId="0" borderId="0" xfId="0" applyNumberFormat="1"/>
    <xf numFmtId="0" fontId="0" fillId="0" borderId="1" xfId="0" applyFont="1" applyBorder="1"/>
    <xf numFmtId="0" fontId="8" fillId="0" borderId="1" xfId="0" applyFont="1" applyBorder="1"/>
    <xf numFmtId="0" fontId="9" fillId="0" borderId="1" xfId="0" applyFont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9" fontId="1" fillId="0" borderId="1" xfId="1" applyFont="1" applyBorder="1"/>
    <xf numFmtId="0" fontId="0" fillId="0" borderId="0" xfId="0" applyFont="1"/>
    <xf numFmtId="0" fontId="11" fillId="0" borderId="1" xfId="0" applyFont="1" applyBorder="1" applyAlignment="1">
      <alignment horizontal="justify" vertical="center" wrapText="1"/>
    </xf>
    <xf numFmtId="168" fontId="2" fillId="0" borderId="1" xfId="1" applyNumberFormat="1" applyFont="1" applyBorder="1"/>
    <xf numFmtId="9" fontId="2" fillId="0" borderId="1" xfId="1" applyNumberFormat="1" applyFont="1" applyBorder="1"/>
    <xf numFmtId="14" fontId="0" fillId="0" borderId="0" xfId="0" applyNumberFormat="1"/>
    <xf numFmtId="0" fontId="13" fillId="0" borderId="0" xfId="0" applyFont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" fontId="1" fillId="0" borderId="1" xfId="0" applyNumberFormat="1" applyFont="1" applyBorder="1"/>
    <xf numFmtId="1" fontId="0" fillId="0" borderId="1" xfId="1" applyNumberFormat="1" applyFont="1" applyBorder="1"/>
    <xf numFmtId="1" fontId="0" fillId="0" borderId="1" xfId="0" applyNumberFormat="1" applyBorder="1"/>
    <xf numFmtId="1" fontId="5" fillId="0" borderId="1" xfId="0" applyNumberFormat="1" applyFont="1" applyBorder="1"/>
    <xf numFmtId="1" fontId="6" fillId="0" borderId="1" xfId="0" applyNumberFormat="1" applyFont="1" applyBorder="1"/>
    <xf numFmtId="0" fontId="0" fillId="2" borderId="1" xfId="0" applyFill="1" applyBorder="1"/>
    <xf numFmtId="0" fontId="2" fillId="2" borderId="1" xfId="0" applyFont="1" applyFill="1" applyBorder="1"/>
    <xf numFmtId="0" fontId="8" fillId="0" borderId="0" xfId="0" applyFont="1" applyFill="1" applyBorder="1"/>
    <xf numFmtId="0" fontId="14" fillId="0" borderId="0" xfId="0" applyFont="1" applyFill="1" applyBorder="1"/>
    <xf numFmtId="165" fontId="2" fillId="3" borderId="1" xfId="0" applyNumberFormat="1" applyFont="1" applyFill="1" applyBorder="1"/>
    <xf numFmtId="0" fontId="2" fillId="3" borderId="1" xfId="0" applyFont="1" applyFill="1" applyBorder="1"/>
    <xf numFmtId="168" fontId="0" fillId="0" borderId="0" xfId="1" applyNumberFormat="1" applyFont="1"/>
    <xf numFmtId="0" fontId="0" fillId="0" borderId="1" xfId="0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" fillId="0" borderId="6" xfId="0" applyFont="1" applyBorder="1"/>
    <xf numFmtId="0" fontId="0" fillId="0" borderId="0" xfId="0" applyFont="1" applyBorder="1"/>
    <xf numFmtId="9" fontId="1" fillId="0" borderId="0" xfId="1" applyFont="1" applyBorder="1"/>
    <xf numFmtId="2" fontId="0" fillId="0" borderId="1" xfId="0" applyNumberFormat="1" applyFill="1" applyBorder="1"/>
    <xf numFmtId="0" fontId="0" fillId="0" borderId="2" xfId="0" applyFill="1" applyBorder="1"/>
    <xf numFmtId="2" fontId="4" fillId="0" borderId="1" xfId="0" applyNumberFormat="1" applyFont="1" applyBorder="1"/>
    <xf numFmtId="0" fontId="0" fillId="0" borderId="1" xfId="0" applyFill="1" applyBorder="1" applyAlignment="1">
      <alignment horizontal="right"/>
    </xf>
    <xf numFmtId="1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5" fillId="0" borderId="0" xfId="0" applyFont="1" applyAlignment="1">
      <alignment horizontal="left" vertical="center" wrapText="1"/>
    </xf>
    <xf numFmtId="165" fontId="0" fillId="0" borderId="1" xfId="0" applyNumberFormat="1" applyBorder="1"/>
    <xf numFmtId="0" fontId="1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1" xfId="0" applyFont="1" applyFill="1" applyBorder="1"/>
    <xf numFmtId="9" fontId="0" fillId="0" borderId="1" xfId="1" applyFont="1" applyFill="1" applyBorder="1"/>
    <xf numFmtId="0" fontId="1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5" fillId="0" borderId="0" xfId="0" applyFont="1"/>
    <xf numFmtId="1" fontId="0" fillId="4" borderId="1" xfId="0" applyNumberFormat="1" applyFill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706A3-1E27-4BD7-98A9-B4171BC4AEF5}">
  <dimension ref="A1:C11"/>
  <sheetViews>
    <sheetView workbookViewId="0">
      <selection activeCell="A2" sqref="A2"/>
    </sheetView>
  </sheetViews>
  <sheetFormatPr defaultRowHeight="14.5" x14ac:dyDescent="0.35"/>
  <cols>
    <col min="1" max="1" width="16.08984375" bestFit="1" customWidth="1"/>
    <col min="2" max="2" width="11.453125" bestFit="1" customWidth="1"/>
    <col min="3" max="3" width="10.6328125" bestFit="1" customWidth="1"/>
  </cols>
  <sheetData>
    <row r="1" spans="1:3" x14ac:dyDescent="0.35">
      <c r="A1" t="s">
        <v>114</v>
      </c>
    </row>
    <row r="3" spans="1:3" x14ac:dyDescent="0.35">
      <c r="A3" s="4" t="s">
        <v>28</v>
      </c>
      <c r="B3" s="4" t="s">
        <v>31</v>
      </c>
      <c r="C3" s="4" t="s">
        <v>36</v>
      </c>
    </row>
    <row r="4" spans="1:3" x14ac:dyDescent="0.35">
      <c r="A4" s="4" t="s">
        <v>29</v>
      </c>
      <c r="B4" s="4">
        <v>0</v>
      </c>
      <c r="C4" s="4">
        <f>1.53</f>
        <v>1.53</v>
      </c>
    </row>
    <row r="5" spans="1:3" x14ac:dyDescent="0.35">
      <c r="A5" s="4" t="s">
        <v>30</v>
      </c>
      <c r="B5" s="4">
        <v>13.6</v>
      </c>
      <c r="C5" s="4">
        <v>1.26</v>
      </c>
    </row>
    <row r="6" spans="1:3" x14ac:dyDescent="0.35">
      <c r="A6" s="4" t="s">
        <v>32</v>
      </c>
      <c r="B6" s="4">
        <v>90</v>
      </c>
      <c r="C6" s="13">
        <f>2.05+0.05</f>
        <v>2.0999999999999996</v>
      </c>
    </row>
    <row r="7" spans="1:3" x14ac:dyDescent="0.35">
      <c r="A7" s="4" t="s">
        <v>33</v>
      </c>
      <c r="B7" s="4">
        <v>-30</v>
      </c>
      <c r="C7" s="13">
        <v>0.69</v>
      </c>
    </row>
    <row r="8" spans="1:3" x14ac:dyDescent="0.35">
      <c r="A8" s="4" t="s">
        <v>34</v>
      </c>
      <c r="B8" s="4">
        <v>90</v>
      </c>
      <c r="C8" s="4">
        <f>2*0.2</f>
        <v>0.4</v>
      </c>
    </row>
    <row r="9" spans="1:3" x14ac:dyDescent="0.35">
      <c r="A9" s="4" t="s">
        <v>35</v>
      </c>
      <c r="B9" s="4">
        <v>30</v>
      </c>
      <c r="C9" s="13">
        <v>0.32</v>
      </c>
    </row>
    <row r="10" spans="1:3" x14ac:dyDescent="0.35">
      <c r="A10" s="4" t="s">
        <v>27</v>
      </c>
      <c r="B10" s="4">
        <v>90</v>
      </c>
      <c r="C10" s="4">
        <v>0.1</v>
      </c>
    </row>
    <row r="11" spans="1:3" x14ac:dyDescent="0.35">
      <c r="A11" s="4" t="s">
        <v>17</v>
      </c>
      <c r="B11" s="4">
        <v>-30</v>
      </c>
      <c r="C11" s="4">
        <v>0.3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B4B94-66E3-4D28-A586-A5FDF93B4F72}">
  <dimension ref="A1:C13"/>
  <sheetViews>
    <sheetView workbookViewId="0">
      <selection activeCell="A2" sqref="A2"/>
    </sheetView>
  </sheetViews>
  <sheetFormatPr defaultRowHeight="14.5" x14ac:dyDescent="0.35"/>
  <cols>
    <col min="1" max="1" width="21.08984375" bestFit="1" customWidth="1"/>
    <col min="3" max="3" width="10.6328125" bestFit="1" customWidth="1"/>
  </cols>
  <sheetData>
    <row r="1" spans="1:3" x14ac:dyDescent="0.35">
      <c r="A1" t="s">
        <v>115</v>
      </c>
    </row>
    <row r="3" spans="1:3" x14ac:dyDescent="0.35">
      <c r="A3" s="4" t="s">
        <v>28</v>
      </c>
      <c r="B3" s="4" t="s">
        <v>31</v>
      </c>
      <c r="C3" s="4" t="s">
        <v>36</v>
      </c>
    </row>
    <row r="4" spans="1:3" x14ac:dyDescent="0.35">
      <c r="A4" s="15" t="s">
        <v>11</v>
      </c>
      <c r="B4" s="4">
        <v>0</v>
      </c>
      <c r="C4" s="4">
        <v>2.34</v>
      </c>
    </row>
    <row r="5" spans="1:3" x14ac:dyDescent="0.35">
      <c r="A5" s="15" t="s">
        <v>12</v>
      </c>
      <c r="B5" s="4">
        <v>30</v>
      </c>
      <c r="C5" s="4">
        <v>0.34</v>
      </c>
    </row>
    <row r="6" spans="1:3" x14ac:dyDescent="0.35">
      <c r="A6" s="15" t="s">
        <v>13</v>
      </c>
      <c r="B6" s="4">
        <v>90</v>
      </c>
      <c r="C6" s="4">
        <v>3.4</v>
      </c>
    </row>
    <row r="7" spans="1:3" x14ac:dyDescent="0.35">
      <c r="A7" s="15" t="s">
        <v>14</v>
      </c>
      <c r="B7" s="4">
        <v>-90</v>
      </c>
      <c r="C7" s="4">
        <v>0.4</v>
      </c>
    </row>
    <row r="8" spans="1:3" x14ac:dyDescent="0.35">
      <c r="A8" s="16" t="s">
        <v>15</v>
      </c>
      <c r="B8" s="7">
        <v>35</v>
      </c>
      <c r="C8" s="7">
        <v>0.21</v>
      </c>
    </row>
    <row r="9" spans="1:3" x14ac:dyDescent="0.35">
      <c r="A9" s="17" t="s">
        <v>16</v>
      </c>
      <c r="B9" s="8">
        <v>90</v>
      </c>
      <c r="C9" s="8">
        <v>0.6</v>
      </c>
    </row>
    <row r="10" spans="1:3" x14ac:dyDescent="0.35">
      <c r="A10" s="17" t="s">
        <v>17</v>
      </c>
      <c r="B10" s="8">
        <v>-90</v>
      </c>
      <c r="C10" s="8">
        <v>0.15</v>
      </c>
    </row>
    <row r="11" spans="1:3" x14ac:dyDescent="0.35">
      <c r="A11" s="15" t="s">
        <v>18</v>
      </c>
      <c r="B11" s="4">
        <v>90</v>
      </c>
      <c r="C11" s="4">
        <v>1.1599999999999999</v>
      </c>
    </row>
    <row r="12" spans="1:3" x14ac:dyDescent="0.35">
      <c r="A12" s="15" t="s">
        <v>19</v>
      </c>
      <c r="B12" s="4">
        <v>90</v>
      </c>
      <c r="C12" s="4">
        <v>2.44</v>
      </c>
    </row>
    <row r="13" spans="1:3" x14ac:dyDescent="0.35">
      <c r="A13" s="15" t="s">
        <v>21</v>
      </c>
      <c r="B13" s="4">
        <v>-90</v>
      </c>
      <c r="C13" s="4">
        <v>0.62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50D4A-546F-412A-8B28-81458153AB1E}">
  <sheetPr>
    <tabColor theme="5" tint="0.79998168889431442"/>
  </sheetPr>
  <dimension ref="B2:N45"/>
  <sheetViews>
    <sheetView tabSelected="1" zoomScaleNormal="100" workbookViewId="0">
      <selection activeCell="I19" sqref="I19"/>
    </sheetView>
  </sheetViews>
  <sheetFormatPr defaultRowHeight="14.5" x14ac:dyDescent="0.35"/>
  <cols>
    <col min="2" max="2" width="31.1796875" bestFit="1" customWidth="1"/>
    <col min="3" max="3" width="10.1796875" bestFit="1" customWidth="1"/>
    <col min="4" max="5" width="11.26953125" bestFit="1" customWidth="1"/>
    <col min="6" max="6" width="9.26953125" bestFit="1" customWidth="1"/>
    <col min="7" max="9" width="8.81640625" bestFit="1" customWidth="1"/>
    <col min="10" max="10" width="11.6328125" bestFit="1" customWidth="1"/>
    <col min="12" max="14" width="8" customWidth="1"/>
    <col min="16" max="16" width="10.90625" bestFit="1" customWidth="1"/>
    <col min="21" max="21" width="11.6328125" bestFit="1" customWidth="1"/>
    <col min="23" max="23" width="24" customWidth="1"/>
    <col min="24" max="24" width="9.81640625" bestFit="1" customWidth="1"/>
    <col min="26" max="26" width="10.90625" bestFit="1" customWidth="1"/>
    <col min="31" max="31" width="11.6328125" bestFit="1" customWidth="1"/>
  </cols>
  <sheetData>
    <row r="2" spans="2:14" x14ac:dyDescent="0.35">
      <c r="B2" s="4" t="s">
        <v>73</v>
      </c>
      <c r="C2" s="32">
        <v>0</v>
      </c>
      <c r="D2" s="32">
        <v>13.6</v>
      </c>
      <c r="E2" s="32">
        <v>30</v>
      </c>
      <c r="F2" s="32">
        <v>35</v>
      </c>
      <c r="G2" s="32">
        <v>90</v>
      </c>
      <c r="H2" s="32">
        <v>-90</v>
      </c>
      <c r="I2" s="32">
        <v>-30</v>
      </c>
      <c r="K2" s="4" t="s">
        <v>89</v>
      </c>
      <c r="L2" s="55">
        <v>1</v>
      </c>
      <c r="M2" s="4">
        <v>2</v>
      </c>
      <c r="N2" s="4">
        <v>3</v>
      </c>
    </row>
    <row r="3" spans="2:14" ht="29" x14ac:dyDescent="0.35">
      <c r="B3" s="4" t="s">
        <v>79</v>
      </c>
      <c r="C3" s="33">
        <v>984.66666666666663</v>
      </c>
      <c r="D3" s="34">
        <v>1084.3333333333333</v>
      </c>
      <c r="E3" s="34">
        <v>1151</v>
      </c>
      <c r="F3" s="34">
        <v>1158</v>
      </c>
      <c r="G3" s="56">
        <f>'rok.den'!F18</f>
        <v>707.33333333333337</v>
      </c>
      <c r="H3" s="35">
        <v>115.66666666666667</v>
      </c>
      <c r="I3" s="35">
        <v>629.33333333333337</v>
      </c>
      <c r="K3" s="19" t="s">
        <v>88</v>
      </c>
      <c r="L3" s="52">
        <v>0.19</v>
      </c>
      <c r="M3" s="4">
        <v>0.13</v>
      </c>
      <c r="N3" s="4">
        <v>0.13</v>
      </c>
    </row>
    <row r="5" spans="2:14" x14ac:dyDescent="0.35">
      <c r="B5" t="s">
        <v>0</v>
      </c>
      <c r="D5" t="s">
        <v>1</v>
      </c>
    </row>
    <row r="6" spans="2:14" s="3" customFormat="1" ht="21.5" customHeight="1" x14ac:dyDescent="0.35">
      <c r="B6" s="1"/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2" t="s">
        <v>8</v>
      </c>
      <c r="J6" s="1" t="s">
        <v>9</v>
      </c>
      <c r="K6" s="49" t="s">
        <v>10</v>
      </c>
      <c r="L6" s="50"/>
    </row>
    <row r="7" spans="2:14" x14ac:dyDescent="0.35">
      <c r="B7" s="1" t="s">
        <v>11</v>
      </c>
      <c r="C7" s="35">
        <f>C3</f>
        <v>984.66666666666663</v>
      </c>
      <c r="D7" s="4">
        <v>2.34</v>
      </c>
      <c r="E7" s="13">
        <f>L3</f>
        <v>0.19</v>
      </c>
      <c r="F7" s="13">
        <f>$C7*$D7*$E$7</f>
        <v>437.78280000000001</v>
      </c>
      <c r="G7" s="13">
        <f>$C7*$D7*$E$8</f>
        <v>299.53559999999999</v>
      </c>
      <c r="H7" s="13">
        <f>$C7*$D7*$E$9</f>
        <v>299.53559999999999</v>
      </c>
      <c r="I7" s="54"/>
      <c r="J7" s="35">
        <f t="shared" ref="J7:J16" si="0">C7*D7</f>
        <v>2304.12</v>
      </c>
      <c r="K7" s="5">
        <f>H7/$H$17</f>
        <v>0.44769228975685194</v>
      </c>
      <c r="L7" s="51"/>
    </row>
    <row r="8" spans="2:14" x14ac:dyDescent="0.35">
      <c r="B8" s="1" t="s">
        <v>12</v>
      </c>
      <c r="C8" s="35">
        <f>E3</f>
        <v>1151</v>
      </c>
      <c r="D8" s="4">
        <v>0.34</v>
      </c>
      <c r="E8" s="4">
        <f>M3</f>
        <v>0.13</v>
      </c>
      <c r="F8" s="13"/>
      <c r="G8" s="13">
        <f>$C8*$D8*$E$8</f>
        <v>50.874200000000009</v>
      </c>
      <c r="H8" s="13">
        <f>$C8*$D8*$E$9</f>
        <v>50.874200000000009</v>
      </c>
      <c r="I8" s="54"/>
      <c r="J8" s="35">
        <f t="shared" si="0"/>
        <v>391.34000000000003</v>
      </c>
      <c r="K8" s="5">
        <f>H8/$H$17</f>
        <v>7.6037663261221841E-2</v>
      </c>
      <c r="L8" s="51"/>
    </row>
    <row r="9" spans="2:14" x14ac:dyDescent="0.35">
      <c r="B9" s="1" t="s">
        <v>13</v>
      </c>
      <c r="C9" s="35">
        <f>G3</f>
        <v>707.33333333333337</v>
      </c>
      <c r="D9" s="4">
        <v>3.4</v>
      </c>
      <c r="E9" s="4">
        <f>$N$3</f>
        <v>0.13</v>
      </c>
      <c r="F9" s="13"/>
      <c r="G9" s="13"/>
      <c r="H9" s="13">
        <f>$C9*$D9*$E$9</f>
        <v>312.64133333333336</v>
      </c>
      <c r="I9" s="54"/>
      <c r="J9" s="35">
        <f t="shared" si="0"/>
        <v>2404.9333333333334</v>
      </c>
      <c r="K9" s="5">
        <f>H9/$H$17</f>
        <v>0.46728039803160365</v>
      </c>
      <c r="L9" s="51"/>
    </row>
    <row r="10" spans="2:14" x14ac:dyDescent="0.35">
      <c r="B10" s="4" t="s">
        <v>14</v>
      </c>
      <c r="C10" s="35">
        <f>H3</f>
        <v>115.66666666666667</v>
      </c>
      <c r="D10" s="4">
        <v>0.4</v>
      </c>
      <c r="E10" s="4">
        <f t="shared" ref="E10:E16" si="1">$N$3</f>
        <v>0.13</v>
      </c>
      <c r="F10" s="13"/>
      <c r="G10" s="13"/>
      <c r="H10" s="13">
        <f>$C10*$D10*$E$9</f>
        <v>6.0146666666666677</v>
      </c>
      <c r="I10" s="54"/>
      <c r="J10" s="35">
        <f t="shared" si="0"/>
        <v>46.266666666666673</v>
      </c>
      <c r="K10" s="5">
        <f>H10/$H$17</f>
        <v>8.9896489503224746E-3</v>
      </c>
      <c r="L10" s="51"/>
    </row>
    <row r="11" spans="2:14" x14ac:dyDescent="0.35">
      <c r="B11" s="7" t="s">
        <v>15</v>
      </c>
      <c r="C11" s="36">
        <f>F3</f>
        <v>1158</v>
      </c>
      <c r="D11" s="7">
        <v>0.21</v>
      </c>
      <c r="E11" s="4">
        <f t="shared" si="1"/>
        <v>0.13</v>
      </c>
      <c r="F11" s="13"/>
      <c r="G11" s="13"/>
      <c r="H11" s="13"/>
      <c r="I11" s="54">
        <f t="shared" ref="I10:I16" si="2">C11*D11*E11</f>
        <v>31.613399999999999</v>
      </c>
      <c r="J11" s="35">
        <f t="shared" si="0"/>
        <v>243.17999999999998</v>
      </c>
      <c r="L11" s="50"/>
    </row>
    <row r="12" spans="2:14" x14ac:dyDescent="0.35">
      <c r="B12" s="8" t="s">
        <v>80</v>
      </c>
      <c r="C12" s="37">
        <f>G3</f>
        <v>707.33333333333337</v>
      </c>
      <c r="D12" s="8">
        <v>0.6</v>
      </c>
      <c r="E12" s="4">
        <f t="shared" si="1"/>
        <v>0.13</v>
      </c>
      <c r="F12" s="13"/>
      <c r="G12" s="13"/>
      <c r="H12" s="13"/>
      <c r="I12" s="54"/>
      <c r="J12" s="35">
        <f t="shared" si="0"/>
        <v>424.40000000000003</v>
      </c>
      <c r="L12" s="50"/>
    </row>
    <row r="13" spans="2:14" x14ac:dyDescent="0.35">
      <c r="B13" s="8" t="s">
        <v>81</v>
      </c>
      <c r="C13" s="37">
        <f>H3</f>
        <v>115.66666666666667</v>
      </c>
      <c r="D13" s="8">
        <v>0.15</v>
      </c>
      <c r="E13" s="4">
        <f t="shared" si="1"/>
        <v>0.13</v>
      </c>
      <c r="F13" s="13"/>
      <c r="G13" s="13"/>
      <c r="H13" s="13"/>
      <c r="I13" s="54"/>
      <c r="J13" s="35">
        <f t="shared" si="0"/>
        <v>17.350000000000001</v>
      </c>
      <c r="L13" s="50"/>
    </row>
    <row r="14" spans="2:14" x14ac:dyDescent="0.35">
      <c r="B14" s="4" t="s">
        <v>18</v>
      </c>
      <c r="C14" s="35">
        <f>G3</f>
        <v>707.33333333333337</v>
      </c>
      <c r="D14" s="4">
        <v>1.1599999999999999</v>
      </c>
      <c r="E14" s="4">
        <f t="shared" si="1"/>
        <v>0.13</v>
      </c>
      <c r="F14" s="13"/>
      <c r="G14" s="13"/>
      <c r="H14" s="13"/>
      <c r="I14" s="54">
        <f t="shared" si="2"/>
        <v>106.66586666666667</v>
      </c>
      <c r="J14" s="35">
        <f t="shared" si="0"/>
        <v>820.50666666666666</v>
      </c>
      <c r="L14" s="50"/>
    </row>
    <row r="15" spans="2:14" x14ac:dyDescent="0.35">
      <c r="B15" s="4" t="s">
        <v>20</v>
      </c>
      <c r="C15" s="35">
        <f>G3</f>
        <v>707.33333333333337</v>
      </c>
      <c r="D15" s="4">
        <v>2.44</v>
      </c>
      <c r="E15" s="4">
        <f t="shared" si="1"/>
        <v>0.13</v>
      </c>
      <c r="F15" s="13"/>
      <c r="G15" s="13"/>
      <c r="H15" s="13"/>
      <c r="I15" s="54">
        <f t="shared" si="2"/>
        <v>224.36613333333335</v>
      </c>
      <c r="J15" s="35">
        <f t="shared" si="0"/>
        <v>1725.8933333333334</v>
      </c>
      <c r="L15" s="50"/>
    </row>
    <row r="16" spans="2:14" x14ac:dyDescent="0.35">
      <c r="B16" s="4" t="s">
        <v>21</v>
      </c>
      <c r="C16" s="35">
        <f>H3</f>
        <v>115.66666666666667</v>
      </c>
      <c r="D16" s="4">
        <v>0.62</v>
      </c>
      <c r="E16" s="4">
        <f t="shared" si="1"/>
        <v>0.13</v>
      </c>
      <c r="F16" s="13"/>
      <c r="G16" s="13"/>
      <c r="H16" s="13"/>
      <c r="I16" s="54">
        <f t="shared" si="2"/>
        <v>9.3227333333333338</v>
      </c>
      <c r="J16" s="35">
        <f t="shared" si="0"/>
        <v>71.713333333333338</v>
      </c>
      <c r="L16" s="50"/>
    </row>
    <row r="17" spans="2:12" s="3" customFormat="1" x14ac:dyDescent="0.35">
      <c r="B17" s="1" t="s">
        <v>22</v>
      </c>
      <c r="C17" s="1"/>
      <c r="D17" s="1">
        <f>SUM(D7:D16)</f>
        <v>11.659999999999998</v>
      </c>
      <c r="E17" s="1"/>
      <c r="F17" s="9">
        <f>SUM(F7:F9)</f>
        <v>437.78280000000001</v>
      </c>
      <c r="G17" s="9">
        <f>SUM(G7:G9)</f>
        <v>350.40980000000002</v>
      </c>
      <c r="H17" s="9">
        <f>SUM(H7:H10)</f>
        <v>669.06580000000008</v>
      </c>
      <c r="I17" s="10">
        <f>SUM(I7:I16)</f>
        <v>371.96813333333336</v>
      </c>
      <c r="J17" s="11">
        <f>SUM(F17:H17)</f>
        <v>1457.2584000000002</v>
      </c>
      <c r="L17" s="50"/>
    </row>
    <row r="18" spans="2:12" x14ac:dyDescent="0.35">
      <c r="J18" s="12"/>
      <c r="L18" s="50"/>
    </row>
    <row r="19" spans="2:12" x14ac:dyDescent="0.35">
      <c r="I19" s="12"/>
      <c r="L19" s="50"/>
    </row>
    <row r="20" spans="2:12" x14ac:dyDescent="0.35">
      <c r="B20" t="s">
        <v>23</v>
      </c>
      <c r="D20" t="s">
        <v>1</v>
      </c>
      <c r="L20" s="50"/>
    </row>
    <row r="21" spans="2:12" x14ac:dyDescent="0.35">
      <c r="B21" s="1"/>
      <c r="C21" s="1" t="s">
        <v>2</v>
      </c>
      <c r="D21" s="1" t="s">
        <v>3</v>
      </c>
      <c r="E21" s="1" t="s">
        <v>4</v>
      </c>
      <c r="F21" s="1" t="s">
        <v>5</v>
      </c>
      <c r="G21" s="1" t="s">
        <v>6</v>
      </c>
      <c r="H21" s="1" t="s">
        <v>7</v>
      </c>
      <c r="I21" s="2" t="s">
        <v>8</v>
      </c>
      <c r="J21" s="1" t="s">
        <v>9</v>
      </c>
      <c r="K21" s="49" t="s">
        <v>10</v>
      </c>
    </row>
    <row r="22" spans="2:12" x14ac:dyDescent="0.35">
      <c r="B22" s="1" t="s">
        <v>11</v>
      </c>
      <c r="C22" s="35">
        <f>C3</f>
        <v>984.66666666666663</v>
      </c>
      <c r="D22" s="4">
        <f>1.53</f>
        <v>1.53</v>
      </c>
      <c r="E22" s="13">
        <f>L3</f>
        <v>0.19</v>
      </c>
      <c r="F22" s="13">
        <f>$C22*$D22*E22</f>
        <v>286.24259999999998</v>
      </c>
      <c r="G22" s="13">
        <f>$C22*$D22*$E$23</f>
        <v>195.8502</v>
      </c>
      <c r="H22" s="13">
        <f>$C22*($D22)*$E$24</f>
        <v>195.8502</v>
      </c>
      <c r="I22" s="54"/>
      <c r="J22" s="35">
        <f>C22*D22</f>
        <v>1506.54</v>
      </c>
      <c r="K22" s="44">
        <f>H22/$H$31</f>
        <v>0.34567940893029231</v>
      </c>
    </row>
    <row r="23" spans="2:12" x14ac:dyDescent="0.35">
      <c r="B23" s="1" t="s">
        <v>24</v>
      </c>
      <c r="C23" s="35">
        <f>D3</f>
        <v>1084.3333333333333</v>
      </c>
      <c r="D23" s="4">
        <v>1.26</v>
      </c>
      <c r="E23" s="4">
        <f>M3</f>
        <v>0.13</v>
      </c>
      <c r="F23" s="13"/>
      <c r="G23" s="13">
        <f>$C23*$D23*$E$23</f>
        <v>177.6138</v>
      </c>
      <c r="H23" s="13">
        <f>$C23*$D23*$E$24</f>
        <v>177.6138</v>
      </c>
      <c r="I23" s="54"/>
      <c r="J23" s="35">
        <f t="shared" ref="J23:J30" si="3">C23*D23</f>
        <v>1366.26</v>
      </c>
      <c r="K23" s="44">
        <f>H23/$H$31</f>
        <v>0.31349180854481207</v>
      </c>
      <c r="L23" s="51"/>
    </row>
    <row r="24" spans="2:12" x14ac:dyDescent="0.35">
      <c r="B24" s="1" t="s">
        <v>13</v>
      </c>
      <c r="C24" s="35">
        <f>G3</f>
        <v>707.33333333333337</v>
      </c>
      <c r="D24" s="13">
        <f>2.05+0.05</f>
        <v>2.0999999999999996</v>
      </c>
      <c r="E24" s="4">
        <f>$N$3</f>
        <v>0.13</v>
      </c>
      <c r="F24" s="13"/>
      <c r="G24" s="13"/>
      <c r="H24" s="13">
        <f>$C24*$D24*$E$24</f>
        <v>193.10199999999998</v>
      </c>
      <c r="I24" s="54"/>
      <c r="J24" s="35">
        <f t="shared" si="3"/>
        <v>1485.3999999999999</v>
      </c>
      <c r="K24" s="44">
        <f>H24/$H$31</f>
        <v>0.34082878252489551</v>
      </c>
      <c r="L24" s="51"/>
    </row>
    <row r="25" spans="2:12" x14ac:dyDescent="0.35">
      <c r="B25" s="6" t="s">
        <v>25</v>
      </c>
      <c r="C25" s="35">
        <f>I3</f>
        <v>629.33333333333337</v>
      </c>
      <c r="D25" s="13">
        <v>0.69</v>
      </c>
      <c r="E25" s="4">
        <f t="shared" ref="E25:E30" si="4">$N$3</f>
        <v>0.13</v>
      </c>
      <c r="F25" s="13"/>
      <c r="G25" s="13"/>
      <c r="H25" s="13"/>
      <c r="I25" s="54">
        <f t="shared" ref="I25:I30" si="5">C25*D25*E25</f>
        <v>56.4512</v>
      </c>
      <c r="J25" s="35">
        <f t="shared" si="3"/>
        <v>434.24</v>
      </c>
    </row>
    <row r="26" spans="2:12" x14ac:dyDescent="0.35">
      <c r="B26" s="4" t="s">
        <v>19</v>
      </c>
      <c r="C26" s="35">
        <f>G3</f>
        <v>707.33333333333337</v>
      </c>
      <c r="D26" s="4">
        <f>2*0.2</f>
        <v>0.4</v>
      </c>
      <c r="E26" s="4">
        <f t="shared" si="4"/>
        <v>0.13</v>
      </c>
      <c r="F26" s="13"/>
      <c r="G26" s="13"/>
      <c r="H26" s="13"/>
      <c r="I26" s="54">
        <f t="shared" si="5"/>
        <v>36.781333333333336</v>
      </c>
      <c r="J26" s="35">
        <f>C26*D26</f>
        <v>282.93333333333334</v>
      </c>
    </row>
    <row r="27" spans="2:12" x14ac:dyDescent="0.35">
      <c r="B27" s="6" t="s">
        <v>26</v>
      </c>
      <c r="C27" s="35">
        <f>E3</f>
        <v>1151</v>
      </c>
      <c r="D27" s="13">
        <v>0.32</v>
      </c>
      <c r="E27" s="4">
        <f t="shared" si="4"/>
        <v>0.13</v>
      </c>
      <c r="F27" s="13"/>
      <c r="G27" s="13"/>
      <c r="H27" s="13"/>
      <c r="I27" s="54">
        <f t="shared" si="5"/>
        <v>47.881599999999999</v>
      </c>
      <c r="J27" s="35">
        <f>C27*D27</f>
        <v>368.32</v>
      </c>
    </row>
    <row r="28" spans="2:12" x14ac:dyDescent="0.35">
      <c r="B28" s="4" t="s">
        <v>82</v>
      </c>
      <c r="C28" s="35">
        <f>G3</f>
        <v>707.33333333333337</v>
      </c>
      <c r="D28" s="4">
        <v>0.1</v>
      </c>
      <c r="E28" s="4">
        <f t="shared" si="4"/>
        <v>0.13</v>
      </c>
      <c r="F28" s="13"/>
      <c r="G28" s="13"/>
      <c r="H28" s="13"/>
      <c r="I28" s="54"/>
      <c r="J28" s="35">
        <f t="shared" si="3"/>
        <v>70.733333333333334</v>
      </c>
      <c r="K28" s="14"/>
      <c r="L28" s="14"/>
    </row>
    <row r="29" spans="2:12" x14ac:dyDescent="0.35">
      <c r="B29" s="4" t="s">
        <v>83</v>
      </c>
      <c r="C29" s="35">
        <f>I3</f>
        <v>629.33333333333337</v>
      </c>
      <c r="D29" s="4">
        <v>0.3</v>
      </c>
      <c r="E29" s="4">
        <f t="shared" si="4"/>
        <v>0.13</v>
      </c>
      <c r="F29" s="13"/>
      <c r="G29" s="13"/>
      <c r="H29" s="13"/>
      <c r="I29" s="54"/>
      <c r="J29" s="35">
        <f t="shared" si="3"/>
        <v>188.8</v>
      </c>
    </row>
    <row r="30" spans="2:12" x14ac:dyDescent="0.35">
      <c r="B30" s="4" t="s">
        <v>84</v>
      </c>
      <c r="C30" s="35">
        <f>C3</f>
        <v>984.66666666666663</v>
      </c>
      <c r="D30" s="4">
        <v>0.2</v>
      </c>
      <c r="E30" s="4">
        <f t="shared" si="4"/>
        <v>0.13</v>
      </c>
      <c r="F30" s="13"/>
      <c r="G30" s="13"/>
      <c r="H30" s="13"/>
      <c r="I30" s="54">
        <f t="shared" si="5"/>
        <v>25.601333333333336</v>
      </c>
      <c r="J30" s="35">
        <f t="shared" si="3"/>
        <v>196.93333333333334</v>
      </c>
    </row>
    <row r="31" spans="2:12" x14ac:dyDescent="0.35">
      <c r="B31" s="1" t="s">
        <v>22</v>
      </c>
      <c r="C31" s="1"/>
      <c r="D31" s="1">
        <f>SUM(D22:D30)</f>
        <v>6.9</v>
      </c>
      <c r="E31" s="1"/>
      <c r="F31" s="9">
        <f>SUM(F22:F24)</f>
        <v>286.24259999999998</v>
      </c>
      <c r="G31" s="9">
        <f>SUM(G22:G24)</f>
        <v>373.464</v>
      </c>
      <c r="H31" s="9">
        <f>SUM(H22:H24)</f>
        <v>566.56600000000003</v>
      </c>
      <c r="I31" s="10">
        <f>SUM(I22:I30)</f>
        <v>166.71546666666669</v>
      </c>
      <c r="J31" s="11">
        <f>SUM(F31:H31)</f>
        <v>1226.2726</v>
      </c>
    </row>
    <row r="33" spans="3:9" x14ac:dyDescent="0.35">
      <c r="I33" s="12"/>
    </row>
    <row r="45" spans="3:9" x14ac:dyDescent="0.35">
      <c r="C45" s="28"/>
      <c r="D45" s="28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EF937-F525-4D2C-94F9-FDE9D87ADF46}">
  <dimension ref="A1:H20"/>
  <sheetViews>
    <sheetView workbookViewId="0">
      <selection activeCell="O8" sqref="O8"/>
    </sheetView>
  </sheetViews>
  <sheetFormatPr defaultRowHeight="17.5" customHeight="1" x14ac:dyDescent="0.35"/>
  <cols>
    <col min="1" max="1" width="26.90625" bestFit="1" customWidth="1"/>
    <col min="2" max="2" width="10.36328125" customWidth="1"/>
    <col min="3" max="3" width="9.6328125" customWidth="1"/>
    <col min="4" max="4" width="10.26953125" bestFit="1" customWidth="1"/>
  </cols>
  <sheetData>
    <row r="1" spans="1:8" s="18" customFormat="1" ht="33" customHeight="1" x14ac:dyDescent="0.35">
      <c r="A1" s="19" t="s">
        <v>37</v>
      </c>
      <c r="B1" s="4" t="s">
        <v>90</v>
      </c>
      <c r="C1" s="4" t="s">
        <v>91</v>
      </c>
      <c r="D1" s="4" t="s">
        <v>92</v>
      </c>
      <c r="E1" s="53"/>
      <c r="F1"/>
      <c r="G1"/>
      <c r="H1"/>
    </row>
    <row r="2" spans="1:8" ht="17.5" customHeight="1" x14ac:dyDescent="0.35">
      <c r="A2" s="19" t="s">
        <v>40</v>
      </c>
      <c r="B2" s="20">
        <f>Výpočty!L3</f>
        <v>0.19</v>
      </c>
      <c r="C2" s="20">
        <f>Výpočty!M3</f>
        <v>0.13</v>
      </c>
      <c r="D2" s="20">
        <f>Výpočty!N3</f>
        <v>0.13</v>
      </c>
    </row>
    <row r="3" spans="1:8" ht="17.5" customHeight="1" x14ac:dyDescent="0.35">
      <c r="A3" s="19" t="s">
        <v>44</v>
      </c>
      <c r="B3" s="45">
        <v>0.9</v>
      </c>
      <c r="C3" s="45"/>
      <c r="D3" s="45"/>
    </row>
    <row r="4" spans="1:8" ht="17.5" customHeight="1" x14ac:dyDescent="0.35">
      <c r="A4" s="19" t="s">
        <v>45</v>
      </c>
      <c r="B4" s="45">
        <v>0.7</v>
      </c>
      <c r="C4" s="45"/>
      <c r="D4" s="45"/>
    </row>
    <row r="5" spans="1:8" ht="17.5" customHeight="1" x14ac:dyDescent="0.35">
      <c r="A5" s="19" t="s">
        <v>46</v>
      </c>
      <c r="B5" s="45">
        <v>0.85</v>
      </c>
      <c r="C5" s="45"/>
      <c r="D5" s="45"/>
    </row>
    <row r="6" spans="1:8" ht="17.5" customHeight="1" x14ac:dyDescent="0.35">
      <c r="A6" s="19" t="s">
        <v>47</v>
      </c>
      <c r="B6" s="45">
        <v>0.99</v>
      </c>
      <c r="C6" s="45"/>
      <c r="D6" s="45"/>
    </row>
    <row r="7" spans="1:8" ht="17.5" customHeight="1" x14ac:dyDescent="0.35">
      <c r="A7" s="19" t="s">
        <v>48</v>
      </c>
      <c r="B7" s="45">
        <v>1</v>
      </c>
      <c r="C7" s="45"/>
      <c r="D7" s="45"/>
      <c r="E7">
        <v>0.95</v>
      </c>
    </row>
    <row r="8" spans="1:8" s="24" customFormat="1" ht="14.5" x14ac:dyDescent="0.35">
      <c r="A8" s="22" t="s">
        <v>42</v>
      </c>
      <c r="B8" s="23">
        <f>B2*$B$3*$B$5*$B$7</f>
        <v>0.14535000000000001</v>
      </c>
      <c r="C8" s="23">
        <f>C2*$B$3*$B$5*$B$7</f>
        <v>9.9449999999999997E-2</v>
      </c>
      <c r="D8" s="23">
        <f>D2*$B$3*$B$5*$B$7</f>
        <v>9.9449999999999997E-2</v>
      </c>
    </row>
    <row r="9" spans="1:8" s="24" customFormat="1" ht="21.5" customHeight="1" x14ac:dyDescent="0.35">
      <c r="A9" s="22" t="s">
        <v>43</v>
      </c>
      <c r="B9" s="23">
        <f>B2*$B$3*$B$6*$B$7</f>
        <v>0.16929000000000002</v>
      </c>
      <c r="C9" s="23">
        <f>C2*$B$3*$B$6*$B$7</f>
        <v>0.11583</v>
      </c>
      <c r="D9" s="23">
        <f>D2*$B$3*$B$6*$B$7</f>
        <v>0.11583</v>
      </c>
    </row>
    <row r="10" spans="1:8" s="24" customFormat="1" ht="21.5" customHeight="1" x14ac:dyDescent="0.35">
      <c r="A10" s="21" t="s">
        <v>97</v>
      </c>
      <c r="B10" s="23">
        <f>B2-(B2*$B$4)</f>
        <v>5.7000000000000023E-2</v>
      </c>
      <c r="C10" s="23">
        <f t="shared" ref="C10:D10" si="0">C2-(C2*$B$4)</f>
        <v>3.9000000000000007E-2</v>
      </c>
      <c r="D10" s="23">
        <f>D2-(D2*$B$4)</f>
        <v>3.9000000000000007E-2</v>
      </c>
    </row>
    <row r="11" spans="1:8" s="24" customFormat="1" ht="21.5" customHeight="1" x14ac:dyDescent="0.35">
      <c r="A11" s="21" t="s">
        <v>94</v>
      </c>
      <c r="B11" s="23">
        <f>B2-(B2*$B$3)</f>
        <v>1.8999999999999989E-2</v>
      </c>
      <c r="C11" s="23">
        <f>C2-(C2*$B$3)</f>
        <v>1.2999999999999998E-2</v>
      </c>
      <c r="D11" s="23">
        <f>D2-(D2*$B$3)</f>
        <v>1.2999999999999998E-2</v>
      </c>
    </row>
    <row r="12" spans="1:8" s="3" customFormat="1" ht="14.5" x14ac:dyDescent="0.35">
      <c r="A12" s="21" t="s">
        <v>95</v>
      </c>
      <c r="B12" s="27">
        <f>B2-B8</f>
        <v>4.4649999999999995E-2</v>
      </c>
      <c r="C12" s="27">
        <f t="shared" ref="C12:D12" si="1">C2-C8</f>
        <v>3.0550000000000008E-2</v>
      </c>
      <c r="D12" s="27">
        <f t="shared" si="1"/>
        <v>3.0550000000000008E-2</v>
      </c>
    </row>
    <row r="13" spans="1:8" s="3" customFormat="1" ht="14.5" x14ac:dyDescent="0.35">
      <c r="A13" s="21" t="s">
        <v>96</v>
      </c>
      <c r="B13" s="27">
        <f>B2-(B9)</f>
        <v>2.0709999999999978E-2</v>
      </c>
      <c r="C13" s="27">
        <f>C2-C9</f>
        <v>1.4170000000000002E-2</v>
      </c>
      <c r="D13" s="27">
        <f>D2-D9</f>
        <v>1.4170000000000002E-2</v>
      </c>
    </row>
    <row r="14" spans="1:8" ht="17.5" customHeight="1" x14ac:dyDescent="0.35">
      <c r="B14" s="5"/>
    </row>
    <row r="16" spans="1:8" ht="17.5" customHeight="1" x14ac:dyDescent="0.35">
      <c r="A16" s="4" t="s">
        <v>52</v>
      </c>
      <c r="B16" s="20" t="s">
        <v>56</v>
      </c>
      <c r="C16" s="20" t="s">
        <v>55</v>
      </c>
      <c r="D16" s="5"/>
    </row>
    <row r="17" spans="1:4" ht="17.5" customHeight="1" x14ac:dyDescent="0.35">
      <c r="A17" s="4" t="s">
        <v>53</v>
      </c>
      <c r="B17" s="20">
        <v>0.77</v>
      </c>
      <c r="C17" s="20">
        <v>0.77</v>
      </c>
      <c r="D17" s="5"/>
    </row>
    <row r="18" spans="1:4" ht="17.5" customHeight="1" x14ac:dyDescent="0.35">
      <c r="A18" s="4" t="s">
        <v>54</v>
      </c>
      <c r="B18" s="20">
        <v>0.3</v>
      </c>
      <c r="C18" s="20">
        <v>0.35</v>
      </c>
      <c r="D18" s="5"/>
    </row>
    <row r="19" spans="1:4" ht="17.5" customHeight="1" x14ac:dyDescent="0.35">
      <c r="A19" s="4" t="s">
        <v>93</v>
      </c>
      <c r="B19" s="20">
        <v>1</v>
      </c>
      <c r="C19" s="20">
        <v>1</v>
      </c>
      <c r="D19" s="5">
        <v>0.85</v>
      </c>
    </row>
    <row r="20" spans="1:4" ht="17.5" customHeight="1" x14ac:dyDescent="0.35">
      <c r="A20" s="1" t="s">
        <v>41</v>
      </c>
      <c r="B20" s="26">
        <f>B17*B18*B19</f>
        <v>0.23099999999999998</v>
      </c>
      <c r="C20" s="26">
        <f>C17*C18*C19</f>
        <v>0.26949999999999996</v>
      </c>
      <c r="D20" s="5"/>
    </row>
  </sheetData>
  <mergeCells count="5">
    <mergeCell ref="B3:D3"/>
    <mergeCell ref="B4:D4"/>
    <mergeCell ref="B5:D5"/>
    <mergeCell ref="B6:D6"/>
    <mergeCell ref="B7:D7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EE1EA-633B-41A4-9FE7-7975E3D437CE}">
  <sheetPr>
    <tabColor theme="0" tint="-0.249977111117893"/>
  </sheetPr>
  <dimension ref="A2:J19"/>
  <sheetViews>
    <sheetView zoomScaleNormal="100" workbookViewId="0">
      <selection activeCell="E24" sqref="E24"/>
    </sheetView>
  </sheetViews>
  <sheetFormatPr defaultRowHeight="14.5" x14ac:dyDescent="0.35"/>
  <cols>
    <col min="1" max="1" width="25.36328125" customWidth="1"/>
    <col min="2" max="2" width="14.7265625" bestFit="1" customWidth="1"/>
    <col min="3" max="3" width="9.90625" customWidth="1"/>
    <col min="4" max="4" width="9.6328125" customWidth="1"/>
    <col min="5" max="5" width="13.26953125" customWidth="1"/>
    <col min="6" max="6" width="9.26953125" customWidth="1"/>
    <col min="7" max="7" width="10.36328125" customWidth="1"/>
    <col min="8" max="8" width="6.6328125" bestFit="1" customWidth="1"/>
    <col min="9" max="9" width="14.1796875" bestFit="1" customWidth="1"/>
    <col min="10" max="10" width="9.1796875" customWidth="1"/>
    <col min="11" max="11" width="14.1796875" bestFit="1" customWidth="1"/>
  </cols>
  <sheetData>
    <row r="2" spans="1:10" x14ac:dyDescent="0.35">
      <c r="A2" s="19" t="s">
        <v>103</v>
      </c>
      <c r="B2" s="1" t="s">
        <v>59</v>
      </c>
      <c r="C2" s="4"/>
      <c r="D2" s="4"/>
      <c r="E2" s="1" t="s">
        <v>60</v>
      </c>
      <c r="H2" s="1" t="s">
        <v>98</v>
      </c>
      <c r="I2" s="4" t="s">
        <v>87</v>
      </c>
      <c r="J2" s="20">
        <v>0.9</v>
      </c>
    </row>
    <row r="3" spans="1:10" x14ac:dyDescent="0.35">
      <c r="A3" s="4" t="s">
        <v>38</v>
      </c>
      <c r="B3" s="35">
        <f>Výpočty!F31</f>
        <v>286.24259999999998</v>
      </c>
      <c r="C3" s="4"/>
      <c r="D3" s="4"/>
      <c r="E3" s="35">
        <f>Výpočty!F17</f>
        <v>437.78280000000001</v>
      </c>
      <c r="H3" s="4"/>
      <c r="I3" s="4" t="s">
        <v>99</v>
      </c>
      <c r="J3" s="20">
        <v>0.77</v>
      </c>
    </row>
    <row r="4" spans="1:10" x14ac:dyDescent="0.35">
      <c r="A4" s="4" t="s">
        <v>58</v>
      </c>
      <c r="B4" s="35">
        <f>Výpočty!G31</f>
        <v>373.464</v>
      </c>
      <c r="C4" s="4"/>
      <c r="D4" s="4"/>
      <c r="E4" s="35">
        <f>Výpočty!G17</f>
        <v>350.40980000000002</v>
      </c>
      <c r="H4" s="1"/>
      <c r="I4" s="15" t="s">
        <v>101</v>
      </c>
      <c r="J4" s="20">
        <v>0.3</v>
      </c>
    </row>
    <row r="5" spans="1:10" x14ac:dyDescent="0.35">
      <c r="A5" s="4" t="s">
        <v>39</v>
      </c>
      <c r="B5" s="35">
        <f>Výpočty!H31</f>
        <v>566.56600000000003</v>
      </c>
      <c r="C5" s="4"/>
      <c r="D5" s="4"/>
      <c r="E5" s="35">
        <f>Výpočty!H17</f>
        <v>669.06580000000008</v>
      </c>
      <c r="H5" s="4"/>
      <c r="I5" s="64" t="s">
        <v>109</v>
      </c>
      <c r="J5" s="65">
        <v>0.35</v>
      </c>
    </row>
    <row r="6" spans="1:10" x14ac:dyDescent="0.35">
      <c r="A6" s="4" t="s">
        <v>61</v>
      </c>
      <c r="B6" s="35">
        <f>Výpočty!I31</f>
        <v>166.71546666666669</v>
      </c>
      <c r="C6" s="4"/>
      <c r="D6" s="4"/>
      <c r="E6" s="35">
        <f>Výpočty!I17</f>
        <v>371.96813333333336</v>
      </c>
    </row>
    <row r="7" spans="1:10" x14ac:dyDescent="0.35">
      <c r="H7" s="25" t="s">
        <v>49</v>
      </c>
      <c r="I7" s="25" t="s">
        <v>105</v>
      </c>
      <c r="J7" s="4" t="s">
        <v>104</v>
      </c>
    </row>
    <row r="8" spans="1:10" x14ac:dyDescent="0.35">
      <c r="A8" t="s">
        <v>57</v>
      </c>
      <c r="H8" s="25" t="s">
        <v>50</v>
      </c>
      <c r="I8" s="66">
        <v>8.6</v>
      </c>
      <c r="J8" s="4">
        <v>32</v>
      </c>
    </row>
    <row r="9" spans="1:10" x14ac:dyDescent="0.35">
      <c r="A9" t="s">
        <v>100</v>
      </c>
      <c r="B9">
        <v>6.8</v>
      </c>
      <c r="E9">
        <v>9.6</v>
      </c>
      <c r="H9" s="4" t="s">
        <v>51</v>
      </c>
      <c r="I9" s="67">
        <v>9.75</v>
      </c>
      <c r="J9" s="4">
        <v>31.8</v>
      </c>
    </row>
    <row r="10" spans="1:10" ht="31" x14ac:dyDescent="0.35">
      <c r="A10" s="60" t="s">
        <v>102</v>
      </c>
      <c r="B10">
        <f>B9*J4*J3*I8/100</f>
        <v>0.13508880000000001</v>
      </c>
      <c r="E10">
        <f>E9*J5*J3*I9/100</f>
        <v>0.25225200000000003</v>
      </c>
    </row>
    <row r="11" spans="1:10" ht="15.5" x14ac:dyDescent="0.35">
      <c r="A11" s="60"/>
    </row>
    <row r="12" spans="1:10" ht="15" x14ac:dyDescent="0.35">
      <c r="A12" s="62"/>
      <c r="B12" s="63" t="s">
        <v>59</v>
      </c>
      <c r="C12" s="63"/>
      <c r="D12" s="68"/>
      <c r="E12" s="63" t="s">
        <v>107</v>
      </c>
      <c r="F12" s="63"/>
      <c r="G12" s="68"/>
      <c r="H12" s="3"/>
      <c r="I12" s="3"/>
    </row>
    <row r="13" spans="1:10" s="3" customFormat="1" ht="43.5" x14ac:dyDescent="0.35">
      <c r="A13" s="1"/>
      <c r="B13" s="21" t="s">
        <v>108</v>
      </c>
      <c r="C13" s="21" t="s">
        <v>106</v>
      </c>
      <c r="D13" s="21" t="s">
        <v>113</v>
      </c>
      <c r="E13" s="21" t="s">
        <v>108</v>
      </c>
      <c r="F13" s="21" t="s">
        <v>106</v>
      </c>
      <c r="G13" s="21" t="s">
        <v>112</v>
      </c>
      <c r="H13"/>
      <c r="I13"/>
    </row>
    <row r="14" spans="1:10" x14ac:dyDescent="0.35">
      <c r="A14" s="4" t="s">
        <v>38</v>
      </c>
      <c r="B14" s="13">
        <f>B3*$J$2/B$10</f>
        <v>1907.0295983086678</v>
      </c>
      <c r="C14" s="35">
        <f>B14/100*$J$8</f>
        <v>610.24947145877366</v>
      </c>
      <c r="D14" s="70">
        <f>B14*138</f>
        <v>263170.08456659614</v>
      </c>
      <c r="E14" s="61">
        <f>E3*$J$2/$E$10</f>
        <v>1561.9480519480519</v>
      </c>
      <c r="F14" s="35">
        <f>E14/100*$J$9</f>
        <v>496.69948051948052</v>
      </c>
      <c r="G14" s="35"/>
    </row>
    <row r="15" spans="1:10" x14ac:dyDescent="0.35">
      <c r="A15" s="4" t="s">
        <v>58</v>
      </c>
      <c r="B15" s="13">
        <f>B4*$J$2/B$10</f>
        <v>2488.1233677403307</v>
      </c>
      <c r="C15" s="35">
        <f>B15/100*$J$8</f>
        <v>796.19947767690576</v>
      </c>
      <c r="D15" s="35">
        <f t="shared" ref="D15:D17" si="0">B15*138</f>
        <v>343361.02474816563</v>
      </c>
      <c r="E15" s="61">
        <f t="shared" ref="E15:E17" si="1">E4*$J$2/$E$10</f>
        <v>1250.2133580705008</v>
      </c>
      <c r="F15" s="35">
        <f t="shared" ref="F15:F17" si="2">E15/100*$J$9</f>
        <v>397.56784786641924</v>
      </c>
      <c r="G15" s="35"/>
    </row>
    <row r="16" spans="1:10" x14ac:dyDescent="0.35">
      <c r="A16" s="4" t="s">
        <v>39</v>
      </c>
      <c r="B16" s="13">
        <f>B5*$J$2/B$10</f>
        <v>3774.623803009576</v>
      </c>
      <c r="C16" s="35">
        <f>B16/100*$J$8</f>
        <v>1207.8796169630643</v>
      </c>
      <c r="D16" s="35">
        <f t="shared" si="0"/>
        <v>520898.08481532149</v>
      </c>
      <c r="E16" s="61">
        <f t="shared" si="1"/>
        <v>2387.1335807050095</v>
      </c>
      <c r="F16" s="35">
        <f t="shared" si="2"/>
        <v>759.10847866419306</v>
      </c>
      <c r="G16" s="35"/>
    </row>
    <row r="17" spans="1:7" x14ac:dyDescent="0.35">
      <c r="A17" s="4" t="s">
        <v>61</v>
      </c>
      <c r="B17" s="13">
        <f>B6*$J$2/B$10</f>
        <v>1110.7058468207579</v>
      </c>
      <c r="C17" s="35">
        <f>B17/100*$J$8</f>
        <v>355.42587098264249</v>
      </c>
      <c r="D17" s="35">
        <f t="shared" si="0"/>
        <v>153277.40686126458</v>
      </c>
      <c r="E17" s="61">
        <f t="shared" si="1"/>
        <v>1327.1304885590598</v>
      </c>
      <c r="F17" s="35">
        <f t="shared" si="2"/>
        <v>422.02749536178106</v>
      </c>
      <c r="G17" s="35"/>
    </row>
    <row r="19" spans="1:7" ht="15.5" x14ac:dyDescent="0.35">
      <c r="A19" s="69" t="s">
        <v>111</v>
      </c>
      <c r="E19" s="69" t="s">
        <v>110</v>
      </c>
    </row>
  </sheetData>
  <mergeCells count="2">
    <mergeCell ref="B12:C12"/>
    <mergeCell ref="E12:F1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0AA79-DEB9-4EDF-BE75-A1DA8DD1ABC8}">
  <dimension ref="A1:K20"/>
  <sheetViews>
    <sheetView zoomScale="130" zoomScaleNormal="130" workbookViewId="0">
      <selection activeCell="I4" sqref="I4"/>
    </sheetView>
  </sheetViews>
  <sheetFormatPr defaultRowHeight="14.5" x14ac:dyDescent="0.35"/>
  <cols>
    <col min="1" max="1" width="21.1796875" bestFit="1" customWidth="1"/>
    <col min="3" max="3" width="9.90625" bestFit="1" customWidth="1"/>
    <col min="6" max="7" width="9.6328125" bestFit="1" customWidth="1"/>
    <col min="8" max="8" width="9.90625" bestFit="1" customWidth="1"/>
    <col min="9" max="9" width="12.54296875" bestFit="1" customWidth="1"/>
    <col min="10" max="10" width="9.90625" bestFit="1" customWidth="1"/>
  </cols>
  <sheetData>
    <row r="1" spans="1:10" ht="15.5" x14ac:dyDescent="0.35">
      <c r="A1" s="29" t="s">
        <v>78</v>
      </c>
    </row>
    <row r="2" spans="1:10" ht="29" x14ac:dyDescent="0.35">
      <c r="A2" s="4"/>
      <c r="B2" s="4" t="s">
        <v>63</v>
      </c>
      <c r="C2" s="4" t="s">
        <v>64</v>
      </c>
      <c r="D2" s="19" t="s">
        <v>65</v>
      </c>
      <c r="E2" s="19" t="s">
        <v>77</v>
      </c>
      <c r="F2" s="1" t="s">
        <v>85</v>
      </c>
      <c r="G2" t="s">
        <v>62</v>
      </c>
      <c r="H2" s="28">
        <v>43101</v>
      </c>
      <c r="I2" s="28">
        <v>43465</v>
      </c>
      <c r="J2">
        <f>365+H2-I2</f>
        <v>1</v>
      </c>
    </row>
    <row r="3" spans="1:10" x14ac:dyDescent="0.35">
      <c r="A3" s="38" t="s">
        <v>66</v>
      </c>
      <c r="B3" s="38">
        <v>280</v>
      </c>
      <c r="C3" s="38">
        <v>340</v>
      </c>
      <c r="D3" s="38">
        <v>220</v>
      </c>
      <c r="E3" s="38"/>
      <c r="F3" s="39"/>
    </row>
    <row r="4" spans="1:10" x14ac:dyDescent="0.35">
      <c r="A4" s="38" t="s">
        <v>67</v>
      </c>
      <c r="B4" s="38">
        <v>50</v>
      </c>
      <c r="C4" s="38">
        <v>49</v>
      </c>
      <c r="D4" s="38">
        <v>51</v>
      </c>
      <c r="E4" s="38"/>
      <c r="F4" s="39"/>
    </row>
    <row r="5" spans="1:10" x14ac:dyDescent="0.35">
      <c r="A5" s="40"/>
      <c r="B5" s="40"/>
      <c r="C5" s="40"/>
      <c r="D5" s="40"/>
      <c r="E5" s="40"/>
      <c r="F5" s="41"/>
    </row>
    <row r="6" spans="1:10" x14ac:dyDescent="0.35">
      <c r="A6" s="46" t="s">
        <v>86</v>
      </c>
      <c r="B6" s="47"/>
      <c r="C6" s="47"/>
      <c r="D6" s="47"/>
      <c r="E6" s="47"/>
      <c r="F6" s="48"/>
    </row>
    <row r="7" spans="1:10" x14ac:dyDescent="0.35">
      <c r="A7" s="4" t="s">
        <v>74</v>
      </c>
      <c r="B7" s="4"/>
      <c r="C7" s="4"/>
      <c r="D7" s="4"/>
      <c r="E7" s="4"/>
      <c r="F7" s="1"/>
    </row>
    <row r="8" spans="1:10" x14ac:dyDescent="0.35">
      <c r="A8" s="30">
        <v>43179</v>
      </c>
      <c r="B8" s="4">
        <v>3.1080000000000001</v>
      </c>
      <c r="C8" s="4">
        <v>2.2669999999999999</v>
      </c>
      <c r="D8" s="4">
        <v>2.7170000000000001</v>
      </c>
      <c r="E8" s="4">
        <f>365+A8-$I$2</f>
        <v>79</v>
      </c>
      <c r="F8" s="42">
        <f>AVERAGE(B8:D8)</f>
        <v>2.6973333333333334</v>
      </c>
    </row>
    <row r="9" spans="1:10" x14ac:dyDescent="0.35">
      <c r="A9" s="30">
        <v>43271</v>
      </c>
      <c r="B9" s="4">
        <v>4.9080000000000004</v>
      </c>
      <c r="C9" s="4">
        <v>5.5739999999999998</v>
      </c>
      <c r="D9" s="4">
        <v>4.9050000000000002</v>
      </c>
      <c r="E9" s="4">
        <f>365+A9-$I$2</f>
        <v>171</v>
      </c>
      <c r="F9" s="42">
        <f>AVERAGE(B9:D9)</f>
        <v>5.1290000000000004</v>
      </c>
    </row>
    <row r="10" spans="1:10" x14ac:dyDescent="0.35">
      <c r="A10" s="30">
        <v>43365</v>
      </c>
      <c r="B10" s="4">
        <v>2.746</v>
      </c>
      <c r="C10" s="4">
        <v>2.984</v>
      </c>
      <c r="D10" s="4">
        <v>2.2970000000000002</v>
      </c>
      <c r="E10" s="4">
        <f>365+A10-$I$2</f>
        <v>265</v>
      </c>
      <c r="F10" s="42">
        <f>AVERAGE(B10:D10)</f>
        <v>2.6756666666666669</v>
      </c>
    </row>
    <row r="11" spans="1:10" x14ac:dyDescent="0.35">
      <c r="A11" s="30">
        <v>43455</v>
      </c>
      <c r="B11" s="4">
        <v>0.57199999999999995</v>
      </c>
      <c r="C11" s="4">
        <v>0.46500000000000002</v>
      </c>
      <c r="D11" s="4">
        <v>0.53700000000000003</v>
      </c>
      <c r="E11" s="4">
        <f>365+A11-$I$2</f>
        <v>355</v>
      </c>
      <c r="F11" s="42">
        <f>AVERAGE(B11:D11)</f>
        <v>0.52466666666666661</v>
      </c>
    </row>
    <row r="12" spans="1:10" x14ac:dyDescent="0.35">
      <c r="A12" s="4"/>
      <c r="B12" s="4"/>
      <c r="C12" s="4"/>
      <c r="D12" s="4"/>
      <c r="E12" s="4"/>
      <c r="F12" s="43"/>
    </row>
    <row r="13" spans="1:10" x14ac:dyDescent="0.35">
      <c r="A13" s="4" t="s">
        <v>73</v>
      </c>
      <c r="B13" s="4"/>
      <c r="C13" s="4"/>
      <c r="D13" s="4"/>
      <c r="E13" s="4"/>
      <c r="F13" s="43"/>
    </row>
    <row r="14" spans="1:10" x14ac:dyDescent="0.35">
      <c r="A14" s="31" t="s">
        <v>68</v>
      </c>
      <c r="B14" s="4">
        <v>992</v>
      </c>
      <c r="C14" s="4">
        <v>1034</v>
      </c>
      <c r="D14" s="4">
        <v>928</v>
      </c>
      <c r="E14" s="4"/>
      <c r="F14" s="42">
        <f t="shared" ref="F14:F20" si="0">AVERAGE(B14:D14)</f>
        <v>984.66666666666663</v>
      </c>
    </row>
    <row r="15" spans="1:10" x14ac:dyDescent="0.35">
      <c r="A15" s="31" t="s">
        <v>69</v>
      </c>
      <c r="B15" s="4">
        <v>1097</v>
      </c>
      <c r="C15" s="4">
        <v>1132</v>
      </c>
      <c r="D15" s="4">
        <v>1024</v>
      </c>
      <c r="E15" s="4"/>
      <c r="F15" s="42">
        <f t="shared" si="0"/>
        <v>1084.3333333333333</v>
      </c>
    </row>
    <row r="16" spans="1:10" x14ac:dyDescent="0.35">
      <c r="A16" s="31" t="s">
        <v>70</v>
      </c>
      <c r="B16" s="4">
        <v>1168</v>
      </c>
      <c r="C16" s="4">
        <v>1201</v>
      </c>
      <c r="D16" s="4">
        <v>1084</v>
      </c>
      <c r="E16" s="4"/>
      <c r="F16" s="42">
        <f t="shared" si="0"/>
        <v>1151</v>
      </c>
    </row>
    <row r="17" spans="1:11" x14ac:dyDescent="0.35">
      <c r="A17" s="31" t="s">
        <v>71</v>
      </c>
      <c r="B17" s="4">
        <v>1176</v>
      </c>
      <c r="C17" s="4">
        <v>1208</v>
      </c>
      <c r="D17" s="4">
        <v>1090</v>
      </c>
      <c r="E17" s="4"/>
      <c r="F17" s="42">
        <f t="shared" si="0"/>
        <v>1158</v>
      </c>
    </row>
    <row r="18" spans="1:11" s="59" customFormat="1" x14ac:dyDescent="0.35">
      <c r="A18" s="57" t="s">
        <v>72</v>
      </c>
      <c r="B18" s="58">
        <v>718</v>
      </c>
      <c r="C18" s="58">
        <v>735</v>
      </c>
      <c r="D18" s="58">
        <v>669</v>
      </c>
      <c r="E18" s="58"/>
      <c r="F18" s="42">
        <f t="shared" si="0"/>
        <v>707.33333333333337</v>
      </c>
    </row>
    <row r="19" spans="1:11" x14ac:dyDescent="0.35">
      <c r="A19" s="31" t="s">
        <v>75</v>
      </c>
      <c r="B19" s="4">
        <v>113</v>
      </c>
      <c r="C19" s="4">
        <v>113</v>
      </c>
      <c r="D19" s="4">
        <v>121</v>
      </c>
      <c r="E19" s="4"/>
      <c r="F19" s="42">
        <f t="shared" si="0"/>
        <v>115.66666666666667</v>
      </c>
    </row>
    <row r="20" spans="1:11" x14ac:dyDescent="0.35">
      <c r="A20" s="31" t="s">
        <v>76</v>
      </c>
      <c r="B20" s="4">
        <v>630</v>
      </c>
      <c r="C20" s="4">
        <v>653</v>
      </c>
      <c r="D20" s="4">
        <v>605</v>
      </c>
      <c r="E20" s="4"/>
      <c r="F20" s="42">
        <f t="shared" si="0"/>
        <v>629.33333333333337</v>
      </c>
      <c r="I20" s="3"/>
      <c r="J20" s="3"/>
      <c r="K20" s="3"/>
    </row>
  </sheetData>
  <mergeCells count="1">
    <mergeCell ref="A6:F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Superb</vt:lpstr>
      <vt:lpstr>T4</vt:lpstr>
      <vt:lpstr>Výpočty</vt:lpstr>
      <vt:lpstr>Ztráty</vt:lpstr>
      <vt:lpstr>kWh100km</vt:lpstr>
      <vt:lpstr>rok.den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2021-04-10T16:22:51Z</dcterms:created>
  <dcterms:modified xsi:type="dcterms:W3CDTF">2021-05-14T21:26:19Z</dcterms:modified>
</cp:coreProperties>
</file>